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12">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<sst xmlns="http://schemas.openxmlformats.org/spreadsheetml/2006/main" count="1020" uniqueCount="326">
  <si>
    <t>ID</t>
  </si>
  <si>
    <t>Model</t>
  </si>
  <si>
    <t>Prompt</t>
  </si>
  <si>
    <t>wc</t>
  </si>
  <si>
    <t>Coherence</t>
  </si>
  <si>
    <t>Consistency</t>
  </si>
  <si>
    <t>Fluency</t>
  </si>
  <si>
    <t>Relevance</t>
  </si>
  <si>
    <t>5W1H</t>
  </si>
  <si>
    <t>avg</t>
  </si>
  <si>
    <t>rank</t>
  </si>
  <si>
    <t>coh</t>
  </si>
  <si>
    <t>cons</t>
  </si>
  <si>
    <t>fluen</t>
  </si>
  <si>
    <t>rel</t>
  </si>
  <si>
    <t>Human</t>
  </si>
  <si>
    <t>Heading</t>
  </si>
  <si>
    <t>Jeremy</t>
  </si>
  <si>
    <t>Begoña</t>
  </si>
  <si>
    <t>Alba</t>
  </si>
  <si>
    <t>Claude Sonnet 3.5</t>
  </si>
  <si>
    <t>Base</t>
  </si>
  <si>
    <t>CoT</t>
  </si>
  <si>
    <t>tldr</t>
  </si>
  <si>
    <t>Command R+</t>
  </si>
  <si>
    <t>GPT 4o</t>
  </si>
  <si>
    <t>Reka Core</t>
  </si>
  <si>
    <t>Llama-3.1-70b-instruct</t>
  </si>
  <si>
    <t>AVERAGE</t>
  </si>
  <si>
    <t>STDEV</t>
  </si>
  <si>
    <t>Text</t>
  </si>
  <si>
    <t>Author</t>
  </si>
  <si>
    <t>Summary</t>
  </si>
  <si>
    <t>http://elpais.com/deportes/2019/08/17/actualidad/1566005143_044557.html</t>
  </si>
  <si>
    <t>El jet lag ante Argentina , que quedó maquillado por el arrebato febril de Ricky ( 15 puntos en los últimos cuatro minutos ) , se consolidó 24 horas después ante Rusia . A tres días del comienzo del Mundial , de nuevo sin Marc Gasol en la rotación , el conjunto de Scariolo firmó su segunda derrota de la preparación y , por números y sensaciones , abrazó las dudas justo antes del estreno oficial . En el marcador , un contundente 55-74 ; en la estadística , unos pobres porcentajes de tiro ( 15 de 37 de dos , 3 de 18 en triples y 16 de 19 en tiros libres ) , 18 pérdidas , 12 robos del rival… Los 26 puntos y 11 rebotes de Willy Hernangómez fueron lo único lustroso de una prueba para olvidar , o para tentarse la ropa . “ Esperemos que esta no sea la referencia . Nos faltan muchos jugadores y la cabeza estará también en una dimensión diferente el sábado . La competición es otra cosa . Hemos jugado mal hay que olvidarlo pronto ” , analizó el seleccionador . Con las bajas de Rudy y Marc ( ambas por precaución ) , Scariolo reclutó a Llull en el quinteto inicial junto a Ricky , probó a Rabaseda apretando las tuercas en el puesto de tres y juntó a Claver con Willy Hernangómez en la pintura . Intentó ajustar automatismos la selección española , se aplicó de inicio en la faceta defensiva y se entregó en ataque a la pujanza de Willy y a la iluminación de Ricky . Pero todo duró un santiamén . Líder plenipotenciario sobre la pista durante todos los amistosos de la preparación mundialista , Ricky se ha convertido a un tiempo en metrónomo y artificiero del equipo y , en su partido 140 como internacional , tenía los minutos limitados por Scariolo : no más de 15 anunció el seleccionador en la previa . Así las cosas , y sin participación de su jugador franquicia en la segunda mitad , España navegó de la inconstancia al borrón , sin más penalización que las tribulaciones , de momento . Se fue imponiendo Rusia gracias a su dominio en el rebote y a la intendencia de Fridzon , Zubkov , Ivlev y Antonov . Y , como sucediera en el duelo ante Argentina , con el paso de los minutos , la espesura se adueñó del partido . Entre la prudencia y las probaturas , el ritmo anotador se fue resintiendo , sobre todo el español . En los ocho primeros minutos del segundo cuarto , los de Scariolo solo fueron capaces de sumar cuatro puntos desde el tiro libre . Aprovechó Rusia para armar un modesto estirón consolidado por una antideportiva a Ricky que permitió a los de Bazarevich alcanzar su máxima ventaja ( 25-32 , m. 18 ) . Justo ahí llegó el susto de la jornada , Ricky se lanzó a por un rebote y se lastimó , aparentemente sin consecuencias , el codo derecho . Una canasta de Willy , con fallo en el adicional , fue el único acierto en tiros de campo para España en su desastroso parcial ( 6-12 ) . Se mantuvo la inercia en la reanudación y Rusia alcanzó pronto el +10 en el marcador ( 27-37 , m. 22 ) . Ante el gesto serio y fiscalizador de Scariolo , Willy apretó los dientes y se multiplicó en defensa y en ataque para reenganchar a la selección española a la pelea . Nueve puntos del pívot de los Hornets en los cinco primeros minutos del cuarto capearon momentáneamente el temporal , pero fue tan solo un espejismo . Un robo de Motovilov a Llull estiró aún más la diferencia ( 36-47 , m. 27 ) . Fue el comienzo de la tormenta . El acierto de Rusia desde el perímetro y la falta de firmeza , acierto y concentración de España ( 16 pérdidas , 12 robos del rival , y un 1 de 13 en triples ) descosieron definitivamente el encuentro ( 40-59 , m. 30 ) . Con todo resuelto , Colom , Rabaseda , Beirán , Juancho y Oriola fue el quinteto asimétrico encargado de gestionar los minutos de la honrilla . Dos triples de Juancho rebajaron la proporción de la tunda ( 48-61 ) y Beirán tuvo el lanzamiento del rearme moral , pero se estrelló en el aro ruso . A golpe de orgullo , la diferencia bajó hasta los 8 ( 53-61 , m. 37 ) . Pero Bazarevich repasó la cartilla a los suyos para sacarles del embelesamiento , restablecer la distancia y barnizar de incertidumbre el último ensayo de España antes del estreno mundialista . Puedes seguir Deportes de EL PAÍS en Facebook , Twitter o suscribirte aquí a la Newsletter.</t>
  </si>
  <si>
    <t>Los de Scariolo , sin Marc ni Rudy en la rotación , pierden ante Rusia con malas sensaciones . Willy ( 26 puntos y 11 rebotes ) , única nota positiva</t>
  </si>
  <si>
    <t>El equipo español de baloncesto perdió ante Rusia 55-74 a tres días del comienzo del Mundial. Además de las bajas de Rudy y Marc, el entrenador Scariola había limitado Ricky Rubio a 15 minutos. A pesar del buen desempeño de Willy Hernangómez (26 puntos y 11 rebotes), España no supo remontar y dio malas sensaciones.</t>
  </si>
  <si>
    <t>Le selección española de baloncesto perdió ante Rusia (55.74) en un partido de preparación para el mundial. En la estadística se reflejan unos pobres porcentajes de tiro (15 de 37 de dos, 3 de 18 en triples y 16 de 19 en tiros libres), 18 pérdidas y 12 robos del rival. Los 26 puntos y 11 rebotes de Willy Hernangómez fueron lo único lustroso del partido. El seleccionador Scariolo espera que esa no sea la tónica del mundial y achaca la derrota a la ausencia de jugadores, ya que Rudy y Marc Gasol están de baja. Scariolo tuvo que sacar al campo a Llull, Rabaseda y Claver junto con Ricky y Willy Hernangómez. Como Ricky tenía el tiempo de juego limitado a 15 minutos, no pudo liderar bien al equipo, al que faltó constancia. Rusia, en cambio, se fue imponiendo gracias a su dominio en el rebote y a la intendencia de Fridzon, Zubkov, Ivlev y Antonov.
Aunque Willy aumentó la intensidad de sujuego en el cuarto tiempo y anotó 9 tantos, no fue suficiente para darle la vuelta al marcador. Tampoco lo fueron los dos triples de Juancho ni el lanzamiento al aro de Beirán.</t>
  </si>
  <si>
    <t xml:space="preserve">La selección española pierde 55-74 contra Rusia en un partido amistoso a tres días del comienzo del Mundial, su segunda derrota tras haber perdido anteriormente contra Argentina. Durante el partido, Rusia destacó por su dominio en el rebote y su acierto, mientras que a España le faltó acierto y concentración. El seleccionador y entrenador Scariolo, quien atribuye la derrota a las bajas de muchos jugadores, confía en que este resultado no sea un referente en la competición. </t>
  </si>
  <si>
    <t>http://elpais.com/elpais/2019/07/10/planeta_futuro/1562757015_950583.html</t>
  </si>
  <si>
    <t>Para poderos contar nuestra pequeña historia tenemos que remontarnos a marzo de 2018 , en una de las salas de un colegio mayor adscrito a la Complutense ( Madrid ) , en el que vivimos desde hace algunos años , donde nos presentaban una casi nueva ONG llamada Acción Geoda que trabaja en una de las zonas más olvidadas de Marruecos , por no decir del mundo , el Valle del Tessaout . Se trata de un conjunto de unas 80 aldeas a las que el Gobierno ha restado importancia , y ha dejado prácticamente incomunicadas . El agua potable llegó hace apenas diez años a alguna de ellas de la mano de esta ONG con la que colaboramos . La luz , hace cinco . No obstante , aún hoy , lamentablemente , existe un número considerable de familias que no tienen acceso a estos dos servicios primarios . Esta es la realidad : la pobreza se manifiesta omnipresente a cada paso y las necesidades básicas de los habitantes de la zona están muy lejos de estar cubiertas , tanto a nivel sanitario , como social y educativo . Es aquí donde aparecemos cinco universitarias de entre 18 y 22 años , compañeras de colegio mayor , que inician el que será el proyecto más grande en el que nos hemos embarcado : la construcción y el mantenimiento de una escuela infantil y el empoderamiento de la mujer como objetivo en una de estas pequeñas aldeas , Tasslent . Y nos consideramos unas privilegiadas por la visita que pudimos hacer en marzo de este año . Lo primero que necesitábamos para poder contribuir de cierta manera y estructurar el proyecto era financiación , por lo que , usando nuestra creatividad y la ayuda de todos los miembros del colegio mayor , en especial de unos 20 compañeros , llevamos a cabo la que sería la Primera Jornada Solidaria del Valle de Tessaout , en la que organizamos y dirigimos diferentes actividades tanto deportivas como lúdicas . La recaudación fue todo un éxito gracias a la cooperación y la participación de jóvenes universitarios que en muchos casos no habían adquirido un compromiso de esta índole hasta el momento . No olvidaremos algunos momentos cómplices que vivimos las dos , como cuando nos encontrábamos en el único mercado de la zona y mediante el lenguaje que todos los niños entienden , el del juego , bailamos y cantamos juntos De la misma manera , y contando con que en un principio éramos solo cinco chicas , quisimos plasmar uno de los conflictos culturales más relevantes del siglo XXI , la discriminación de la mujer . Para ello creamos la Primera Semana de la Mujer de nuestro colegio mayor en la cual se vendieron diferentes artículos diseñados por colegiales reivindicando la igualdad de género . Así , fue como a lo largo de este año , fuimos generando entre nuestros compañeros el mismo entusiasmo y ganas que nosotras tenemos por fomentar la educación en esta zona de Marruecos , por lo que el resto de las actividades tuvieron una gran acogida y conseguimos alcanzar los objetivos económicos que nos habíamos planteado en septiembre de 2018 . Quisimos ver con nuestros propios ojos la realidad de la que tanto hablábamos a los demás , pero que no era más que aquella que nos habían transmitido a nosotras meses antes , dándole fuerza y consistencia a todo el propósito , y atrayendo a jóvenes para que se unieran y participasen junto a nosotras en nuestra aventura a Marruecos . Así el 9 de marzo de este mismo año iniciamos el viaje . No pudo ser muy largo , solo cinco días , pero los suficientes para palpar de primera mano las necesidades del valle , conocer su cultura y a sus gentes . Tuvimos la oportunidad única de compartir sus preocupaciones , que esperamos menguar de cierta manera o al menos ofrecerles nuestra pequeña ayuda para que sean capaces de llevar a cabo en la medida de lo posible todo aquello que nos describían . No olvidaremos algunos momentos cómplices que vivimos las dos , como cuando nos encontrábamos en el único mercado de la zona ( donde cabe destacar que las mujeres y las niñas tienen prohibido el acceso ) y mediante el lenguaje que todos los niños entienden , el del juego , creamos una atmósfera en la que bailamos y cantamos juntos . Lo curioso de esta anécdota es que una niña que pasaba caminando de la mano de su padre , al vernos a nosotras , se soltó de su mano y se unió , un reflejo crudo de realidad . Cuatro meses después seguimos con las mismas ganas , ahora ya no somos cinco chicas , se ha convertido en un proyecto en el que participa casi la totalidad del colegio mayor y , sobre todo , que cuenta con el apoyo incondicional de los 20 que fuimos a Tessaout . Al llegar a Marruecos nos advirtieron del que llaman el virus del valle , ahora sabemos que estamos contagiados , preparando las actividades para recaudar todo lo que podamos y aportar nuestro granito de arena para mejorar o , sería más exacto decir , iniciar la educación infantil y la alfabetización de la mujer en esa pequeña aldea olvidada del Norte de África . El final de esta aventura , esperamos , está aún muy lejano . Confiamos en pasarles el testigo a los nuevos cursos que van entrando en el colegio cada año , para mantenerla e incrementarla . La clave del éxito es el compromiso , y comprender , que toda ayuda es bien recibida , que día a día y con mucho esfuerzo se pueden alcanzar objetivos muy grandes . Por eso , animamos a todo el que nos lea a interesarse por esta zona del mundo , tan cercana y lejana de nosotros a la vez . Puedes seguir a PLANETA FUTURO en Twitter y Facebook e Instagram , y suscribirte aquí a nuestra newsletter.</t>
  </si>
  <si>
    <t>Para contar esta historia hay que remontarse a marzo de 2018 , en una sala donde se presentaba una nueva ONG . Ahora se ha convertido en un proyecto en el que participa casi todo un colegio mayor universitario</t>
  </si>
  <si>
    <t>Cinco universitarias de un colegio mayor de la Complutense iniciarón en 2018 un proyecto para crear una escuela infantil y mejorar el empoderamiento de la mujer en Tasslent, un pueblo del Valle del Tessaout en Marruecos donde mucha gente todavía no tiene acceso a agua potable y luz. Para financiar el proyecto organizaron la Primera Jornada Solidaria del Valle de Tessaout y la Primera Semana de la Mujer, siendo los dos eventos un éxito gracias a la participación de otros universitarios. Además, fueron cinco días a Tasslent a conocer la gente, su cultura, y sus necesidades. Cuatro meses después del viaje, el proyecto ha ganado el apoyo de la casi totalidad del colegio mayor y esperan que el proyecto continúe en el futuro.</t>
  </si>
  <si>
    <t>Cinco universitarias de entre 18 y 22 años, compañeras de un colegio mayor adscrito a la Complutense (Madrid), inician un proyecto para la construcción y el mantenimiento de una escuela infantil y tienen como objetivo el empoderamiento de la mujer en  Tasslent (Valle del Tessaout, Marruecos), proyecto que visitaron en marzo. Para la financiación del mismo organizaron la Primera Jornada Solidaria del Valle de Tessaout, en la que organizaron y dirigieron diferentes actividades tanto deportivas como lúdicas con ayuda de otros compañeros de colegio. Además, crearon la Primera Semana de la Mujer de su colegio mayor entre las actividades para generar entusiamo por el proyecto entre otros colegiales y conseguir alcanzar los objetivos económicos del mismo.
En marzo de este año 20 integrantes del proyecto hicieron un viaje de cinco días al valle para conocer sus necesidades, su cultura y sus gentes. También tuvieron ocasión de compartir sus preocupaciones. Cuatro meses después siguen preparando actividades para recaudar fondos para iniciar la educación infantil y la alfabetización de la mujer en Tasslent y confían en prolongar el proyecto en años venideros implicando a los colegiales que vayan entrando al colegio mayor.</t>
  </si>
  <si>
    <t>Cinco universitarias de entre 18 y 22 años del colegio mayor adscrito a la Complutense de Madrid inician un proyecto en 2018. Esta iniciativa surge tras conocer la ONG Acción Geoda, la cual trabaja en el Valle del Tessaout, una zona donde unas 80 aldeas de Marruecos carecen de acceso a servicios básicos. Así, mediante la organización de una jornada solidaria para recaudar fondos y gracias a la participación de compañeros del colegio mayor han logrado impulsar su proyecto. El 9 de marzo del mismo año iniciaron un viaje a Tessaout junto a otros compañeros donde tuvieron la oportunidad de vivir de primera mano las necesidades del valle e iniciar su plan para construir una escuela infantil y mejorar la alfabetización de la mujer. El proyecto cuenta con la participación de casi la totalidad del colegio mayor y confían en que esta iniciativa la continúen futuros estudiantes.</t>
  </si>
  <si>
    <t xml:space="preserve">http://elpais.com/ccaa/2019/09/12/madrid/1568307703_277564.html
</t>
  </si>
  <si>
    <t>La situación ya había llegado al límite entre varios vecinos y decidieron poner las cartas sobre la mesa en la siguiente junta de la comunidad . “ Situación : pisos turísticos . Cuota . Acuerdos a adoptar ” . Ese era el punto siete del orden del día de la reunión vecinal de un edificio histórico madrileño del siglo XIX en plena plaza de Cascorro . El debate que llegó después , y que se celebró el 9 de julio , dividió al vecindario . Estaba en juego algo importante : frenar la proliferación de estos apartamentos de paso en el edificio gracias a un arma que , unos meses antes , el Gobierno de Pedro Sánchez les había otorgado a través de un real decreto : si tres quintas partes del vecindario conseguían ponerse de acuerdo , se podría poner coto a esa práctica . Llegó la junta y las espadas dialécticas se pusieron en alto . 15 viviendas , tres de ellas turísticas , que se ofertan por Airbnb , y tres bandos . Por un lado estaban los vecinos que viven allí y ya están “ hartos ” de los inconvenientes que ocasionan los turistas ; por otro , los dueños que alquilan sus propiedades a los viajeros y creen que su negocio aporta a la comunidad “ beneficios ” ; y , en medio , aquellos que arriendan a terceros de manera indefinida . Y , al final del debate , la votación . Pero , sobre todo , una cuestión de fondo : ¿qué modelo de ciudad quieren construir ? Resultado final : nueve votos a favor de limitar esos negocios , cinco en contra . No habrá más pisos turísticos en ese edificio . Esta grieta que se ha abierto , según explica el Colegio Profesional de Administradores de Fincas de Madrid , se ha empezado a ensanchar en la capital , cuyos inquilinos han empezado a llamar a los administradores para informarse . “ Es bastante habitual . Es importante que la gente sepa que es para los nuevos , es decir , los pisos que ya son turísticos no puedes impedir que sigan siéndolo , pero puedes limitar o condicionar lo que pase en un edificio a partir del momento en que salió el real decreto ” . En el edificio de Cascorro se informaron y se organizaron . “ Estos alojamientos ocasionan molestias de todo tipo , y decidimos ponerlo sobre la mesa para que todos tengan conocimiento de lo que pasa , porque lo desconocen . Ellos se creen que tienen un filtro que les permite clasificar qué tipo de turistas entran y cuáles no , pero no tienen control sobre los visitantes ” , explica Gema Parrellada , presidenta de la comunidad , donde vive desde hace siete años y una de las personas que lideraron el encuentro vecinal para frenar lo que “ se ha convertido en un problema de convivencia ” . La cuestión de la votación es clave para explicar lo que ocurrió en esa reunión , donde el personal es tan heterogéneo como el propio barrio : empresarios que invirtieron hace años en rehabilitar un piso para sacarle rentabilidad , personas de mediana edad que se casaron con el banco para poder vivir en el centro y ancianos que han envejecido junto a las escaleras de madera centenaria del edificio que crujen con cada paso . Todos ellos llegaron a la junta con una idea entre ceja y ceja : la del párrafo añadido en el real decreto ley 7/2019 , del 1 de marzo , donde se otorgaba más poder a las comunidades de vecinos : si tres quintas partes de los propietarios de una comunidad se ponen de acuerdo , pueden rechazar el uso de una vivienda como turística y denegar más permisos a partir de ese momento . Hasta hace unos meses se exigía unanimidad . La plaza de Cascorro , entre Tirso de Molina y La Latina , es un reclamo turístico no solo porque los domingos y los festivos se planta ahí el Rastro . Ahí convergen bares castizos como el mítico Los Caracoles , teatros como El Pavón-Kamikaze . Y , a tres minutos andando , la Plaza Mayor . “ Los turistas , como es normal , vienen de vacaciones , tienen horarios diferentes y los dueños de esos pisos , al margen de la buena voluntad , tienen la prioridad del negocio ” , se queja la presidenta . Por todo eso , los ejemplos que se pusieron sobre la mesa en la junta fueron varios y diversos : un hincha de fútbol que , tras la última final de Champions , acabó desnudo a altas horas de la mañana y aporreó las puertas del vecindario . Una persona que , al no encontrar las llaves del portal , llamó insistentemente al telefonillo de los vecinos . Vómitos en el portal . El traqueteo de las ruedas de las maletas de madrugada . Risas y fiesta cualquier día de la semana . En el otro lado de la mesa , Guillermo , uno de los dueños de un piso ofertado por Airbnb , se muestra conciliador ante el malestar vecinal . “ A nosotros que se regule todo nos parece excelente , porque tiene que haber un equilibrio . Lo que está pasando con las viviendas turísticas responde a un cambio global , es un modelo nuevo y hay que adaptarse , legalmente hay que proteger los derechos de los dos lados ” , argumenta el propietario , integrante de la plataforma Madrid Aloja , la mayor organización de propietarios de viviendas turísticas . Guillermo , que prefiere que no salga su apellido y lugar exacto de su apartamento por miedo “ a que los vándalos lo destrocen ” , no ve nada negativo en que los turistas modifiquen la manera de configurar el barrio . “ Yo entiendo que se hable del modelo de ciudad , pero la conversación no es factual . Cuando se dice que el centro se está despoblando , es mentira , cada vez hay más gente empadronada ” , asegura . Aunque añade : “ Puede ser que se esté cambiando un poco el modelo de ciudad , pero a mejor . Por ejemplo , con la expansión del turismo y la gentrificación , se acaba con los narcopisos o la prostitución . También digo que se usa el concepto del negocio tradicional de forma populista , está idealizado , y a veces el cambio también es necesario ” . Decisión sentimental Entre medias de Parrellada y Guillermo se encontraba el caso de Sonia . Ella tampoco quiere que aparezca su apellido y cuenta que ha experimentado un debate interno con este tema . Vivió en ese mismo edificio siete años y lo dejó en 2014 , cuando nació el segundo de sus tres hijos . “ Siempre que lo pongo en alquiler hay varias empresas que me ofrecen tres o cuatro veces más de lo que gano haciéndolo por mi cuenta . Pierdo bastante dinero ” . Pero a pesar de que “ económicamente ” su familia va “ ajustada ” , su decisión de alquilarlo de manera indefinida responde a cuestiones éticas . “ Teníamos muy buena relación con todos en el edificio , era una comunidad multicultural y multigeneracional y a mí me gusta cuidar eso . Al final se trata de tener empatía como a mí me hubiera gustado que la tuvieran conmigo ” , explica . “ Pero también ” , continúa , “ por una cuestión de identidad , por la sensación de barrio que se respiraba . Es una cuestión de responsabilidad y de sentirte bien contigo mismo por seguir tus principios ” , subraya . Tres Administraciones y un problema sin resolver Las competencias de turismo en España están transferidas a las comunidades autónomas . Pero el Ayuntamiento de Madrid consideró , con el Gobierno de Carmena , que era necesario tener una normativa propia , y recurrió a Urbanismo , ya que la regulación de los usos del suelo es municipal . El Área de Desarrollo Urbano Sostenible estimó que existen entre 10.000 y 12.000 pisos turísticos , con una alta concentración en el centro . “ El porcentaje es demasiado pequeño para tener un impacto material . En Madrid , las viviendas que se alquilaron por más de 90 noches en 2018 representan solo el 0,4 % del total de viviendas en la ciudad , mientras que hay 153.100 casas vacías , que suponen el 10 % del total ” , explican fuentes de Airbnb . La última normativa del Ejecutivo de Carmena —que estableció que las viviendas de uso turístico suponen una actividad económica y , por tanto , requieren licencia— remarcó el requisito de tener un acceso independiente al del resto de las viviendas . Pero , ahora , José Luis Martínez-Almeida ha anunciado que ya está trabajando en la elaboración de una nueva regulación basada en “ criterios objetivos ” . Entre otras cuestiones , estudiará la posibilidad de eliminar ese requisito . Fernando Bardera , del colectivo Lavapiés ¿Dónde vas ? , considera , por tanto , que se perdió una gran oportunidad de cerrar pisos turísticos y cree que el real decreto de Sánchez “ es un brindis al sol ” . “ Un 70 % de esos pisos está en manos de grandes empresas hoteleras o de multipropietarios o grandes inversores que tienen diversificado el negocio y que los ponen como hoteles encubiertos ” . Isabel Bajo , presidenta del Colegio de Administradores de Fincas de Madrid , asegura que “ el turismo es una parte importante de la vida económica de una ciudad , pero no puede poner en riesgo la propia idiosincrasia y fisonomía de la misma ” . Los empresarios avisan de que el arma que otorgó el presidente del Gobierno está recurrida “ en los tribunales ” . No hay sentencia aún . Sigue con nosotros la actualidad de Madrid en Facebook , en Twitter y en nuestro Patio de Vecinos en Instagram.</t>
  </si>
  <si>
    <t>Una comunidad de la Plaza de Cascorro se acoge a la normativa por la cual si tres quintas partes están de acuerdo se prohíbe la proliferación de pisos turísticos</t>
  </si>
  <si>
    <t>Una comindad de vecinos de Madrid convocó una junta en la que la mayoría votaron a favor de no aceptar más pisos turísticos en el edificio. Un recién cambio en decreto ley 7/2019 se otorga más poder a las comunidades de vecinos, dándoles capacidad para rechazar el uso de una vivienda como turística y denegar más permisos a partir de ese momento si tres quintas partes de los propietarios de una comunidad están de acuerdo. Varios grupos de vecinos de esta comunidad -vecinos, dueños de pisos turísticos, y dueños que alquilan pisos con contrato indefinido -  destacan las molestias y ventajas que tiene el modelo actual y cómo ha cambiado el barrio.</t>
  </si>
  <si>
    <t>El 9 de julio los vecinos de un edificio histórico madrileño del siglo XIX en plena plaza de Cascorro decidieron por votación no tener más pisos turísticos en el edificio, con nueve votos a favor de la limitación y cinco en contra. Esta limitación fue posible gracias al real decreto que dice que, si tres quintas partes del vecindario así lo deciden, se puede poner coto a los pisos turísticos. El debate lo pusieron sobre la mesa los vecinos del inmueble que estaban hartos de los inconvenientes que ocasionan los turistas y también tuvieron derecho a voto los dueños que alquilan sus propiedades a los viajeros y los que alquilan su piso de manera indefinida. Gema Parrellada, presidenta de la comunidad, destaca la diferencia de horarios que tienen los turistas. Guillermo, que alquila su piso a turistas y es miembro de la plataforma Madrid Aloja, recibe con entusiasmo la regulación para poder defender los derechos de todos, pero argumenta que el cambio en la ciudad no es negativo en sí. Sonia, en cambio, alquila su piso de manera indefinida porque quiere mantener el estilo de comunidad que había en el edificio y el barrio.
Las competencias de turismo en España están transferidas a las comunidades autónomas y, en el caso de Madrid, la normativa de pisos turísticos de Madrid es obra del Ejecutivo de Carmena —que estableció que las viviendas de uso turístico suponen una actividad económica y, por tanto, requieren licencia— y remarcó el requisito de tener un acceso independiente al del resto de las viviendas. Pero, ahora, José Luis Martínez-Almeida ha anunciado que ya está trabajando en la elaboración de una nueva regulación donde se estudiará la posibilidad de eliminar ese requisito. Por lo tanto, en el colectivo Lavapiés ¿Dónde vas? creen que el real decreto "es un brindis al sol" y los empresarios avisan de que la normativa ya está recurrida en los tribunales.</t>
  </si>
  <si>
    <t>El nuevo real decreto ley 7/2019, del 1 de marzo, otorga más poder a las comunidades de vecinos, las cuales pueden rechazar el uso de la vivienda como turística siempre y cuando tres quintas partes de los propietarios de una comunidad se pongan de acuerdo. La polémica surge en una reunión vecinal de un edificio histórico madrileño del siglo XIX, en plena plaza de Cascorro, Madrid, cuando el 9 de julio se reúne la comunidad para adoptar acuerdos con respecto a los pisos turísticos. El resultado, nueve votos a favor de limitar el alojamiento turístico y cinco en contra. Aún así, esta polémica genera posturas opuestas entre los vecinos: los que viven allí se oponen por los inconvenientes que ocasionan los turistas; los dueños que alquilan dichos pisos están a favor y, en medio de ambos, están aquellos que  arriendan a terceros.</t>
  </si>
  <si>
    <t>http://elpais.com/deportes/2019/08/10/actualidad/1565426201_075062.html</t>
  </si>
  <si>
    <t>Deporte pionero en el uso de la tecnología , el rugby afronta otro cambio radical en su juego que haría temblar a puristas de muchos deportes . Las normas clásicas , pensadas para físicos de otra época , han sido puestas en jaque por cuerpos cada vez más atléticos , que chocan a una velocidad mayor y que pasan más tiempo de juego efectivo que sus antecesores . Ese riesgo , traducido en conmociones cerebrales , lesiones graves y varios fallecidos , ha llevado a World Rugby —la federación internacional— a castigar los placajes altos y facilitar un juego más fluido . Entre las normas en estudio destaca la prohibición de placar por encima de la cintura . World Rugby esgrime un diagnóstico sólido . El placaje es responsable de la mitad de las lesiones en un partido de rugby y del 76 % de las conmociones cerebrales . De ellas , el 72 % las sufre el placador . El tiempo de juego efectivo ha aumentado hasta los 40 minutos —la mitad del partido— y ello ha triplicado el número de placajes desde 1987 , fecha del primer Mundial . Los cambios en los últimos años han castigado con dureza los derribos más imprudentes ; como consecuencia , las lesiones no han aumentado y las conmociones han descendido . Aun así , sus dirigentes consideran que se puede hacer más . El presidente del ente mundial , Bill Beaumont , insiste en el compromiso para que el rugby sea “ lo más simple y seguro posible ” . El razonamiento de prohibir el placaje por encima de la cadera , una limitación drástica , está en reducir el riesgo de lesiones en la cabeza , para placador y placado . World Rugby no ha explicitado dónde se llevarán a cabo estos ensayos , pero sugiere que será en las categorías amateur de Francia , que ha visto morir a tres jugadores en la última temporada y acogerá el Mundial de 2023 . La aplicación no afectará al que se disputará a partir de septiembre en Japón . Además de la salud de los jugadores , John Jeffrey , responsable de la normativa , no esconde una segunda intención al destacar “ los beneficios de mejorar el espectáculo para jugadores , árbitros y aficionados ” . En Inglaterra 2015 , la ilustre lista de lesionados mermó a varios contendientes . Maceo Brown placa al brasileño Felipe Sancery durante los XVIII Juegos Panamericanos Sergio Moraes reuters Se estudian más cambios . Se premiará el juego indirecto —menos contacto— del pateador ; además , cuando un jugador sea volteado sobre la línea que marca el ensayo , el equipo defensor será premiado y recuperará el balón en lugar de que el atacante lo ponga en juego a través de una melé , como ocurre ahora . El objetivo de ambas normas es reducir las percusiones constantes contra el muro defensivo e incentivar un estilo más dinámico . La teoría dice que impulsa el rugby total de los All Blacks y dificulta el engranaje de desgaste de delanteras poderosas como la irlandesa o sudafricana , que gustan de debilitar al rival a fuego lento . La normativa también plantea castigar con más dureza las infracciones . Durante los 10 minutos en que un jugador es castigado en el banquillo cuando ve una tarjeta amarilla , los colegiados podrán revisar la acción y elevar la sanción a tarjeta roja . Además , se fijará un número de golpes de castigo a partir del cual el equipo infractor vería una tarjeta amarilla . Ese castigo a las infracciones reiteradas incentivaría que los defensores arriesguen menos para recuperar el balón . Fomenta un estilo plástico , quizás más al gusto del consumidor más joven , frente al esforzado rugby de trincheras y su épica del desgaste . Y es que en un 40-38 hay más highlights que en un 8-7 , que puede ser una gozada para el purista . El argumento de la salud es irrebatible , pero no es el único . Más puntos . Más espectáculo . Más audiencias . Puedes seguir Deportes de EL PAÍS en Facebook , Twitter o suscribirte aquí a la Newsletter.</t>
  </si>
  <si>
    <t>Se estudia prohibir los placajes por encima de la cintura y cambios para dinamizar el juego</t>
  </si>
  <si>
    <t>World Rugby, la federación internacional, está planteando una serie de cambios en las normas del rugby para promover un estilo de juego más fluido y dinámico. Entre ellos el más radical sería prohibir los placajes por encima de la cintura, lo cual es responsable de la mitad de las lesiones y del 76% de las conmociones cerebrales. Estos cambios se deben a que el físico de los jugadors y tiempo de juego han ido evolucionando. También podrían mejorar el espetáculo, ya que habría menos lesiones y fomentarían un estilo más plástico que podría gustar más. Todavía no ha aclarado World Rugby dónde se llevarán a cabo los cambios, pero no afectarán al Mundial de 2023.</t>
  </si>
  <si>
    <t>Los jugadores de rugby son cada vez más atléticos, chocan a una velocidad mayor y pasan más tiempo de juego efectivo que sus antecesores. Esto ha puesto en jaque las normas clásicas del deporte y ha aumentado el riesgo de conmociones cerebrales, lesiones graves y fallecimiento. El placaje es responsable de la mitad de las lesiones en un partido de rugby y del 76 % de las conmociones cerebrales y, además, el aumento del tiempo de juego efectivo ha triplicado el número de placajes desde 1987. Estos riesgos han propiciado el cambio de normas y, en consecuencia, las lesiones no han aumentado y las conmociones han descendido.
La prohibición de placar por encima de la cintura busca reducir el riesgo de lesiones en la cabeza. Además, John Jeffrey, responsable de la normativa, cree que esta mejorará el espectáculo para jugadores, árbitros y aficionados. World Rugby sugiere que la primera aplicación de la norma en las categorías amateur de Francia, pero no se aplicará en el mundial de Japón. 
También se estudian más cambios como premiar el juego indirecto, con menos contacto del pateador y la recuperación del balón por parte del equipo defensor cuando un jugador sea volteado sobre la línea que marca el ensayo. Además, se plantea castigar con más dureza las infracciones. El objetivo final es fomentar un mayor tanteo para aumentar el espectáculo y por ende las audiencias.</t>
  </si>
  <si>
    <t xml:space="preserve">El rugby enfrenta nuevos cambios mediante la implantación de una nueva normativa que busca hacer más seguro y fluido este deporte. La federación internacional, el World Rugby, plantea castigar los placajes por encima de la cintura, los cuales son los responsables de la mitdad de las lesiones, especialmente conmociones, en un partido de rugby. Además, plantea castigar con más dureza las infracciones mediante la elevación de una tarjeta amarilla a una roja si la acción lo requiere. </t>
  </si>
  <si>
    <t>http://elpais.com/elpais/2019/07/11/gente/1562866782_776897.html</t>
  </si>
  <si>
    <t>Fue el primer concursante confirmado para participar en Supervivientes , el reality de Telecinco , pero sus casi 10 semanas en la isla de Honduras le han pasado factura , y de manera literal . Nicolás Vallejo-Nájera , más conocido como Colate , llegaba a España el pasado 3 de julio tras ser expulsado por el público y esta semana ha tenido que ser operado de la clavícula debido a un accidente que sufrió en la isla pocos días antes de su regreso . Todo ocurrió a raíz de una prueba semanal que consistía en transportar una gigante y pesada rueda que , en un momento de desestabilización , cayó aplastando a Colate , quien se retorció de dolor . Los primeros chequeos médicos a los que se sometió en Honduras indicaban que podía continuar con el concurso . Sin embargo , tras ser expulsado por el público y después de nuevos exámenes realizados a su llegada , los especialistas optaron por operar y acabar con las molestias y dolores derivados de la fractura de la clavícula . “ En las mejores manos para arreglar algo de lo que se rompió en Honduras ” , escribió el martes el empresario y expareja de la cantante Paulina Rubio en su Instagram con una foto en la que se le ve en una cama de hospital junto a su médico . Colate ingresó el lunes en la clínica madrileña Ruber Internacional , donde llegó solo , con el brazo en cabestrillo y una maleta . El propio empresario ha explicado que su hermana , la cocinera y jurado de MasterChef Samantha Vallejo-Nájera , no pudo acompañarlo por encontrarse fuera de Madrid . Sin embargo , él no se siente solo . Prueba de ello ha sido el apoyo que ha recibido por parte de su familia y amigos durante su estancia en el concurso . En este tiempo , las redes sociales de Colate han seguido funcionando y se han llenado de posts reclamando la salvación del concursante cada vez que era nominado . Algo que ha conseguido hasta esta última semana , casi a las puertas de quedarse entre los finalistas . Ver esta publicación en Instagram Una publicación compartida de Samantha Vallejo-Nágera ( @ samyspain ) el 26 Jun , 2019 a las 2:55 PDT El apoyo de su mediática hermana ha sido clave . Acostumbrada a mantenerse al margen en los problemas económicos y personales de Colate , Samantha Vallejo-Nájera se ha mostrado fiel a su hermano pequeño y como una de sus máximas defensoras . Siempre desde la sombra , la jueza de MasterChef no ha dudado en publicar en sus redes sociales mensajes de ánimo y vídeos con su hijo Roscón pidiendo que su tío continuara en el concurso . Supervivientes ha servido para resucitar al gentleman que asumió con gusto que fuera más conocido por su fama de conquistador que por su faceta como empresario y relaciones públicas . Colate ya hizo gala de ello durante su participación en el programa Ven a cenar conmigo : Edición Gourmet , donde —realidad o ficción— se dedicó más a intentar ligar con Gloria Camila Mohedano , hija de Rocío Jurado y José Ortega Cano , que a demostrar sus dotes culinarias . La misma tónica ha seguido en el reality de supervivencia donde amagó con sus dotes de seductor primero con Isabel Pantoja y , después , con Mónica Hoyos . Aunque con las dos tuvo varios desencuentros por su manera de querer organizar y dirigir el trabajo en la isla . `` Soy la persona que mejor la ha tratado en el programa , con la mayor caballerosidad . Creo que hubo una conexión conjunta sincera , pero las condiciones del concurso lo estropearon '' , asegura en una entrevista en la revista ¡Hola ! este miércoles sobre su relación con la tonadillera . De la intérprete de Marinero de Luces cuenta que no la conocía , pero pocos días antes de entrar en Supervivientes coincidió con ella en un aeropuerto . `` La vi muy asustada , creo que le ayudé mucho y le transmití buena energía '' , dice . Isabel Pantoja y Colate , en el concurso de 'Supervivientes ' . Una vanidad que Colate vuelve a sacar a relucir cuando asegura que los desencuentros con Pantoja tal vez tuvieron que ver con un posible resquemor de la cantante por la supuesta atracción con la que se bromeó durante el programa . `` Yo me lo tomé con humor y seguía el juego al concurso , [ ... ] pero creo que en el origen de nuestros desencuentros había también un poquito de eso '' , admite . Sobre los motivos por los que terminaron enfrentándose explica : `` Era la que más poder tenía sobre los demás y la que más ha manipulado a la gente . Después de Carlos Lozano me convertí en su objetivo . Me cogió manía , a pesar de que comía todos los días de mi pescado '' . Un producto muy valioso en la isla del que se atribuye haberse convertido en un auténtico especialista . `` Pesqué 93 peces '' , afirma . Sobre su efímera amistad con Mónica Hoyos , el empresario asegura que la expareja de Carlos Lozano también ha sido una manipuladora . No es ninguna de estas dos mujeres la que más gustó a Colate en la isla . Según desvela ahora , fue Encarna Salazar , una de las hermanas de las Azúcar Moreno que abandonaron el concurso al principio , quien más le atrajo desde el principio . `` Me fascinó como mujer y su belleza exterior e interior , hasta me tenía un poco embobado '' , admite . Otra de sus facetas , hasta ahora desconocidas por el público español , ha sido su afán competitivo y ganador . Nombrado en varias ocasiones como el líder del grupo , debido a su esfuerzo en cada una de las pruebas , la audiencia ha descubierto a un Colate exigente , cuadriculado y también demasiado autoritario con sus compañeros . `` Di la vuelta al mundo en el Juan Sebastián Elcano y aprendí lo que era la disciplina militar . Para la superviviencia extrema hace falta orden y liderazgo '' , zanja . El otro aspecto por el que es conocido Colate es por su agrio divorcio de Paulina Rubio y sus desencuentros a causa del hijo que tienen en común . La pareja se separó en 2012 , después de cinco años de matrimonio . Durante dos años mantuvieron un duro enfrentamiento que finalizó en 2014 cuando finalmente llegaron a un acuerdo de divorcio en el que los principales problemas tuvieron que ver con las condiciones del régimen de visita del hijo de la pareja , Andrea Nicolás . Nico , como la llaman familiarmente , es el motivo por el que Colate sigue viviendo en Miami . Durante su estancia en Supervivientes , el empresario ha cuidado mucho hablar del pequeño , de ocho años , y de esta pasada etapa con la cantante mexicana . No ha hecho lo mismo en la exclusiva con ¡Hola ! , en la que cuenta que lo primero que hizo nada más llegar fue hablar durante tres horas y media con su hijo . El pasado abril Paulina Rubio demandó a Colate porque supuestamente le había ocultado el paradero de su hijo y había roto por tanto el acuerdo de custodia compartida . Las aguas se calmaron y el asunto no fue a más , padre e hijo mantienen una buena relación y , según cuenta ahora , ha sido la propia cantante quien le ha llevado a su hijo en persona tras su regreso de Honduras . Este tipo de problemas no son nuevos para Paulina Rubio , pues ha mantenido estas mismas disputas con su otra expareja , Gerardo Bazúa padre de su segundo hijo . Bazúa y Rubio se conocieron en la edición mexicana de La Voz —la intérprete de Ni una sola palabra era su coach— y juntos tuvieron a Eros , que actualmente tiene tres años . Bazúa , que acaba de contraer nuevo matrimonio , aseguraba hace unos meses a través de sus redes sociales que Rubio no le dejaba ver a su hijo.</t>
  </si>
  <si>
    <t>El empresario y exmarido de Paulina Rubio llevaba años desaparecido del panorama nacional y asume un mayor protagonismo después de pasar por dos 'realities ' de Telecinco</t>
  </si>
  <si>
    <t>Nicolás Vallejo-Nájera, conocido como Colate, fue operado de la clavícula debido a un accidente occurido en Supervivientes. Despues de ser expulsado en julio, los especialistas optaron por operar, aunque los primeros chequeos médicos indicaban que no hacía falta. Ha recibido mucho apoyo de su familia y amigos, entre otros su hermana, la cocinera y jurado de MasterChef Samantha Vallejo-Nájera.
Supervivientes ha servido para resuscitar la carrera de Colate, conocido por su fama de conquistador, que salió a la luz en varios desencuentros en Supervivientes. También se ha quedado plasmado su afán competitivo y ganador. Además de su paso por Supervivientes, Colate es conocido por su relación tumultuosa con su ex-pareja, Paulina Rubio, con la que comparte un hijo.</t>
  </si>
  <si>
    <t>Nicolás Vallejo-Nájera, Colate, llegó a España el pasado 3 de julio tras ser expulsado de Supervivientes por el público y esta semana ha sido operado en la clínica madrileña Ruber Internacional de la clavícula debido a un accidente que sufrió en la isla pocos días antes de su regreso en una prueba semanal que consistía en transportar una gigante y pesada rueda. Los primeros chequeos médicos en Honduras indicaban que podía continuar con el concurso, pero tras nuevos exámenes realizados a su llegada, los especialistas optaron por operar y acabar con las molestias y dolores derivados de la fractura. 
Aunque acudió solo a la operación, Colate, ha tenido el apoyo de sus allegados durante el concurso, en especial de su hermana Samantha. Además, Supervivientes ha servido para resucitar su faceta de seductor, donde puso sus dotes de manifiesto primero con Isabel Pantoja y luego con Mónica Hoyos. Aunque con las dos tuvo varios desencuentros por su manera de querer organizar y dirigir el trabajo en la isla. Colate asegura que los desencuentros con Pantoja tal vez tuvieron que ver con un posible resquemor de la cantante por la supuesta atracción con la que se bromeó durante el programa. De Mónica Hoyos, en cambio dice que es una manipuladora.
Colate también es conocido por su agrio divorcio de Paulina Rubio en 2012 con la que tiene un hijo, Andrea Nicolás. El pasado abril Paulina Rubio demandó a Colate porque supuestamente le había ocultado el paradero de su hijo y había roto por tanto el acuerdo de custodia compartida, pero, ahora, padre e hijo mantienen una buena relación y ha sido la propia cantante quien le ha llevado a su hijo en persona tras su regreso de Honduras.</t>
  </si>
  <si>
    <t>Nicolás Vallejo-Nájera, más conocido como Colate, ha sido operado de la clavícula debido a un accidente que sufrió en la isla de Honduras durante el concurso Supervivientes, al transportar una pesada rueda durante una de las pruebas. Aunque los médicos en Honduras le permitieron su continuación en el programa, tras su expulsión por el público y su llegada a España, especialistas optaron por operarlo. El empresario, también conocido por ser expareja de la cantante Paulina Rubio y hermano de la cocinera y jurado de MasterChef Samantha Vallejo-Nájera, destaca por su fama de conquistador, actitud que se pudo ver reflejada en varios programas con personas como Isabel Pantoja o Mónica Hoyos.</t>
  </si>
  <si>
    <t>http://elpais.com/elpais/2019/07/19/ciencia/1563535714_854872.html</t>
  </si>
  <si>
    <t>India ha lanzado hoy la nave Chandrayaan 2 con la que el país intenta convertirse en el cuarto país del mundo que posa un aparato en la Luna . La misión es una nueva muestra del pujante programa espacial indio , pues está desarrollada en su práctica totalidad en este país , que ya envió una nave orbital a la Luna , la Chandrayaan 1 , en 2008 . La Chandrayaan 2 ha despegado sobre las once y media hora peninsular española . Está previsto que su viaje hasta el satélite dure dos meses . Primero la nave se quedará realizando varias órbitas en torno a la Tierra mientras los ingenieros de la misión comprueban que todos sus componentes funcionan como es debido . Las órbitas serán cada vez más elípticas hasta que en la última se encenderán los propulsores para salir en línea recta hacia la Luna . Tras completar los más de 380.000 kilómetros que nos separan del satélite la nave será atraída por la gravedad lunar y quedará anclada en su órbita completando vueltas cada vez más cercanas a la superficie hasta llegar a una altura de 100 kilómetros de la superficie . Del módulo orbital se desprenderá el vehículo de alunizaje Vikram , llamado así en honor del padre del programa espacial indio Vikram Sarabhai , fallecido en 1971 . Esta parte de la misión es la más delicada y la que ha supuesto un importante reto tecnológico para el país . Originalmente esta era una misión conjunta con Rusia , que debía aportar el módulo lunar . Tras el desastre de Fobos-Grunt , la misión rusa dirigida a Fobos , uno de los satélites de Marte , para recoger muestras de su superficie y regresar , la agencia espacial rusa se retiró del proyecto indio , según The Hindu . India siguió adelante con su propio proyecto de aterrizaje , lo que supuso un retraso sobre los planes iniciales . El destino de la misión es una llanura situada entre Manzinus C y Simpelius N , dos cráteres situados cerca del polo sur de la Luna . Tras el alunizaje , está previsto que salga de las entrañas del Vikram un pequeño rover , un vehículo de seis ruedas que se deslizará por una rampa hasta la superficie lunar y podrá recorrer una distancia de medio kilómetro . El vehículo , bautizado como Pragyan ( sabiduría en sánscrito ) , similar en concepto al que China envió a la cara oculta de la Luna dentro de su misión Chang ’ e 4 , lleva cámaras e instrumentos científicos y solo puede comunicarse con el módulo lunar , que a su vez enviará los datos al módulo orbital y este , a la Tierra . Está previsto que el módulo lunar y el Pragyan estén operativos durante 14 días . Si la misión tiene éxito , India habrá logrado un importante hito en su carrera espacial , pues hasta la fecha solo EE UU , Rusia y , este mismo año , China , han conseguido posar una nave en la superficie de la Luna.</t>
  </si>
  <si>
    <r>
      <rPr>
        <rFont val="Arial"/>
        <color rgb="FF000000"/>
        <sz val="9.0"/>
      </rPr>
      <t>El país asiático</t>
    </r>
    <r>
      <rPr>
        <rFont val="Arial"/>
        <color rgb="FF000000"/>
        <sz val="9.0"/>
      </rPr>
      <t xml:space="preserve"> lanza la 'Chandrayaan 2 ' , en su misión espacial más ambiciosa para explorar el polo sur del satélite</t>
    </r>
  </si>
  <si>
    <t xml:space="preserve">India ha lanzado hoy la nave Chandrayaan 2 con la que el país intenta convertirse en el cuarto país del mundo que posa un aparato en la Luna. La nave hará varias órbitas en torno a la Tierra y se supone que tardará dos meses antes de llegar a la Luna. Al llegar a la Luna, un pequeño rover equipado con cámeras e instrumentos científicos recorrerá una distancia de medio kilómetro.  Aunque originalmente iba a ser una misión conjunta con Rusia, Rusia se retiró después de un desastre con otra misión. </t>
  </si>
  <si>
    <t>India ha lanzado hoy la nave Chandrayaan 2 con el objetivo de posarla en la luna y demostrar la pujanza de su programa espacial. Está previsto que el viaje dure dos meses. Primero la nave se quedará en órbita en torno a la Tierra mientras los ingenieros verifican su funcionamiento. En la última se encenderán los propulsores para salir en línea recta hacia la Luna hasta que la nave será atraída por la gravedad lunar y quedará anclada en su órbita a una altura de 100 kilómetros de la superficie. Entonces, del módulo orbital se desprenderá el vehículo de alunizaje Vikram que se espera que aterrice en una llanura situada entre los cráteres Manzinus C y Simpelius N. Tras el alunizaje, un pequeño rover, Pragyan, de seis ruedas saldrá a la superficie lunar y podrá recorrer una distancia de medio kilómetro. Está previsto que el módulo lunar y el Pragyan estén operativos durante 14 días y, si la misión tiene éxito, India será el cuarto país del mundo que posa un aparato en la Luna.</t>
  </si>
  <si>
    <t>India ha lanzado hoy, sobre las once y media de la hora peninsular española, la nave Chandrayaan 2, convirtiéndose así en el cuarto país del mundo en lograr un alunizaje, tras EE.UU., Rusia y China. Está previsto que el viaje dure dos meses y que el destino de la misión sea una llanura cerca del polo sur de la luna. Del módulo orbital se desprenderá el vehículo de alunizaje Vikram que, a su vez, liberará un vehículo que enviará datos a la Tierra durante 14 días.</t>
  </si>
  <si>
    <t>http://elpais.com/ccaa/2019/09/28/catalunya/1569665675_576416.html</t>
  </si>
  <si>
    <t xml:space="preserve">La Policía ha detenido en Alemania al joven de 17 años que estaba siendo buscado como presunto autor de la muerte de su hermana , de 14 , cuyo cadáver fue hallado en el domicilio familiar de Mataró , Barcelona , el pasado junio . El joven ha sido trasladado ya a España y ha sido puesto a disposición de la fiscalía de menores , según fuentes cercanas al caso . El menor estaba siendo buscado desde el pasado mes de junio , después de que se encontrara en el domicilio familiar el cadáver de su hermana , de 14 años , con heridas de arma blanca . El crimen ocurrió cuando la madre de ambos menores , de origen ruso , se encontraba de viaje , por lo que los dos adolescentes se habían quedado solos en la vivienda , situada en el barrio Cerdanyola de Mataró . Alertada por no poder contactar con sus hijos , la mujer pidió a unos amigos que acudieran a su domicilio , donde estos encontraron el cadáver de la menor , sin rastro de su hermano mayor.
</t>
  </si>
  <si>
    <t>El joven , de 17 años , estaba siendo buscado como presunto autor de la muerte</t>
  </si>
  <si>
    <t>La Policía ha detenido en Alemania al joven de 17 años, que presuntamente asesinó a su hermana, de 14, con una arma blanca el pasado junio en Mataró. El joven ha sido trasladado a España y está a disposición de la fiscalía de menores. El crimen ocurrió cuando la madre estaba de viaje y los menores se habían quedado solos en casa.</t>
  </si>
  <si>
    <t>La Policía ha detenido en Alemania al joven de 17 años que estaba siendo buscado como presunto autor de la muerte por arma blanca de su hermana en Mataró el pasado junio cuando los dos adolescentes se habían quedado solos en la vivienda. Tras los hechos, alertada por no poder contactar con sus hijos, la madre pidió a unos amigos que acudieran a su domicilio, donde estos encontraron el cadáver de la menor, sin rastro de su hermano mayor. El joven ha sido trasladado ya a España y ha sido puesto a disposición de la fiscalía de menores.</t>
  </si>
  <si>
    <t>Un joven de 17 años ha sido detenido en Alemania por el presunto asesinato de su hermana, de 14 años, hallada el pasado junio en el domicilio familiar de Mataró, Barcelona, con heridas de arma blanca. El cadáver fue encontrado por unos amigos de la madre de ambos menores, quien se encontraba de viaje. El joven ha sido trasladado a España y puesto bajo disposición de la fiscalía de menores.</t>
  </si>
  <si>
    <t>http://elpais.com/elpais/2019/07/17/gente/1563351601_839455.html</t>
  </si>
  <si>
    <t>Se confirma : Alejandro Sanz ( 50 años ) y Raquel Perera ( 44 años ) se separan después de 12 años juntos . Los rumores sobre las desavenencias de la pareja comenzaron hace poco más de una semana y este miércoles la revista ¡Hola ! oficializa su separación y afirma que cada uno de ellos ha comenzado un camino por separado . Se trata solamente de la constatación de una separación que se daba por hecha desde que el pasado domingo tanto el cantante como Perera publicaran en sus respectivas cuentas de Instagram y simultáneamente una imagen donde aparecían los dos sonrientes con sus hijos y un texto ambiguo pero bastante inequívoco : `` Somos una familia y siempre lo seremos . Decidimos amarnos para siempre y así será . Lo eterno tiene la complejidad y la ventaja de transformar las maneras de amarse en otras direcciones , sin destruir el cariño , la lealtad y la responsabilidad conjunta sobre nuestros hijos . Nuestra familia está por encima de cualquier cosa ... es diversa y bella , como la vida y así permanecerá . El mundo cambia , nosotros también , siempre amorosamente . Gracias por respetarlo '' . Cuatro frases que resumían 12 años de relación y también cómo iba a ser su relación de familia en el futuro : una separación respetuosa con dos hijos , Dylan y Alma , en el centro de sus preocupaciones y con una clara declaración respecto a su presente pero también a su futuro : el mundo cambia , ellos también , pero lo harán `` amorosamente '' . Su declaración llegaba tres días después del octavo cumpleaños de su hijo Dylan , a quien llaman Capitán Tapón , y después de celebrarlo todos juntos en una fiesta . Un día después Raquel , junto a sus dos hijos , cogía un avión con destino a Madrid y después a una playa . Mientras , Alejandro Sanz está con su hija Manuela , fruto de su primer matrimonio , y continúa con sus conciertos de La Gira cuyas próximas citas serán a partir del 28 de agosto en Estados Unidos y en México . Raquel Pereda y Alejandro Sanz comenzaron su relación en 2007 , dos años después de que el cantante se separara de Jaydy Michel con quien se había casado en Indonesia en 1999 . Al principio mantuvieron su relación fuera del foco de los medios y en enero de 2011 anunciaron que esperaban su primer hijo , Dylan , que nació el 12 de julio de ese año . Con la misma discreción , y por sorpresa , la pareja contrajo matrimonio el 26 de mayo de 2012 en la finca que el cantante tiene en la localidad cacereña de Jarandilla de la Vera . Un enlace que ni siquiera conocían los familiares y amigos a los que congregaron allí ese día y que pensaban que solo asistían al bautizo de Dylan , que se celebró al mismo tiempo que su matrimonio . El 24 de julio de 2014 llegaba al mundo su segundo hija , Alma . El cantante tiene además un cuarto hijo , Alexander , de una relación extramatrimonial y a quien Sanz dio a conocer a través de un comunicado en diciembre de 2006 . En dicho comunicado el músico afirmaba que su hijo tenía entonces tres años y explicaba que si no había informado antes de su existencia había sido por `` expreso deseo de la madre , una mujer totalmente ajena a la vida pública '' . Raquel Perera siempre se ha mantenido en un discreto segundo plano en la vida pública del cantante . Estudió Psicología y se especializó en Comunicación y Marketing y conoció al cantante trabajando como su asistente personal , una actividad que dejó después de su boda . Desde entonces , además de ejercer su maternidad , se ha centrado en temas de cosmética , y ella misma contó en el blog de la firma Matriskin que es la distribuidora de la firma para España y América desde que las descubrió y le solucionaron una afección cutánea . Hasta el último momento la pareja ha mantenido la buena sintonía . El pasado mes de marzo Alejandro Sanz organizó en Miami una fiesta sorpresa a su mujer para celebrar su 44 cumpleaños y ella publicó un storie en Instagram junto a una fotografía de ambos que dejaba claro el cariño que les une : `` Gracias a todos . Pero , sobre todo , a ti , mi moreno bello por abrazarme con todo ''.</t>
  </si>
  <si>
    <t>Una semana después de comenzar los rumores , se confirma la separación de la pareja después de doce años juntos y dos hijos en común , Dylan y Alma</t>
  </si>
  <si>
    <t>Alejandro Sanz y Raquel Perera se separan amablemente después de 12 años juntos. Su relación comenzó en 2007 y se casaron en 2012. Sanz tiene dos hijos con Perera, Dylan y Alma, además de una hija de su primer matrimonio con Jaydy Michel, Manuela, y un cuarto hijo, Alexander, de una relación extramatrimonial.</t>
  </si>
  <si>
    <t>Alejandro Sanz (50 años) y Raquel Perera (44 años) se separan después de 12 años juntos. Los rumores sobre las desavenencias de la pareja comenzaron hace poco más de una semana y este miércoles la revista ¡Hola! oficializó su separación. El pasado domingo tanto el cantante como Perera publicaran simultáneamente en sus respectivas cuentas de Instagram una imagen donde aparecían con sus hijos y un texto que decía que eran una familia, pero que decidían amarse "en otras direcciones", tres días después de celebrar juntos el cumpleaños de su hijo Dylan. El día después Raquel se fue a la playa con sus dos hijos, mientras que Alejandro se quedaba con su hija Manuela.
Raquel Pereda y Alejandro Sanz comenzaron su relación en 2007 y en enero de 2011 anunciaron que esperaban su primer hijo, Dylan, que nació el 12 de julio de ese año. La pareja contrajo matrimonio el 26 de mayo de 2012 en la finca que el cantante tiene en Jarandilla de la Vera y el 24 de julio de 2014 nació su segunda hija, Alma. El cantante tiene además un cuarto hijo, Alexander, de una relación extramatrimonial, que dio a conocer a través de un comunicado en diciembre de 2006. Raquel Perera siempre se ha mantenido en un discreto segundo plano. Estudió Psicología y se especializó en Comunicación y Marketing y conoció al cantante trabajando como su asistente personal. Después se ha centrado en temas de cosmética.
Hasta el último momento la pareja ha mantenido la buena sintonía. Por ejemplo, en marzo Alejandro Sanz organizó en Miami una fiesta sorpresa a su mujer para celebrar su 44 cumpleaños y ella publicó un story en Instagram que dejaba claro el cariño que les une.</t>
  </si>
  <si>
    <t>Alejandro Sanz y Raquel Perera han anunciado su separación después de 12 años juntos y dos hijos en común, Dylan y Alma. La separación la han anunciado a través de Instagram, aclarando que se trataba de una decisión respetuosa y afirmando que, hasta el último momento, la pareja ha mantenido una buena relación.</t>
  </si>
  <si>
    <t>http://elpais.com/tecnologia/2019/08/20/actualidad/1566294736_117123.html</t>
  </si>
  <si>
    <t>Apasionante el programa de la nueva edición , la 21 ª , del Festival de Cine Judío de Barcelona . Variedad de historias ( y de géneros ) , siempre con la temática judía de fondo , y algunas con un interés humano estremecedor . Las 15 películas que se ofrecen desde mañana jueves al día 29 incluyen títulos sobre personajes tan distintos ( y opuestos ) como Walter Benjamin y Kurth Waldheim , una recreación de la triste historia de amor , plasmada en cartas , entre la poetisa Ingeborg Bachman y el poeta Paul Celan ; el dramático regreso a Birkenau de una superviviente del campo , el viaje juntos por Eslovaquia del hijo de una víctima de un oficial nazi y el de su asesino , la vida de una joven judía etíope de 16 años durante la guerra civil en su país mientras la familia planifica emigrar a Israel o la inesperada y extravagante relación entre el ayudante en una popular telenovela palestina y el comandante israelí del check point por el que ha de pasar el primero cada día para ir a los estudios de grabación y cuya mujer es fan de la serie ( Tel Aviv en llamas , de Sameh Zoabi ) . También entre lo más interesante ( y previsiblemente duro ) el reportaje austriaco La guerra del Este , en el que viejos ex combatientes de las fuerzas armadas alemanas cuentan a palo seco sus experiencias en la guerra de exterminio en el frente oriental ( miércoles 18 ) . Fotograma de 'Tel Aviv en llamas ' , filme que programa el festival . Otra de las películas , M , de Yolande Zauberman , trata sobre un estudioso del Talmud en el seno de la comunidad judía ultraortodoxa de los Kharedim que guarda el secreto de su violación por miembros de ese grupo ( días 22 y 29 ) . El festival dedica un homenaje a la documentalista , cineasta y escritora austriaca Ruth Beckermann . De ella se proyectará una retrospectiva con , entre otras , la película sobre Bachmann y Celan ( Los soñadores ) , en la que dos jóvenes actores se encuentran para leer las cartas de los dos poetas , y El caso Waldheim , con material de archivo y filmaciones de la directora , sobre las mentiras del ex secretario general de la ONU y antiguo oficial de la Wehrmacht ( mañana día 12 , con presencia de lBeckermann ) . A no perderse de la propia Beckermann El puente de papel , viaje a la historia de su familia y de los judíos de la Europa central , desde Viena a Bucovina ( martes 17 ) . Jonathan Agassi me salvó la vida , del cineasta israelí Tomer Heymann , es un documental sobre una famosa estrella del porno gay con atención a la relación entre el actor y su madre ( el director presentará su filme los días 27 y 28 ) . Las musas de Bashevis Singer es un documen tal sobre las traductoras del Nobel que fueron también fuente de su creatividad ( la directora , Rhoda Heneida Abecassis presentará la cinta el 21 ) . El intérprete es la película , dirigida por Martin Sulik , con Jiri Menzel , sobre el el hombre que busca al asesino de su padre y oficial nazi y encuentra al conformista hijo : los dos viajan en busca de testimonios de la guerra y el horror en un trayecto agridulce con momentos de comedia ( días 19 y 25 ) . La historia del regreso a Birkenau ( el gran campo anexo a Auschwitz ) de una superviviente la cuenta La pequeña pradera de los abedules , traducción del nombre del campo , una película de Marceline Loridan-Ivens de 2003 protagonizada por Anouk Aimée . El personaje , basado en las experiencias de la propia directora , encontrará a un joven fotógrafo alemán , nieto de un oficial de las SS ( martes 17 ) . Se proyectará asimismo Un hombre afortunado , la película de Billi August sobre un joven ingeniero educado en un cristianismo estricto que se casa con la hija de una familia judía adinerada ( viernes 20 y jueves 26 ).</t>
  </si>
  <si>
    <t>El Festival de Cine Judío de Barcelona ofrece 15 filmes en la Filmoteca</t>
  </si>
  <si>
    <t>La 21a edición del Festival de Cine Judío de Barcelona presenta 15 películas muy variadas con la temática judía de fondo, desde biopics, historias de amor, documentales sobre guerras, hasta una película sobre una famosa estrella del porno gay. El festival tambíen rinde homenaje a la directora Ruth Beckermann.</t>
  </si>
  <si>
    <t>la 21 ª edición del Festival de Cine Judío de Barcelona, ofrecerá 15 películas desde el jueves día 12 al día 29. Las películas son, entre otras, Tel Aviv en llamas (Sameh Zoabi), La guerra del Este (miércoles 18), M (Yolande Zauberman, días 22 y 29), Jonathan Agassi me salvó la vida (Tomer Heymann, 27 y 28 con presencia del director), Las musas de Bashevis Singer (la directora Rhoda Heneida Abecassis presentará la cinta el 21), El intérprete (Martin Sulik, días 19 y 25), La pequeña pradera de los abedules (Marceline Loridan-Ivens, martes 17) y Un hombre afortunado (Billi August, viernes 20 y jueves 26). Además, se ofrecerá una retrospectiva de Ruth Beckermann que incluye películas como Los soñadores, El caso Waldheim (mañana, con presencia de Beckermann) y el puente de papel (martes 17).</t>
  </si>
  <si>
    <t>La 21ª edición del Festival de Cine Judío de Barcelona cuenta en esta nueva edición con un programa de 15 películas que abordan una gran variedad de historias y géneros, siempre con la temática judía de fondo. La programación tendrá lugar desde mañana jueves hasta el día 29 y destacarán relatos sobre tristes historias de amor, vivencias de supervivientes y excombatientes de las fuerzas armadas alemanas, y experiencias y testimonios durante la guerra.</t>
  </si>
  <si>
    <t>http://elpais.com/elpais/2019/07/05/ideas/1562335565_606827.html</t>
  </si>
  <si>
    <t>Nuestras redes están llenas de imágenes de niños haciendo monerías . En verano , su sobrexposición aumenta más si cabe . Cada imagen es compartida —sin consentimiento alguno— por el padre , la madre o algún familiar o amigo para orgullo de quien comparte y disfrute de sus conocidos . Se reciben likes y alguna alabanza que lleva a reincidir . Así ha sido durante varios años sin que nadie se planteara las consecuencias . Hasta que , acompañando al resquemor creciente hacia las redes sociales , una duda ha empezado a extenderse : ¿acaso hacemos mal subiendo a Internet imágenes de niños ? Tres de cada cuatro menores de dos años tienen fotos online , según un estudio de la empresa de seguridad en Internet AVG con datos de ciudadanos de 10 países ( Estados Unidos , Canadá , Alemania , el Reino Unido , Francia , España , Italia , Australia , Nueva Zelanda y Japón ) . La emoción ante la paternidad es una de las causas de esta pulsión , la versión actualizada de las imágenes que se guardaban en la cartera . De media , los progenitores de niños menores de 6 años suben 2,1 informaciones a la semana sobre estos , según un estudio con información de 1.300 padres estadounidenses de la aplicación Local Babysitter . Entre los 6 y los 13 , hay un descenso : 1,9 informaciones por semana . Cuando el menor cumple 14 años , el ímpetu se reduce a menos de una vez a la semana ( 0,8 ) . En España , los padres son los más preocupados , según AVG , por las consecuencias futuras en la vida de sus hijos de la cantidad de información online que proporcionan sobre estos ( valoran su grado de preocupación en un 3,9 sobre 5 ) . Esta preocupación posiblemente se habrá visto reforzada tras saber que Mark Zuckerberg —el hombre que más ha hecho porque compartamos como compartimos — cree que el futuro , en lugar de abierto , como sostenía hasta ahora , será privado . Mientras que el sector de la comunicación se ve obligado a proteger la identidad de los menores que salen en sus páginas , la publicación masiva de imágenes sin filtro de niños en las redes ha convertido la protección en una ironía . El fenómeno es tal que ha dado origen a un nuevo término : sharenting , la suma de share ( compartir ) y parenting ( crianza ) . En 2015 dos holandeses lanzaron al mercado la marca Koppie Koppie , una tienda online de tazas con fotos de niños cogidas de la Red para señalar el problema . Pero la primera persona que escribió un estudio detallado sobre este extendido fenómeno fue la abogada Stacey Steinberg , que en 2016 publicó el informe Sharenting , la privacidad de los niños en la era de las redes sociales . Esta profesora de Derecho de la Universidad de Florida , EE UU , y madre , estudió en profundidad las implicaciones de esta costumbre planetaria en marcha desde hace más de una década . Los padres son , por un lado , “ los veladores de la información personal de sus hijos y , por otro , los narradores de la vida de estos ” , escribe Steinberg . Al narrar , compartimos información sobre los hijos a la vez que les privamos del derecho a hacerlo ellos mismos en sus propios términos . Y eso es una fuente potencial de daño a la que hemos prestado poca atención . Los padres velan por la información personal de sus hijos y a la vez narran la vida de estos . Stacey Steinberg , abogada Los riesgos a los que se ven sometidos los menores son varios . Para empezar , ponemos más fácil su localización física a criminales o pervertidos . Pero hay además otros peligros de origen digital . Si alguien captura una imagen o un vídeo de un menor , puede simular que sufre algún tipo de peligro y reclamar un rescate . También puede suplantar su identidad en las redes , como ya le ha sucedido a varias influencers . Si , además , al anunciar el nacimiento de un bebé añadimos la fecha ( cosa que hacen no pocos padres ) , podríamos estar propiciando el robo de su identidad . Por no hablar del ciberbullying que quizá causamos al subir una foto ridícula de nuestro hijo ( se calcula que en 2018 lo habían sufrido el 59 % de los menores , según Pew Research ) . Pero hay otra consecuencia más obvia que tampoco solemos tener en cuenta : la opinión del menor . Un 58 % de los padres estadounidenses que comparten fotos creen que subirlas sin el consentimiento expreso de sus hijos es correcto , según la empresa de seguridad McAfee . Y un 40 % cree que la foto podría llegar a avergonzar al menor , pero que no le importará o que acabará superándolo . Sin embargo , lo que se está comprobando es precisamente lo contrario : que a muchos sí les disgusta el uso que sus padres hacen de su imagen . Valga de ejemplo lo que le dijo la hija de la actriz Gwyneth Paltrow cuando esta subió una imagen de ambas en la que la menor llevaba unas gafas de esquí que cubrían su rostro : “ Mamá , ya lo hemos hablado . No puedes publicar fotos mías sin mi consentimiento ” , se quejaba Apple . A lo que Paltrow respondía : “ ¡Pero si ni siquiera se te ve la cara ! ” . ¿Deberíamos pedir entonces permiso a nuestros hijos cada vez que subamos una foto de ellos ? De esto trataba el debate que mantuvieron el pasado mes de octubre varias influencers españolas —Lidia Bedman , mujer de Santiago Abascal , líder de Vox , o Jennifer Ortiz , entre otras— , madres y famosas que , además , reciben dinero por exhibir y exhibirse . Ortiz resumía el dilema durante el debate de la siguiente forma : “ El día de mañana , cuando mi hijo me pregunte sobre las fotos que subí de él , le diré : ‘ Hijo , lo hice quizá desde mi egoísmo , pensando que eran fotos bonitas y que no te iban a hacer daño . Entonces , en ese momento le pediré perdón y le daré una tarjeta [ de crédito ] con su dinero ” . ¿Subimos imágenes de niños por el lado emocional o porque mercantilizamos con llos ? Laura Baena , creadora de la web Malasmadres Poco a poco van trascendiendo casos puntuales llegados a los tribunales de menores que denuncian a sus padres en Italia , Francia o Estados Unidos . En Francia , las autoridades pueden imponer multas de hasta 45.000 euros más un año de prisión por publicar fotos íntimas de los hijos sin su permiso . “ En España no conozco ningún caso aún ” , afirma Samuel Parra , abogado especializado en temas tecnológicos . “ Lo más habitual es que un padre denuncie al otro por subir fotos sin su consentimiento como le ha sucedido a Bisbal , que denunció a su exmujer , Elena Tablada , por subir a las redes imágenes de la hija de ambos . Si el padre denunciado no retira las fotos , ahí vienen los problemas ” . “ Hay una realidad ” , opina Laura Baena , publicista y creadora de la web Malasmadres . “ Las fotos de menores lo petan . ¿Subimos las imágenes porque nos tocan la parte emocional o realmente estamos mercantilizando a los niños ? ” . ¿Podemos esperar que las propias redes pongan freno a nuestra locuacidad ? Nathan Freitas , del Berkman Klein Center for Internet &amp; Society , un centro de investigación sobre tecnología dependiente de la Universidad de Harvard , cree que sería naif esperarlo : “ No les resultaría nada difícil crear un botón muy grande y claro que dijera : ‘ Compartir SOLO con mi familia directa ’ . Pero si eso supone recolectar menos dinero , vayamos olvidándonos de ello ” . Y los tribunales ¿podrían poner freno a los padres ? Lo habitual es que sean reticentes a priorizar el derecho a la privacidad de los menores ante su propia familia . Se supone que los padres son los mejores guardianes de la privacidad de sus hijos y cuando no lo son , los jueces generalmente aceptan que los padres hacen lo mejor para estos . Stacey cierra su texto con varias recomendaciones a los padres interesados en proteger a sus hijos : que se familiaricen con las políticas de privacidad de las redes en las que suben fotos . Que fijen alertas que les avisen cuando el nombre de su hijo salga en algún resultado de búsqueda en Google . Que antes de contar algo se planteen no revelar la identidad del menor . Que no den pistas sobre los lugares que visita . Que pidan permiso a estos antes de compartir una información sobre ellos . Que no suban nunca una foto de estos con poca ropa . Y la última : que consideren si esa información que están valorando compartir puede tener algún efecto en el bienestar y en el desarrollo psicológico del pequeño .</t>
  </si>
  <si>
    <t>Tres de cada cuatro menores de dos años tienen fotos en Internet . ¿Deberíamos frenar esta costumbre ?</t>
  </si>
  <si>
    <t>El fenómeno de 'sharenting', progenitores que comparten imágines de sus hijos en redes sociales, se ha convertido en un fenómeno global, algunas veces por la emoción de ser progenitor, otras veces por recibir likes, y en algunos casos por motivos económicos. Sin embargo, esta práctica puede suponer un riesgo para la privacidad de los menores, ya que resultan más fáciles de localizar, los criminales pueden simular que sufren un peligro para reclamar un rescate o suplantar su identidad, o podemos exponerles a ciberbullying por subir fotos ridículas. Además, la opinión del menor no se toma en cuenta al subir estas imágenes.
Aunque ha habido casos de menores que denuncian sus padres por subir sus fotos a redes sociales, no son comunes todavía en España, y los jueces son reticentes a meter mano. Tampoco podemos esperar que las proprias redes frenen este fenómeno, ya que aceptar fotos de niños les aporta más dinero. Stacey Steinberg, profesora de Derecho de la Universidad de Florida, recomienda a los padres familiarizarse con las políticas de privacidad de la redes sociales, evitar poner información sobre los menores, no subir fotos de estos con poca ropa, y pensar si subir las imágines podría tener un efecto negativo para ellos.</t>
  </si>
  <si>
    <t>La duda de si hacemos mal subiendo a Internet imágenes de niños ha empezado a extenderse. Tres de cada cuatro menores de dos años tienen fotos online, según un estudio de AVG con datos de 10 países. A su vez, un estudio con información de 1.300 padres estadounidenses de la aplicación Local Babysitter constata que los progenitores de niños menores de 6 años suben 2,1 informaciones a la semana sobre estos. La emoción ante la paternidad es una de las causas de esta pulsión, aunque en España, según AVG, los padres se preoucupan por las consecuencias futuras en la vida de sus hijos de la cantidad de información online.
El fenómeno se conoce como sharentingy ha sido estudiado en profundidad por Stacey Steinberg. Según Steinberg, los padres son los encargados de velar por la información de sus hijos, pero al compartirla, aumentan los riesgos de compartir información con criminales y pervertidos, además de las posibilidades de cyberbullying. Tampoco se suele tomar en consideración la opinión del menor, si bien los padres influencers pueden recibir dinero por sus imágenes en algunos casos. En consecuencia, casos puntuales han llegado de menores que denuncian a sus padres a los tribunales en Italia, Francia o Estados Unidos. 
Nathan Freitas, del Berkman Klein Center for Internet &amp; Society, cree que es difícil que las propias redes pongan freno al fenómeno, porque reduciría la recaudación. En lo que respecta a los tribunales, estos suelen ser reticentes a priorizar el derecho a la privacidad de los menores ante su propia familia. Steinberg sugiere a los padres interesados en proteger a sus hijos que consideren si esa información que están valorando compartir puede tener algún efecto en el bienestar y en el desarrollo psicológico del pequeño.</t>
  </si>
  <si>
    <t>Aunque la publicación de fotos de menores en Internet se ha ido realizando durante años, sin que nadie se planteara las consecuencias, hoy en día son numerosos los estudios que resaltan el peligro a la hora de compartir esta información en línea. A este fenómeno se le ha bautizado como Sharenting, y la abogada Stacey Steinberg fue la primera persona en escribir un estudio detallado sobre este fenómeno en 2016, quien publicó un informe sobre la privacidad de los niños en la era de las redes sociales. Algunos de los peligros digitales que pueden darse son la fácil localización física de los niños por parte de criminales, la suplantación de identidad en redes, el robo de identidad o el ciberbullyng. Además, otra consecuencia es la falta de consideración con respecto a la propia opinión del menor. Así, hay países que incluso han tomado medidas, como Francia, imponiendo multas por publicar fotos íntimas de los hijos sin su permiso.</t>
  </si>
  <si>
    <t>El texto describe un partido de preparación de la selección española de baloncesto antes del Mundial, en el que España perdió contra Rusia 55-74. Puntos clave:
1. Es la segunda derrota consecutiva de España en la preparación.
2. Marc Gasol y Rudy Fernández no jugaron por precaución.
3. España tuvo un mal desempeño con bajos porcentajes de tiro y muchas pérdidas de balón.
4. Willy Hernangómez fue el mejor jugador español con 26 puntos y 11 rebotes.
5. Ricky Rubio jugó limitadamente (solo en la primera mitad) por decisión del entrenador Scariolo.
6. Rusia dominó en rebotes y fue aumentando su ventaja a lo largo del partido.
7. España mostró falta de firmeza, acierto y concentración, especialmente en la segunda mitad.
8. El entrenador Scariolo espera que este partido no sea representativo del nivel del equipo en el Mundial.
9. A pesar de un intento de remontada al final, Rusia mantuvo su ventaja.
El artículo sugiere que este resultado genera dudas sobre el rendimiento de España justo antes del inicio del Mundial.</t>
  </si>
  <si>
    <t>El contenido más relevante de este texto se puede resumir así:
La selección española de baloncesto sufrió una contundente derrota contra Rusia (55-74) en su último partido de preparación antes del Mundial. El equipo mostró un rendimiento preocupante, con bajos porcentajes de tiro, muchas pérdidas de balón y poca efectividad defensiva.
Aspectos destacados:
1. Ausencia de Marc Gasol y minutos limitados de Ricky Rubio.
2. Willy Hernangómez fue el único punto positivo con 26 puntos y 11 rebotes.
3. El seleccionador Scariolo restó importancia al resultado, señalando las ausencias y la diferencia entre un amistoso y la competición oficial.
4. España tuvo problemas especialmente en el segundo cuarto y en la segunda mitad.
5. El equipo mostró falta de firmeza, acierto y concentración, especialmente en el tiro exterior (1 de 13 en triples).
Este partido genera dudas sobre el estado de forma de España a tres días del inicio del Mundial de baloncesto.</t>
  </si>
  <si>
    <t>Aquí tienes un resumen del texto utilizando el método de las 5W1H:
Qué: La selección española de baloncesto sufrió una derrota contundente (55-74) contra Rusia en un partido de preparación para el Mundial.
Quién: El equipo español dirigido por Sergio Scariolo, con actuaciones destacadas de Willy Hernangómez (26 puntos y 11 rebotes) y Ricky Rubio (limitado a 15 minutos de juego).
Cuándo: A tres días del comienzo del Mundial de baloncesto.
Dónde: No se especifica el lugar exacto del partido en el texto.
Por qué: El equipo español mostró un rendimiento deficiente, con bajos porcentajes de tiro, muchas pérdidas de balón y falta de concentración. Además, hubo ausencias importantes como las de Marc Gasol y Rudy Fernández.
Cómo: España comenzó bien defensivamente, pero pronto perdió el control del juego. Rusia dominó en el rebote y aprovechó el mal juego español para aumentar su ventaja progresivamente. A pesar de un intento de remontada en el último cuarto, Rusia mantuvo su ventaja y se llevó la victoria.
¿Te gustaría que elaborara algún punto en particular de este resumen?</t>
  </si>
  <si>
    <t>Here's a brief summary of the text:
Spain's national basketball team suffered a significant defeat (55-74) against Russia in a pre-World Cup friendly match. This was their second loss in preparation games, raising concerns just days before the official tournament start. The team struggled with poor shooting percentages and numerous turnovers. Willy Hernangómez's performance (26 points, 11 rebounds) was the only bright spot. Coach Scariolo attributed the poor performance to missing players and different mindsets, hoping this game won't be indicative of their World Cup form. Ricky Rubio's limited playing time and an injury scare added to the team's difficulties. Despite a late attempt to close the gap, Russia maintained control throughout the game, leaving Spain with doubts before their World Cup debut.</t>
  </si>
  <si>
    <r>
      <rPr>
        <rFont val="Arial"/>
        <color rgb="FF000000"/>
        <sz val="9.0"/>
      </rPr>
      <t xml:space="preserve">El texto narra la historia de un proyecto solidario iniciado por cinco estudiantes universitarias en Madrid en 2018. Puntos clave:
1. Colaboración con la ONG Acción Geoda en el Valle del Tessaout, Marruecos.
2. La zona consta de 80 aldeas con necesidades básicas no cubiertas.
3. El proyecto se enfoca en construir y mantener una escuela infantil y empoderar a las mujeres en la aldea de Tasslent.
4. Organizaron eventos para recaudar fondos, como la Primera Jornada Solidaria del Valle de Tessaout y la Primera Semana de la Mujer.
5. Realizaron un viaje de cinco días a Marruecos en marzo de </t>
    </r>
    <r>
      <rPr>
        <rFont val="Arial"/>
        <strike/>
        <color rgb="FF000000"/>
        <sz val="9.0"/>
      </rPr>
      <t xml:space="preserve">2019 </t>
    </r>
    <r>
      <rPr>
        <rFont val="Arial"/>
        <color rgb="FF000000"/>
        <sz val="9.0"/>
      </rPr>
      <t xml:space="preserve">para conocer la realidad local.
6. El proyecto creció, involucrando a más estudiantes del colegio mayor.
7. Planean continuar y expandir el proyecto, pasando el testigo a nuevos estudiantes cada año.
8. Enfatizan la importancia del compromiso y animan a otros a interesarse por esta región.
</t>
    </r>
    <r>
      <rPr>
        <rFont val="Arial"/>
        <color rgb="FFCCCCCC"/>
        <sz val="9.0"/>
      </rPr>
      <t>El texto destaca cómo una iniciativa pequeña puede crecer y tener un impacto significativo en una comunidad necesitada.</t>
    </r>
  </si>
  <si>
    <r>
      <rPr>
        <rFont val="Arial"/>
        <color rgb="FF000000"/>
        <sz val="9.0"/>
      </rPr>
      <t xml:space="preserve">El texto relata la historia de un proyecto solidario iniciado por cinco estudiantes universitarias en Madrid para ayudar al Valle del Tessaout en Marruecos. Los puntos más relevantes son:
1. El proyecto se enfoca en la construcción y mantenimiento de una escuela infantil y el empoderamiento de la mujer en la aldea de Tasslent.
2. Las estudiantes organizaron eventos para recaudar fondos, como la Primera Jornada Solidaria del Valle de Tessaout y la Primera Semana de la Mujer.
3. En marzo de </t>
    </r>
    <r>
      <rPr>
        <rFont val="Arial"/>
        <strike/>
        <color rgb="FF000000"/>
        <sz val="9.0"/>
      </rPr>
      <t>2019</t>
    </r>
    <r>
      <rPr>
        <rFont val="Arial"/>
        <color rgb="FF000000"/>
        <sz val="9.0"/>
      </rPr>
      <t xml:space="preserve">, visitaron la zona para conocer de primera mano las necesidades y la cultura local.
4. El proyecto creció, involucrando a más estudiantes del colegio mayor.
5. Su objetivo es mejorar la educación infantil y la alfabetización de mujeres en esta región olvidada.
6. Esperan que el proyecto continúe con nuevos estudiantes en los años siguientes.
7. Animan a otros a interesarse y ayudar en esta zona de Marruecos.
</t>
    </r>
    <r>
      <rPr>
        <rFont val="Arial"/>
        <color rgb="FFB7B7B7"/>
        <sz val="9.0"/>
      </rPr>
      <t>Este resumen captura la esencia del proyecto, su evolución y sus objetivos principales.</t>
    </r>
  </si>
  <si>
    <r>
      <rPr>
        <rFont val="Arial"/>
        <color rgb="FFB7B7B7"/>
        <sz val="9.0"/>
      </rPr>
      <t>Aquí está el resumen del texto utilizando el método 5W1H:</t>
    </r>
    <r>
      <rPr>
        <rFont val="Arial"/>
        <color rgb="FF000000"/>
        <sz val="9.0"/>
      </rPr>
      <t xml:space="preserve">
Qué: Un proyecto de ayuda humanitaria para construir y mantener una escuela infantil y empoderar a las mujeres en Tasslent, una aldea en el Valle del Tessaout, Marruecos.
Quién: Cinco universitarias españolas de entre 18 y 22 años, que luego expandieron el proyecto para incluir a más estudiantes de su colegio mayor.
Cuándo: El proyecto comenzó en marzo de 2018 y continúa en desarrollo.
Dónde: En el Valle del Tessaout, Marruecos, específicamente en la aldea de Tasslent.
Por qué: Para mejorar las condiciones de vida en una de las zonas más olvidadas de Marruecos, donde las necesidades básicas como agua potable, electricidad, educación y sanidad no están cubiertas.
Cómo: A través de actividades de recaudación de fondos en su colegio mayor, como jornadas solidarias y una semana dedicada a la mujer. También realizaron un viaje a la zona para conocer de primera mano la realidad local y establecer conexiones con la comunidad.</t>
    </r>
  </si>
  <si>
    <r>
      <rPr>
        <rFont val="Arial"/>
        <color rgb="FFB7B7B7"/>
        <sz val="9.0"/>
      </rPr>
      <t>Aquí tienes un resumen conciso del texto:</t>
    </r>
    <r>
      <rPr>
        <rFont val="Arial"/>
        <color rgb="FF000000"/>
        <sz val="9.0"/>
      </rPr>
      <t xml:space="preserve">
Un grupo de cinco estudiantes universitarias de Madrid se involucró con la ONG Acción Geoda para ayudar al Valle del Tessaout en Marruecos, una zona muy empobrecida. Iniciaron un proyecto para construir y mantener una escuela infantil y empoderar a las mujeres en la aldea de Tasslent. Organizaron eventos benéficos en su colegio mayor para recaudar fondos. En marzo de </t>
    </r>
    <r>
      <rPr>
        <rFont val="Arial"/>
        <strike/>
        <color rgb="FF000000"/>
        <sz val="9.0"/>
      </rPr>
      <t>2019</t>
    </r>
    <r>
      <rPr>
        <rFont val="Arial"/>
        <color rgb="FF000000"/>
        <sz val="9.0"/>
      </rPr>
      <t xml:space="preserve">, visitaron la zona para conocer la realidad local. El proyecto creció, involucrando a más estudiantes. Continúan trabajando para mejorar la educación infantil y la alfabetización de mujeres en la región, esperando que futuros estudiantes mantengan viva esta iniciativa.
</t>
    </r>
    <r>
      <rPr>
        <rFont val="Arial"/>
        <color rgb="FFCCCCCC"/>
        <sz val="9.0"/>
      </rPr>
      <t>¿Te gustaría que elabore algún aspecto específico de este resumen?</t>
    </r>
  </si>
  <si>
    <t>http://elpais.com/ccaa/2019/09/12/madrid/1568307703_277564.html</t>
  </si>
  <si>
    <r>
      <rPr>
        <rFont val="Arial"/>
        <color rgb="FFB7B7B7"/>
        <sz val="9.0"/>
      </rPr>
      <t>El texto describe un conflicto en una comunidad de vecinos de Madrid sobre la proliferación de pisos turísticos. Puntos clave:</t>
    </r>
    <r>
      <rPr>
        <rFont val="Arial"/>
        <color rgb="FF000000"/>
        <sz val="9.0"/>
      </rPr>
      <t xml:space="preserve">
1. Una junta vecinal debatió limitar los pisos turísticos usando un nuevo decreto que permite hacerlo con 3/5 de los votos.
2. Tres grupos de opinión: residentes hartos de las molestias, propietarios que alquilan a turistas, y arrendadores a largo plazo.
3. La votación resultó en 9 votos a favor de limitar los pisos turísticos y 5 en contra.
4. Se discuten los pros y contras: molestias vs. beneficios económicos y cambios en el barrio.
5. El tema refleja un debate más amplio sobre el modelo de ciudad deseado.
6. Se mencionan las diferentes normativas y posturas de las administraciones local y nacional.
7. Hay controversia sobre el impacto real de los pisos turísticos y la efectividad de las regulaciones.
</t>
    </r>
    <r>
      <rPr>
        <rFont val="Arial"/>
        <color rgb="FFB7B7B7"/>
        <sz val="9.0"/>
      </rPr>
      <t>El texto ilustra la complejidad del tema, abarcando aspectos económicos, sociales y legales, sin una solución clara.</t>
    </r>
  </si>
  <si>
    <r>
      <rPr>
        <rFont val="Arial"/>
        <color rgb="FFB7B7B7"/>
        <sz val="9.0"/>
      </rPr>
      <t>El contenido más relevante del texto se puede resumir así:</t>
    </r>
    <r>
      <rPr>
        <rFont val="Arial"/>
        <color rgb="FF000000"/>
        <sz val="9.0"/>
      </rPr>
      <t xml:space="preserve">
En una comunidad de vecinos de Madrid, se celebró una junta para decidir sobre la limitación de pisos turísticos en el edificio, aprovechando un reciente real decreto que permite esta acción si tres quintas partes de los propietarios están de acuerdo.
</t>
    </r>
    <r>
      <rPr>
        <rFont val="Arial"/>
        <color rgb="FFB7B7B7"/>
        <sz val="9.0"/>
      </rPr>
      <t>Puntos clave:</t>
    </r>
    <r>
      <rPr>
        <rFont val="Arial"/>
        <color rgb="FF000000"/>
        <sz val="9.0"/>
      </rPr>
      <t xml:space="preserve">
1. La votación resultó en 9 votos a favor y 5 en contra de limitar los pisos turísticos.
2. Los vecinos se dividieron en tres grupos: residentes molestos por los inconvenientes, propietarios que alquilan a turistas, y arrendadores a largo plazo.
3. Se discutieron problemas como ruido, fiestas y comportamientos inadecuados de turistas.
4. El debate refleja una cuestión más amplia sobre el modelo de ciudad deseado.
5. La situación es común en Madrid, con inquilinos buscando información sobre cómo limitar pisos turísticos.
6. El tema es controvertido, con argumentos a favor y en contra del turismo y su impacto en los barrios.
7. Las autoridades locales están trabajando en nuevas regulaciones para abordar el problema.
</t>
    </r>
    <r>
      <rPr>
        <rFont val="Arial"/>
        <color rgb="FFB7B7B7"/>
        <sz val="9.0"/>
      </rPr>
      <t>Este resumen captura los elementos más importantes del debate sobre pisos turísticos en Madrid, sus implicaciones para la convivencia vecinal y el desarrollo urbano.</t>
    </r>
  </si>
  <si>
    <r>
      <rPr>
        <rFont val="Arial"/>
        <color rgb="FFCCCCCC"/>
        <sz val="9.0"/>
      </rPr>
      <t>Resumen usando el método 5W1H:</t>
    </r>
    <r>
      <rPr>
        <rFont val="Arial"/>
        <color rgb="FF000000"/>
        <sz val="9.0"/>
      </rPr>
      <t xml:space="preserve">
Qué: Debate y votación en una junta de vecinos sobre la limitación de pisos turísticos en un edificio.
Quién: Vecinos de un edificio histórico en Madrid, incluyendo residentes permanentes, propietarios de pisos turísticos y arrendadores a largo plazo.
Cuándo: 9 de julio (año no especificado, pero posterior a marzo de 2019).
Dónde: En un edificio histórico del siglo XIX en la plaza de Cascorro, Madrid.
Por qué: Debido a las molestias causadas por los turistas y la preocupación por el modelo de ciudad que se está construyendo. Esto fue posible gracias a un real decreto del Gobierno de Pedro Sánchez que permite limitar los pisos turísticos con el acuerdo de tres quintas partes de los vecinos.
Cómo: Mediante una votación en la junta de vecinos, que resultó en 9 votos a favor de limitar los pisos turísticos y 5 en contra, lo que llevó a la decisión de no permitir más pisos turísticos en el edificio.
</t>
    </r>
    <r>
      <rPr>
        <rFont val="Arial"/>
        <color rgb="FFCCCCCC"/>
        <sz val="9.0"/>
      </rPr>
      <t>¿Le gustaría que proporcione más detalles sobre algún aspecto específico del resumen?</t>
    </r>
  </si>
  <si>
    <r>
      <rPr>
        <rFont val="Arial"/>
        <color rgb="FFB7B7B7"/>
        <sz val="9.0"/>
      </rPr>
      <t>Aquí tienes un resumen conciso del artículo:</t>
    </r>
    <r>
      <rPr>
        <rFont val="Arial"/>
        <color rgb="FF000000"/>
        <sz val="9.0"/>
      </rPr>
      <t xml:space="preserve">
Un edificio histórico en Madrid votó para limitar los pisos turísticos, aprovechando un nuevo decreto que permite hacerlo con 3/5 de los votos. La decisión dividió a los vecinos:
Residentes hartos de las molestias causadas por turistas.
Propietarios que alquilan a turistas y defienden los beneficios.
</t>
    </r>
    <r>
      <rPr>
        <rFont val="Arial"/>
        <strike/>
        <color rgb="FF000000"/>
        <sz val="9.0"/>
      </rPr>
      <t>Inquilinos de largo plazo en el medio.</t>
    </r>
    <r>
      <rPr>
        <rFont val="Arial"/>
        <color rgb="FF000000"/>
        <sz val="9.0"/>
      </rPr>
      <t xml:space="preserve">
El resultado fue 9 votos a favor de limitar y 5 en contra. Esto refleja un debate más amplio sobre el modelo de ciudad deseado, con argumentos sobre los pros y contras de la gentrificación y el turismo.
El tema es complejo, involucrando normativas municipales, autonómicas y estatales. Mientras algunos ven el decreto como insuficiente, otros lo consideran una oportunidad para regular el fenómeno de los pisos turísticos.
</t>
    </r>
    <r>
      <rPr>
        <rFont val="Arial"/>
        <color rgb="FFB7B7B7"/>
        <sz val="9.0"/>
      </rPr>
      <t>¿Te gustaría que profundice en algún aspecto específico del artículo?</t>
    </r>
  </si>
  <si>
    <r>
      <rPr>
        <rFont val="Arial"/>
        <color rgb="FFB7B7B7"/>
        <sz val="9.0"/>
      </rPr>
      <t>El texto trata sobre los cambios propuestos en las reglas del rugby para hacerlo más seguro y atractivo. Puntos clave:</t>
    </r>
    <r>
      <rPr>
        <rFont val="Arial"/>
        <color rgb="FF000000"/>
        <sz val="9.0"/>
      </rPr>
      <t xml:space="preserve">
1. World Rugby considera prohibir los placajes por encima de la cintura para reducir lesiones y conmociones cerebrales.
2. El placaje es responsable del 50% de las lesiones y 76% de las conmociones en el rugby.
3. El tiempo de juego efectivo y el número de placajes han aumentado significativamente desde 1987.
4. Se busca promover un juego más fluido y dinámico, premiando el juego indirecto y modificando reglas sobre ensayos y sanciones.
5. Los cambios apuntan a mejorar la salud de los jugadores y hacer el deporte más atractivo para espectadores y jugadores jóvenes.
6. Se considera endurecer las sanciones por infracciones reiteradas.
7. Estos cambios podrían favorecer un estilo de juego más abierto y espectacular, en detrimento del rugby de desgaste tradicional.
</t>
    </r>
    <r>
      <rPr>
        <rFont val="Arial"/>
        <color rgb="FFB7B7B7"/>
        <sz val="9.0"/>
      </rPr>
      <t xml:space="preserve">
¿Le gustaría que profundice en algún aspecto específico de este resumen?</t>
    </r>
  </si>
  <si>
    <r>
      <rPr>
        <rFont val="Arial"/>
        <color rgb="FFB7B7B7"/>
        <sz val="9.0"/>
      </rPr>
      <t>El texto discute cambios propuestos en las reglas del rugby para mejorar la seguridad de los jugadores y hacer el juego más atractivo.</t>
    </r>
    <r>
      <rPr>
        <rFont val="Arial"/>
        <color rgb="FF000000"/>
        <sz val="9.0"/>
      </rPr>
      <t xml:space="preserve"> </t>
    </r>
    <r>
      <rPr>
        <rFont val="Arial"/>
        <color rgb="FFB7B7B7"/>
        <sz val="9.0"/>
      </rPr>
      <t xml:space="preserve">Los puntos más relevantes son:
</t>
    </r>
    <r>
      <rPr>
        <rFont val="Arial"/>
        <color rgb="FF000000"/>
        <sz val="9.0"/>
      </rPr>
      <t xml:space="preserve">
1. World Rugby considera prohibir los placajes por encima de la cintura para reducir lesiones, especialmente conmociones cerebrales.
2. El placaje es responsable del 50% de las lesiones y el 76% de las conmociones cerebrales en el rugby.
3. Se busca fomentar un juego más fluido y dinámico, con menos contacto físico.
4. Otros cambios propuestos incluyen premiar el juego indirecto, modificar reglas en la línea de ensayo, y castigar más duramente las infracciones.
5. Estos cambios buscan mejorar la salud de los jugadores y hacer el deporte más atractivo para espectadores y jugadores jóvenes.
6. </t>
    </r>
    <r>
      <rPr>
        <rFont val="Arial"/>
        <strike/>
        <color rgb="FF000000"/>
        <sz val="9.0"/>
      </rPr>
      <t>Se debate el balance entre mantener la tradición del rugby y adaptarlo a las necesidades modernas de seguridad y espectáculo.</t>
    </r>
    <r>
      <rPr>
        <rFont val="Arial"/>
        <color rgb="FF000000"/>
        <sz val="9.0"/>
      </rPr>
      <t xml:space="preserve">
</t>
    </r>
    <r>
      <rPr>
        <rFont val="Arial"/>
        <color rgb="FFB7B7B7"/>
        <sz val="9.0"/>
      </rPr>
      <t>¿Le gustaría que elabore algún punto en particular?</t>
    </r>
  </si>
  <si>
    <r>
      <rPr>
        <rFont val="Arial"/>
        <color rgb="FFCCCCCC"/>
        <sz val="9.0"/>
      </rPr>
      <t>Aquí está el resumen del texto usando el método 5W1H:</t>
    </r>
    <r>
      <rPr>
        <rFont val="Arial"/>
        <color rgb="FF000000"/>
        <sz val="9.0"/>
      </rPr>
      <t xml:space="preserve">
Qué: World Rugby propone cambios radicales en las reglas del rugby, principalmente prohibiendo el placaje por encima de la cintura.
Quién: World Rugby (la federación internacional de rugby), liderada por su presidente Bill Beaumont y John Jeffrey, responsable de la normativa.
Cuándo: Se están estudiando estos cambios actualmente, con posible implementación en el futuro cercano (aunque no afectará al Mundial de Japón en septiembre).
Dónde: Se sugiere que los ensayos se llevarán a cabo en las categorías amateur de Francia.
Por qué:
1. Para reducir lesiones, especialmente conmociones cerebrales.
2. Para mejorar la seguridad de los jugadores.
3. Para hacer el juego más espectacular y atractivo para jugadores, árbitros y aficionados.
Cómo:
1. Prohibiendo el placaje por encima de la cintura.
2. Premiando el juego indirecto y menos contacto.
3. Cambiando reglas para incentivar un estilo más dinámico.
4. Castigando con más dureza las infracciones.
5. Fomentando un estilo más plástico y con más puntuación.
</t>
    </r>
    <r>
      <rPr>
        <rFont val="Arial"/>
        <color rgb="FFCCCCCC"/>
        <sz val="9.0"/>
      </rPr>
      <t xml:space="preserve">
¿Le gustaría que elaborara algún punto específico de este resumen?</t>
    </r>
  </si>
  <si>
    <r>
      <rPr>
        <rFont val="Arial"/>
        <color rgb="FFCCCCCC"/>
        <sz val="9.0"/>
      </rPr>
      <t>Aquí tienes un resumen conciso del artículo:</t>
    </r>
    <r>
      <rPr>
        <rFont val="Arial"/>
        <color rgb="FF000000"/>
        <sz val="9.0"/>
      </rPr>
      <t xml:space="preserve">
World Rugby está considerando cambios radicales en las reglas del rugby para mejorar la seguridad de los jugadores y hacer el juego más atractivo. Las principales propuestas incluyen:
Prohibir placajes por encima de la cintura para reducir lesiones cerebrales.
Incentivar el juego indirecto y menos contacto.
Modificar reglas para promover un estilo de juego más dinámico.
Aumentar las sanciones por infracciones reiteradas.
Estos cambios buscan reducir lesiones, especialmente conmociones cerebrales, y al mismo tiempo hacer el deporte más espectacular y atractivo para audiencias más jóvenes. Se planea probar estas reglas en categorías amateur antes de implementarlas a nivel profesional.
</t>
    </r>
    <r>
      <rPr>
        <rFont val="Arial"/>
        <color rgb="FFCCCCCC"/>
        <sz val="9.0"/>
      </rPr>
      <t>¿Te gustaría que profundice en algún aspecto específico de estas propuestas?</t>
    </r>
  </si>
  <si>
    <t>El texto resume la participación de Nicolás Vallejo-Nájera, conocido como Colate, en el reality show "Supervivientes" de Telecinco y sus consecuencias. Puntos clave:
1. Colate fue operado de la clavícula tras un accidente en el programa.
2. Recibió apoyo de su familia, especialmente de su hermana Samantha Vallejo-Nájera.
3. En el programa, mostró sus dotes de seductor y tuvo desencuentros con Isabel Pantoja y Mónica Hoyos.
4. Se destacó por su competitividad y liderazgo en las pruebas.
5. El texto menciona su divorcio de Paulina Rubio y los problemas de custodia de su hijo.
6. A su regreso, Colate habló largamente con su hijo y menciona que Paulina Rubio lo llevó a verlo.
7. Se hace referencia a problemas similares de custodia entre Paulina Rubio y otra de sus exparejas, Gerardo Bazúa.
¿Le gustaría que profundice en algún aspecto específico de este resumen?</t>
  </si>
  <si>
    <r>
      <rPr>
        <rFont val="Arial"/>
        <color rgb="FFB7B7B7"/>
        <sz val="9.0"/>
      </rPr>
      <t>El resumen más relevante del texto sería:</t>
    </r>
    <r>
      <rPr>
        <rFont val="Arial"/>
        <color rgb="FF000000"/>
        <sz val="9.0"/>
      </rPr>
      <t xml:space="preserve">
Nicolás Vallejo-Nájera (Colate) participó en el reality show "Supervivientes" en Honduras, donde sufrió un accidente que le fracturó la clavícula. Tras ser expulsado del programa y regresar a España, fue operado. Durante su participación, mostró facetas de seductor, competitivo y líder. Su hermana Samantha Vallejo-Nájera lo apoyó públicamente. El texto también menciona su divorcio de Paulina Rubio y los problemas de custodia de su hijo. Colate reveló que mantuvo una larga conversación con su hijo al regresar y que Paulina Rubio se lo llevó personalmente.</t>
    </r>
  </si>
  <si>
    <r>
      <rPr>
        <rFont val="Arial"/>
        <color rgb="FFCCCCCC"/>
        <sz val="9.0"/>
      </rPr>
      <t>Aquí tienes un resumen del texto usando el método de las 5W1H:</t>
    </r>
    <r>
      <rPr>
        <rFont val="Arial"/>
        <color rgb="FF000000"/>
        <sz val="9.0"/>
      </rPr>
      <t xml:space="preserve">
Qué: Nicolás Vallejo-Nájera (Colate) fue operado de la clavícula tras participar en el reality show "Supervivientes".
Quién: Nicolás Vallejo-Nájera (Colate), ex pareja de Paulina Rubio y hermano de Samantha Vallejo-Nájera.
Cuándo: Julio de </t>
    </r>
    <r>
      <rPr>
        <rFont val="Arial"/>
        <color rgb="FF000000"/>
        <sz val="9.0"/>
        <u/>
      </rPr>
      <t>2019</t>
    </r>
    <r>
      <rPr>
        <rFont val="Arial"/>
        <color rgb="FF000000"/>
        <sz val="9.0"/>
      </rPr>
      <t xml:space="preserve">. Colate regresó a España el 3 de julio y fue operado poco después.
Dónde: En la clínica Ruber Internacional de Madrid, tras regresar de Honduras donde se grabó el programa.
Por qué: Sufrió una fractura de clavícula durante una prueba del concurso en la que una pesada rueda le cayó encima.
Cómo: Colate participó en "Supervivientes" durante casi 10 semanas, destacando por su liderazgo y habilidades de pesca. Tras su expulsión y regreso a España, los médicos decidieron operarlo para solucionar los problemas derivados de la fractura. Durante su estancia en el hospital, recibió apoyo de familiares y amigos a través de redes sociales.
</t>
    </r>
    <r>
      <rPr>
        <rFont val="Arial"/>
        <color rgb="FFCCCCCC"/>
        <sz val="9.0"/>
      </rPr>
      <t>¿Te gustaría que elabore algún punto en particular?</t>
    </r>
  </si>
  <si>
    <r>
      <rPr>
        <rFont val="Arial"/>
        <color rgb="FFCCCCCC"/>
        <sz val="9.0"/>
      </rPr>
      <t>Aquí tienes un resumen conciso de los puntos principales:</t>
    </r>
    <r>
      <rPr>
        <rFont val="Arial"/>
        <color rgb="FF000000"/>
        <sz val="9.0"/>
      </rPr>
      <t xml:space="preserve">
1. Nicolás Vallejo-Nájera (Colate) participó en el reality show "Supervivientes" en Honduras.
2. Sufrió una fractura de clavícula durante una prueba y fue operado tras regresar a España.
3. Recibió apoyo de su familia, especialmente de su hermana Samantha Vallejo-Nájera.
4. En el programa, tuvo desencuentros con Isabel Pantoja y Mónica Hoyos.
5. Se mostró como un participante competitivo y autoritario.
6. Habló sobre su relación con Paulina Rubio y su hijo en común, mencionando que mantienen la custodia compartida.
7. Paulina Rubio lo demandó en abril por supuestamente ocultar el paradero de su hijo, pero el asunto no fue a mayores.
</t>
    </r>
    <r>
      <rPr>
        <rFont val="Arial"/>
        <color rgb="FFB7B7B7"/>
        <sz val="9.0"/>
      </rPr>
      <t>¿Te gustaría que elabore algún punto en particular?</t>
    </r>
  </si>
  <si>
    <r>
      <rPr>
        <rFont val="Arial"/>
        <color rgb="FFB7B7B7"/>
        <sz val="9.0"/>
      </rPr>
      <t>El texto describe el lanzamiento de la misión espacial india Chandrayaan 2, que busca convertir a India en el cuarto país en aterrizar en la Luna. Puntos clave:</t>
    </r>
    <r>
      <rPr>
        <rFont val="Arial"/>
        <color rgb="FF000000"/>
        <sz val="9.0"/>
      </rPr>
      <t xml:space="preserve">
La nave fue lanzada con éxito y se espera que llegue a la Luna en dos meses.
La misión incluye un módulo orbital, un módulo de aterrizaje llamado Vikram y un rover llamado Pragyan.
El destino es una llanura cerca del polo sur lunar.
India desarrolló la mayor parte de la tecnología por sí misma, después de que Rusia se retirara del proyecto inicial.
Si tiene éxito, India se unirá a EE.UU., Rusia y China como los únicos países que han logrado aterrizar en la Luna.
La misión demuestra el creciente programa espacial de India, que ya envió una nave orbital a la Luna en 2008.
</t>
    </r>
    <r>
      <rPr>
        <rFont val="Arial"/>
        <color rgb="FFB7B7B7"/>
        <sz val="9.0"/>
      </rPr>
      <t>¿Le gustaría que elabore algún aspecto específico de este resumen?</t>
    </r>
  </si>
  <si>
    <r>
      <rPr>
        <rFont val="Arial"/>
        <color rgb="FFCCCCCC"/>
        <sz val="9.0"/>
      </rPr>
      <t>El resumen más relevante del texto sería:</t>
    </r>
    <r>
      <rPr>
        <rFont val="Arial"/>
        <color rgb="FF000000"/>
        <sz val="9.0"/>
      </rPr>
      <t xml:space="preserve">
India ha lanzado la nave Chandrayaan 2 con el objetivo de convertirse en el cuarto país en posar un aparato en la Luna, tras Estados Unidos, Rusia y China. La misión, desarrollada casi en su totalidad por India, incluye un módulo orbital, un módulo de alunizaje llamado Vikram y un pequeño rover llamado Pragyan. El viaje durará dos meses, con varias etapas orbitales antes de llegar a la Luna. El destino es una llanura cerca del polo sur lunar. Si tiene éxito, el módulo lunar y el rover operarán durante 14 días, marcando un hito importante en el programa espacial indio.</t>
    </r>
  </si>
  <si>
    <r>
      <rPr>
        <rFont val="Arial"/>
        <color rgb="FF000000"/>
        <sz val="9.0"/>
      </rPr>
      <t xml:space="preserve">Aquí está el resumen del texto usando el método 5W1H:
Qué: India lanza la nave espacial Chandrayaan 2 para intentar alunizar.
Quién: </t>
    </r>
    <r>
      <rPr>
        <rFont val="Arial"/>
        <color rgb="FF000000"/>
        <sz val="9.0"/>
        <u/>
      </rPr>
      <t>La Organización de Investigación Espacial de India (ISRO)</t>
    </r>
    <r>
      <rPr>
        <rFont val="Arial"/>
        <color rgb="FF000000"/>
        <sz val="9.0"/>
      </rPr>
      <t>.
Cuándo: Hoy (la fecha exacta no se menciona en el texto, pero se refiere al día del lanzamiento).
Dónde:
Lanzamiento: desde India
Destino: una llanura entre los cráteres Manzinus C y Simpelius N, cerca del polo sur lunar.
Por qué: Para convertirse en el cuarto país en lograr un alunizaje y avanzar en su programa espacial.
Cómo:
La nave realizará órbitas alrededor de la Tierra, aumentando gradualmente su elipticidad.
Viajará hacia la Luna durante dos meses.
Orbitará la Luna, acercándose progresivamente a su superficie.
El módulo de alunizaje Vikram se separará de la nave orbital.
Vikram aterrizará en la superficie lunar.
Un pequeño rover llamado Pragyan saldrá de Vikram para explorar la superficie.
¿Desea que elabore algún aspecto específico de este resumen?</t>
    </r>
  </si>
  <si>
    <r>
      <rPr>
        <rFont val="Arial"/>
        <color rgb="FF000000"/>
        <sz val="9.0"/>
      </rPr>
      <t>Aquí tienes un resumen breve (tldr) de la noticia:</t>
    </r>
    <r>
      <rPr>
        <rFont val="Arial"/>
        <color rgb="FF000000"/>
        <sz val="9.0"/>
      </rPr>
      <t xml:space="preserve">
India lanzó la nave espacial Chandrayaan 2 con el objetivo de convertirse en el cuarto país en alunizar. La misión incluye un módulo orbital, un módulo de aterrizaje llamado Vikram y un rover llamado Pragyan. El viaje durará dos meses, culminando con un aterrizaje cerca del polo sur lunar. Si tiene éxito, será un hito importante para el programa espacial indio.
</t>
    </r>
    <r>
      <rPr>
        <rFont val="Arial"/>
        <color rgb="FF000000"/>
        <sz val="9.0"/>
      </rPr>
      <t>¿Te gustaría que elabore algún aspecto específico de la misión?</t>
    </r>
  </si>
  <si>
    <t>La Policía ha detenido en Alemania al joven de 17 años que estaba siendo buscado como presunto autor de la muerte de su hermana , de 14 , cuyo cadáver fue hallado en el domicilio familiar de Mataró , Barcelona , el pasado junio . El joven ha sido trasladado ya a España y ha sido puesto a disposición de la fiscalía de menores , según fuentes cercanas al caso . El menor estaba siendo buscado desde el pasado mes de junio , después de que se encontrara en el domicilio familiar el cadáver de su hermana , de 14 años , con heridas de arma blanca . El crimen ocurrió cuando la madre de ambos menores , de origen ruso , se encontraba de viaje , por lo que los dos adolescentes se habían quedado solos en la vivienda , situada en el barrio Cerdanyola de Mataró . Alertada por no poder contactar con sus hijos , la mujer pidió a unos amigos que acudieran a su domicilio , donde estos encontraron el cadáver de la menor , sin rastro de su hermano mayor.</t>
  </si>
  <si>
    <r>
      <rPr>
        <rFont val="Arial"/>
        <color rgb="FF000000"/>
        <sz val="9.0"/>
      </rPr>
      <t>Resumen:</t>
    </r>
    <r>
      <rPr>
        <rFont val="Arial"/>
        <color rgb="FF000000"/>
        <sz val="9.0"/>
      </rPr>
      <t xml:space="preserve">
Un joven de 17 años, sospechoso de matar a su hermana de 14 años en Mataró (Barcelona) en junio, ha sido detenido en Alemania. El cuerpo de la víctima fue encontrado con heridas de arma blanca en el domicilio familiar mientras la madre estaba de viaje. El sospechoso ha sido trasladado a España y puesto a disposición de la fiscalía de menores. La policía lo buscaba desde el descubrimiento del crimen, cuando desapareció de la escena.</t>
    </r>
  </si>
  <si>
    <t>El resumen más relevante del texto sería:
Un joven de 17 años, sospechoso de asesinar a su hermana de 14 en Mataró (Barcelona) en junio, ha sido detenido en Alemania y trasladado a España. El cuerpo de la hermana fue encontrado con heridas de arma blanca en el domicilio familiar mientras la madre estaba de viaje. El joven ha sido puesto a disposición de la fiscalía de menores.
Este resumen captura los elementos clave de la noticia: quién, qué, cuándo, dónde y cómo, proporcionando la información esencial del caso.</t>
  </si>
  <si>
    <r>
      <rPr>
        <rFont val="Arial"/>
        <color rgb="FF000000"/>
        <sz val="9.0"/>
      </rPr>
      <t>Aquí está el resumen del texto utilizando el método 5W1H:</t>
    </r>
    <r>
      <rPr>
        <rFont val="Arial"/>
        <color rgb="FF000000"/>
        <sz val="9.0"/>
      </rPr>
      <t xml:space="preserve">
Qué: Un joven de 17 años fue detenido como presunto autor del asesinato de su hermana de 14 años.
Quién: El presunto autor es un joven de 17 años. La víctima es su hermana de 14 años.
Cuándo: La detención ocurrió recientemente, mientras que el crimen tuvo lugar en junio pasado.
Dónde: El joven fue detenido en Alemania y trasladado a España. El crimen ocurrió en el domicilio familiar en Mataró, Barcelona.
Por qué: No se menciona explícitamente el motivo del crimen en el texto.
Cómo: La víctima fue asesinada con un arma blanca. El crimen ocurrió cuando los hermanos estaban solos en casa mientras su madre estaba de viaje. El cuerpo fue descubierto por amigos de la familia que acudieron al domicilio a petición de la madre, quien no podía contactar con sus hijos.</t>
    </r>
  </si>
  <si>
    <r>
      <rPr>
        <rFont val="Arial"/>
        <color rgb="FF000000"/>
        <sz val="9.0"/>
      </rPr>
      <t>Aquí tienes un resumen breve (tldr) de la noticia:</t>
    </r>
    <r>
      <rPr>
        <rFont val="Arial"/>
        <color rgb="FF000000"/>
        <sz val="9.0"/>
      </rPr>
      <t xml:space="preserve">
Un joven de 17 años, sospechoso de matar a su hermana de 14 en Mataró (Barcelona) en junio, ha sido detenido en Alemania y trasladado a España. El cuerpo de la hermana fue encontrado con heridas de arma blanca en el domicilio familiar mientras la madre estaba de viaje. El joven ha sido puesto a disposición de la fiscalía de menores.</t>
    </r>
  </si>
  <si>
    <r>
      <rPr>
        <rFont val="Arial"/>
        <color rgb="FF000000"/>
        <sz val="9.0"/>
      </rPr>
      <t xml:space="preserve">El texto informa sobre la separación de Alejandro Sanz (50) y Raquel Perera (44) después de 12 años juntos. Puntos clave:
La revista ¡Hola! confirmó la separación.
La pareja publicó un mensaje en Instagram anunciando su separación de forma amistosa.
Tienen dos hijos juntos: Dylan y Alma.
Comenzaron su relación en 2007 y se casaron en 2012.
Raquel Perera trabajaba como asistente personal de Sanz antes de su matrimonio.
Sanz tiene otros dos hijos de relaciones anteriores.
Hasta el final de su relación, la pareja mantuvo una buena sintonía.
</t>
    </r>
    <r>
      <rPr>
        <rFont val="Arial"/>
        <color rgb="FF000000"/>
        <sz val="9.0"/>
        <u/>
      </rPr>
      <t>Se comprometen a mantener una relación respetuosa y centrada en el bienestar de sus hijos.</t>
    </r>
  </si>
  <si>
    <r>
      <rPr>
        <rFont val="Arial"/>
        <color rgb="FF000000"/>
        <sz val="9.0"/>
      </rPr>
      <t xml:space="preserve">El resumen más relevante del texto sería:
Alejandro Sanz (50) y Raquel Perera (44) se separan después de 12 años juntos. La pareja anunció su separación en Instagram con un mensaje que enfatiza su compromiso de seguir siendo una familia unida por sus hijos Dylan y Alma. Comenzaron su relación en 2007 y se casaron en secreto en 2012. Raquel Perera, quien conoció a Sanz como su asistente personal, ha mantenido un perfil discreto. Ambos han expresado su intención de mantener una separación respetuosa y amistosa, </t>
    </r>
    <r>
      <rPr>
        <rFont val="Arial"/>
        <color rgb="FF000000"/>
        <sz val="9.0"/>
        <u/>
      </rPr>
      <t>priorizando el bienestar de sus hijos.</t>
    </r>
    <r>
      <rPr>
        <rFont val="Arial"/>
        <color rgb="FF000000"/>
        <sz val="9.0"/>
      </rPr>
      <t xml:space="preserve">
¿Desea que elabore algún aspecto específico de este resumen?</t>
    </r>
  </si>
  <si>
    <r>
      <rPr>
        <rFont val="Arial"/>
        <color rgb="FF000000"/>
        <sz val="9.0"/>
      </rPr>
      <t>Aquí está el resumen del texto usando el método 5W1H:
Qué: Alejandro Sanz y Raquel Perera se separan después de 12 años juntos.
Quién: Alejandro Sanz (50 años) y Raquel Perera (44 años).
Cuándo: La separación se confirma en</t>
    </r>
    <r>
      <rPr>
        <rFont val="Arial"/>
        <color rgb="FF000000"/>
        <sz val="9.0"/>
        <u/>
      </rPr>
      <t xml:space="preserve"> julio de 2019</t>
    </r>
    <r>
      <rPr>
        <rFont val="Arial"/>
        <color rgb="FF000000"/>
        <sz val="9.0"/>
      </rPr>
      <t xml:space="preserve">, aunque los rumores comenzaron una semana antes.
Dónde: No se especifica un lugar concreto, pero la pareja residía principalmente entre España y Estados Unidos.
Por qué: No se dan razones específicas, pero mencionan que "el mundo cambia" y ellos también.
Cómo: La pareja anunció su separación de manera respetuosa a través de un mensaje conjunto en Instagram, enfatizando que seguirán siendo una familia y </t>
    </r>
    <r>
      <rPr>
        <rFont val="Arial"/>
        <color rgb="FF000000"/>
        <sz val="9.0"/>
        <u/>
      </rPr>
      <t>priorizando el bienestar de sus hijos</t>
    </r>
    <r>
      <rPr>
        <rFont val="Arial"/>
        <color rgb="FF000000"/>
        <sz val="9.0"/>
      </rPr>
      <t xml:space="preserve"> Dylan y Alma.
¿Le gustaría que proporcione más detalles sobre algún aspecto específico de este resumen?</t>
    </r>
  </si>
  <si>
    <t>Here's a brief summary of the key points:
Alejandro Sanz (50) and Raquel Perera (44) are separating after 12 years together.
The couple announced their separation through a joint Instagram post, emphasizing they will remain a family and continue to co-parent their children Dylan and Alma.
They began their relationship in 2007 and married in 2012 in a surprise ceremony.
Sanz has four children in total: Manuela from his first marriage, Dylan and Alma with Perera, and Alexander from an extramarital relationship.
Perera, who has a background in psychology and marketing, has maintained a low public profile throughout their relationship.
The couple appears to be separating on amicable terms, focusing on their children and mutual respect.</t>
  </si>
  <si>
    <r>
      <rPr>
        <rFont val="Arial"/>
        <color rgb="FF000000"/>
        <sz val="9.0"/>
      </rPr>
      <t xml:space="preserve">El texto describe la 21ª edición del Festival de Cine Judío de Barcelona, que presenta 15 películas con temática judía </t>
    </r>
    <r>
      <rPr>
        <rFont val="Arial"/>
        <strike/>
        <color rgb="FF000000"/>
        <sz val="9.0"/>
      </rPr>
      <t>entre el 12 y el 29 de julio</t>
    </r>
    <r>
      <rPr>
        <rFont val="Arial"/>
        <color rgb="FF000000"/>
        <sz val="9.0"/>
      </rPr>
      <t>. El programa incluye una variedad de géneros y historias, abordando temas como:
Personajes históricos (Walter Benjamin, Kurt Waldheim)
Relaciones amorosas (Ingeborg Bachmann y Paul Celan)
Experiencias del Holocausto y sus consecuencias
Conflictos contemporáneos (israelí-palestino)
Comunidades judías en diferentes contextos
El festival homenajea a la documentalista Ruth Beckermann y presenta películas sobre temas controvertidos como el abuso sexual en comunidades ultraortodoxas y la industria del porno gay. También se proyectan documentales sobre las traductoras de Isaac Bashevis Singer y experiencias de ex combatientes alemanes en la Segunda Guerra Mundial.
Las películas exploran diversas perspectivas, desde dramas históricos hasta comedias, ofreciendo un panorama amplio de la experiencia judía en diferentes épocas y lugares.</t>
    </r>
  </si>
  <si>
    <t>El texto describe la 21ª edición del Festival de Cine Judío de Barcelona. Los elementos más relevantes son:
El festival presenta 15 películas con temática judía, abarcando diversos géneros y historias.
Destacan películas sobre:
Personajes históricos como Walter Benjamin y Kurt Waldheim
La relación entre Ingeborg Bachmann y Paul Celan
Experiencias en campos de concentración
Conflictos contemporáneos en Israel y Palestina
Testimonios de ex combatientes alemanes en la Segunda Guerra Mundial
Se rinde homenaje a la documentalista Ruth Beckermann con una retrospectiva.
Se incluyen documentales sobre temas controvertidos como el porno gay y abusos en comunidades ultraortodoxas.
Varias películas abordan las relaciones entre judíos y alemanes después del Holocausto.
El festival ofrece una variedad de perspectivas sobre la historia, cultura e identidad judía.
Este resumen captura los aspectos más importantes del festival, destacando su diversidad temática y su enfoque en historias relacionadas con la experiencia judía.</t>
  </si>
  <si>
    <r>
      <rPr>
        <rFont val="Arial"/>
        <color rgb="FF000000"/>
        <sz val="9.0"/>
      </rPr>
      <t>Aquí tienes un resumen del texto usando el método 5W1H:
Qué: La 21ª edición del Festival de Cine Judío de Barcelona, que presenta 15 películas de temática judía.
Quién: Participan diversos directores y actores, incluyendo a Ruth Beckermann, Tomer Heymann, y Rhoda Heneida Abecassis. Se presentan películas sobre personajes como Walter Benjamin, Kurt Waldheim, Ingeborg Bachmann y Paul Celan.
Cuándo: Del jueves 12 al 29 (</t>
    </r>
    <r>
      <rPr>
        <rFont val="Arial"/>
        <strike/>
        <color rgb="FF000000"/>
        <sz val="9.0"/>
      </rPr>
      <t>presumiblemente de octubre,</t>
    </r>
    <r>
      <rPr>
        <rFont val="Arial"/>
        <color rgb="FF000000"/>
        <sz val="9.0"/>
      </rPr>
      <t xml:space="preserve"> aunque el mes no se especifica en el texto).
Dónde: Barcelona, España.
Por qué: Para mostrar una variedad de historias y géneros relacionados con la cultura y la historia judía, abordando temas como el Holocausto, relaciones interculturales, y experiencias personales.
Cómo: A través de la proyección de películas que incluyen documentales, dramas y comedias. El festival también ofrece retrospectivas, homenajes y la presencia de algunos directores para presentar sus obras.
¿Deseas que elabore algún aspecto específico de este resumen?</t>
    </r>
  </si>
  <si>
    <r>
      <rPr>
        <rFont val="Arial"/>
        <color rgb="FF000000"/>
        <sz val="9.0"/>
      </rPr>
      <t xml:space="preserve">Aquí tienes un resumen conciso del Festival de Cine Judío de Barcelona:
Es la 21ª edición del festival.
Se proyectarán 15 películas del 12 al 29 de </t>
    </r>
    <r>
      <rPr>
        <rFont val="Arial"/>
        <strike/>
        <color rgb="FF000000"/>
        <sz val="9.0"/>
      </rPr>
      <t>julio.</t>
    </r>
    <r>
      <rPr>
        <rFont val="Arial"/>
        <color rgb="FF000000"/>
        <sz val="9.0"/>
      </rPr>
      <t xml:space="preserve">
La temática judía es el hilo conductor, con una gran variedad de géneros e historias.
Se incluyen películas sobre figuras como Walter Benjamin y Kurt Waldheim.
Hay documentales, dramas y comedias que abordan temas como el Holocausto, relaciones interculturales y biografías de personajes judíos.
Se rinde homenaje a la cineasta Ruth Beckermann con una retrospectiva.
Varios directores presentarán sus películas en persona.
Las películas exploran temas como la identidad judía, la memoria histórica y las relaciones familiares.
¿Te gustaría que profundice en algún aspecto específico del festival?</t>
    </r>
  </si>
  <si>
    <t>Nuestras redes están llenas de imágenes de niños haciendo monerías . En verano , su sobrexposición aumenta más si cabe . Cada imagen es compartida —sin consentimiento alguno— por el padre , la madre o algún familiar o amigo para orgullo de quien comparte y disfrute de sus conocidos . Se reciben likes y alguna alabanza que lleva a reincidir . Así ha sido durante varios años sin que nadie se planteara las consecuencias . Hasta que , acompañando al resquemor creciente hacia las redes sociales , una duda ha empezado a extenderse : ¿acaso hacemos mal subiendo a Internet imágenes de niños ? Tres de cada cuatro menores de dos años tienen fotos online , según un estudio de la empresa de seguridad en Internet AVG con datos de ciudadanos de 10 países ( Estados Unidos , Canadá , Alemania , el Reino Unido , Francia , España , Italia , Australia , Nueva Zelanda y Japón ) . La emoción ante la paternidad es una de las causas de esta pulsión , la versión actualizada de las imágenes que se guardaban en la cartera . De media , los progenitores de niños menores de 6 años suben 2,1 informaciones a la semana sobre estos , según un estudio con información de 1.300 padres estadounidenses de la aplicación Local Babysitter . Entre los 6 y los 13 , hay un descenso : 1,9 informaciones por semana . Cuando el menor cumple 14 años , el ímpetu se reduce a menos de una vez a la semana ( 0,8 ) . En España , los padres son los más preocupados , según AVG , por las consecuencias futuras en la vida de sus hijos de la cantidad de información online que proporcionan sobre estos ( valoran su grado de preocupación en un 3,9 sobre 5 ) . Esta preocupación posiblemente se habrá visto reforzada tras saber que Mark Zuckerberg —el hombre que más ha hecho porque compartamos como compartimos — cree que el futuro , en lugar de abierto , como sostenía hasta ahora , será privado . Mientras que el sector de la comunicación se ve obligado a proteger la identidad de los menores que salen en sus páginas , la publicación masiva de imágenes sin filtro de niños en las redes ha convertido la protección en una ironía . El fenómeno es tal que ha dado origen a un nuevo término : sharenting , la suma de share ( compartir ) y parenting ( crianza ) . En 2015 dos holandeses lanzaron al mercado la marca Koppie Koppie , una tienda online de tazas con fotos de niños cogidas de la Red para señalar el problema . Pero la primera persona que escribió un estudio detallado sobre este extendido fenómeno fue la abogada Stacey Steinberg , que en 2016 publicó el informe Sharenting , la privacidad de los niños en la era de las redes sociales . Esta profesora de Derecho de la Universidad de Florida , EE UU , y madre , estudió en profundidad las implicaciones de esta costumbre planetaria en marcha desde hace más de una década . Los padres son , por un lado , “ los veladores de la información personal de sus hijos y , por otro , los narradores de la vida de estos ” , escribe Steinberg . Al narrar , compartimos información sobre los hijos a la vez que les privamos del derecho a hacerlo ellos mismos en sus propios términos . Y eso es una fuente potencial de daño a la que hemos prestado poca atención . Los padres velan por la información personal de sus hijos y a la vez narran la vida de estos . Stacey Steinberg , abogada Los riesgos a los que se ven sometidos los menores son varios . Para empezar , ponemos más fácil su localización física a criminales o pervertidos . Pero hay además otros peligros de origen digital . Si alguien captura una imagen o un vídeo de un menor , puede simular que sufre algún tipo de peligro y reclamar un rescate . También puede suplantar su identidad en las redes , como ya le ha sucedido a varias influencers . Si , además , al anunciar el nacimiento de un bebé añadimos la fecha ( cosa que hacen no pocos padres ) , podríamos estar propiciando el robo de su identidad . Por no hablar del ciberbullying que quizá causamos al subir una foto ridícula de nuestro hijo ( se calcula que en 2018 lo habían sufrido el 59 % de los menores , según Pew Research ) . Pero hay otra consecuencia más obvia que tampoco solemos tener en cuenta : la opinión del menor . Un 58 % de los padres estadounidenses que comparten fotos creen que subirlas sin el consentimiento expreso de sus hijos es correcto , según la empresa de seguridad McAfee . Y un 40 % cree que la foto podría llegar a avergonzar al menor , pero que no le importará o que acabará superándolo . Sin embargo , lo que se está comprobando es precisamente lo contrario : que a muchos sí les disgusta el uso que sus padres hacen de su imagen . Valga de ejemplo lo que le dijo la hija de la actriz Gwyneth Paltrow cuando esta subió una imagen de ambas en la que la menor llevaba unas gafas de esquí que cubrían su rostro : “ Mamá , ya lo hemos hablado . No puedes publicar fotos mías sin mi consentimiento ” , se quejaba Apple . A lo que Paltrow respondía : “ ¡Pero si ni siquiera se te ve la cara ! ” . ¿Deberíamos pedir entonces permiso a nuestros hijos cada vez que subamos una foto de ellos ? De esto trataba el debate que mantuvieron el pasado mes de octubre varias influencers españolas —Lidia Bedman , mujer de Santiago Abascal , líder de Vox , o Jennifer Ortiz , entre otras— , madres y famosas que , además , reciben dinero por exhibir y exhibirse . Ortiz resumía el dilema durante el debate de la siguiente forma : “ El día de mañana , cuando mi hijo me pregunte sobre las fotos que subí de él , le diré : ‘ Hijo , lo hice quizá desde mi egoísmo , pensando que eran fotos bonitas y que no te iban a hacer daño . Entonces , en ese momento le pediré perdón y le daré una tarjeta [ de crédito ] con su dinero ” . ¿Subimos imágenes de niños por el lado emocional o porque mercantilizamos con llos ? Laura Baena , creadora de la web Malasmadres Poco a poco van trascendiendo casos puntuales llegados a los tribunales de menores que denuncian a sus padres en Italia , Francia o Estados Unidos . En Francia , las autoridades pueden imponer multas de hasta 45.000 euros más un año de prisión por publicar fotos íntimas de los hijos sin su permiso . “ En España no conozco ningún caso aún ” , afirma Samuel Parra , abogado especializado en temas tecnológicos . “ Lo más habitual es que un padre denuncie al otro por subir fotos sin su consentimiento como le ha sucedido a Bisbal , que denunció a su exmujer , Elena Tablada , por subir a las redes imágenes de la hija de ambos . Si el padre denunciado no retira las fotos , ahí vienen los problemas ” . “ Hay una realidad ” , opina Laura Baena , publicista y creadora de la web Malasmadres . “ Las fotos de menores lo petan . ¿Subimos las imágenes porque nos tocan la parte emocional o realmente estamos mercantilizando a los niños ? ” . ¿Podemos esperar que las propias redes pongan freno a nuestra locuacidad ? Nathan Freitas , del Berkman Klein Center for Internet &amp; Society , un centro de investigación sobre tecnología dependiente de la Universidad de Harvard , cree que sería naif esperarlo : “ No les resultaría nada difícil crear un botón muy grande y claro que dijera : ‘ Compartir SOLO con mi familia directa ’ . Pero si eso supone recolectar menos dinero , vayamos olvidándonos de ello ” . Y los tribunales ¿podrían poner freno a los padres ? Lo habitual es que sean reticentes a priorizar el derecho a la privacidad de los menores ante su propia familia . Se supone que los padres son los mejores guardianes de la privacidad de sus hijos y cuando no lo son , los jueces generalmente aceptan que los padres hacen lo mejor para estos . Stacey cierra su texto con varias recomendaciones a los padres interesados en proteger a sus hijos : que se familiaricen con las políticas de privacidad de las redes en las que suben fotos . Que fijen alertas que les avisen cuando el nombre de su hijo salga en algún resultado de búsqueda en Google . Que antes de contar algo se planteen no revelar la identidad del menor . Que no den pistas sobre los lugares que visita . Que pidan permiso a estos antes de compartir una información sobre ellos . Que no suban nunca una foto de estos con poca ropa . Y la última : que consideren si esa información que están valorando compartir puede tener algún efecto en el bienestar y en el desarrollo psicológico del pequeño.</t>
  </si>
  <si>
    <t>El texto aborda el fenómeno del "sharenting", que se refiere a la práctica de los padres de compartir fotos e información de sus hijos en redes sociales. Puntos clave:
1. Es una práctica muy común: 3 de cada 4 niños menores de 2 años tienen fotos en línea.
2. Riesgos asociados:
Facilita la localización física por criminales.
Posible suplantación de identidad.
Potencial ciberbullying.
Robo de identidad si se comparten datos personales.
3. Preocupaciones éticas:
Falta de consentimiento de los menores.
Posible vergüenza futura para los niños.
Conflicto entre el derecho de los padres a compartir y la privacidad de los hijos.
4. Aspectos legales:
Algunos países tienen leyes que penalizan compartir fotos de menores sin consentimiento.
Casos de menores demandando a sus padres por este motivo.
5. Recomendaciones para padres:
Familiarizarse con las políticas de privacidad de las redes sociales.
Configurar alertas para el nombre del hijo en Google.
Pedir permiso al menor antes de compartir.
Evitar revelar información sensible o comprometedora.
6. Debate sobre la responsabilidad de las redes sociales y la dificultad de los tribunales para abordar este tema.
El texto plantea la necesidad de reflexionar sobre esta práctica y sus posibles consecuencias a largo plazo.</t>
  </si>
  <si>
    <t>El texto aborda el fenómeno del "sharenting" - la práctica de los padres de compartir información y fotos de sus hijos en redes sociales. Los puntos más relevantes son:
1. Prevalencia: Tres de cada cuatro niños menores de dos años tienen fotos en línea.
2. Riesgos:
Facilita la localización física de menores por criminales.
Posible suplantación de identidad o robo de datos.
Potencial ciberbullying.
Violación de la privacidad y autonomía del menor.
3. Consentimiento: Muchos padres no piden permiso a sus hijos antes de publicar.
4. Consecuencias legales: En algunos países, ya hay casos de menores denunciando a sus padres por esta práctica.
5. Recomendaciones:
Familiarizarse con las políticas de privacidad de las redes sociales.
Configurar alertas para el nombre del niño en buscadores.
Proteger la identidad del menor al compartir información.
Pedir permiso al niño antes de publicar.
Evitar compartir fotos comprometedoras o con poca ropa.
El texto plantea la necesidad de reflexionar sobre esta práctica y sus implicaciones a largo plazo para la privacidad y el bienestar de los menores.</t>
  </si>
  <si>
    <t>Aquí está el resumen del texto usando el método 5W1H:
Qué: El fenómeno del "sharenting" - padres compartiendo fotos e información de sus hijos en redes sociales.
Quién: Padres, familiares y amigos que comparten; niños y menores cuyas imágenes son compartidas.
Cuándo: En la actualidad, especialmente desde hace más de una década con el auge de las redes sociales.
Dónde: En redes sociales e internet, a nivel global (con datos de países como EE.UU., Canadá, Europa, Australia, Nueva Zelanda y Japón).
Por qué:
Emoción ante la paternidad
Búsqueda de likes y alabanzas
Desconocimiento de las consecuencias
En algunos casos, motivos económicos (influencers)
Cómo: Subiendo fotos, vídeos e información personal de los niños sin su consentimiento, a menudo sin considerar las implicaciones de privacidad y seguridad.
El texto también aborda los riesgos asociados (como robo de identidad, ciberbullying, localización por criminales) y las preocupaciones éticas y legales que surgen de esta práctica, incluyendo el derecho a la privacidad de los menores y la necesidad de su consentimiento.
¿Le gustaría que profundice en algún aspecto específico de este resumen?</t>
  </si>
  <si>
    <t>Aquí tienes un resumen conciso del texto:
El "sharenting" (compartir en exceso información de los hijos en redes sociales) es un fenómeno creciente con potenciales riesgos:
1. Exposición excesiva de menores sin su consentimiento.
2. Riesgos de seguridad: localización por criminales, suplantación de identidad, ciberbullying.
3. Conflicto con el derecho a la privacidad del menor.
4. Posibles consecuencias emocionales y psicológicas futuras.
Algunos países están tomando medidas legales. Expertos recomiendan:
Familiarizarse con políticas de privacidad de redes sociales.
Pedir permiso a los hijos antes de compartir.
Limitar la información personal compartida.
Considerar el impacto a largo plazo en el bienestar del menor.
Se debate si las redes sociales deberían implementar más controles o si la responsabilidad recae principalmente en los padres.</t>
  </si>
  <si>
    <t>El texto describe una derrota del equipo de baloncesto español ante Rusia en un partido de preparación para la Copa Mundial. El entrenador, Scariolo, atribuyó la derrota a las ausencias de jugadores clave, la falta de concentración y la pobre efectividad en el tiro. Ricky Rubio y Willy Hernangómez fueron los jugadores destacados de España, pero no pudieron evitar la derrota. La selección española ahora enfrenta dudas justo antes del inicio del torneo oficial.</t>
  </si>
  <si>
    <t>España sufrió su segunda derrota en la preparación para la Copa Mundial de Baloncesto, perdiendo 55-74 ante Rusia. A pesar de los 26 puntos y 11 rebotes de Willy Hernangómez, el equipo luchó por encontrar un ritmo consistente y sufrió 18 pérdidas. El entrenador Sergio Scariolo atribuyó la derrota a la ausencia de jugadores clave y a la falta de concentración, y confía en que el equipo mejorará antes del inicio del torneo.</t>
  </si>
  <si>
    <t>Aquí está el resumen del texto utilizando el método 5W1H:
Qué: Derrota de la selección española de baloncesto ante Rusia en un partido de preparación para el Mundial.
Quién: La selección española de baloncesto, liderada por Ricky y Willy Hernangómez.
Cuándo: Tres días antes del comienzo del Mundial.
Dónde: No se especifica el lugar, pero se entiende que fue en un partido amistoso de preparación para el Mundial.
Por qué: La selección española buscaba ajustar sus automatismos y prepararse para el Mundial, pero terminó sufriendo su segunda derrota en la preparación.
Cómo: España tuvo problemas con el rebote, pérdidas de balón y bajos porcentajes de tiro, mientras que Rusia dominó el rebote y tuvo contribuciones de varios jugadores. El partido se fue complicando para España a medida que avanzaba, y a pesar de los esfuerzos de Willy Hernangómez, la diferencia en el marcador fue aumentando hasta llegar a una contundente derrota.
¿Qué? Derrota de España ante Rusia en un partido de preparación para el Mundial.</t>
  </si>
  <si>
    <t>La selección española de baloncesto sufrió una contundente derrota ante Rusia en su último partido de preparación antes del Mundial, generando dudas a pocos días del inicio del torneo. Ricky Rubio y Willy Hernangómez fueron los destacados en un equipo que luchó contra el jet lag y las ausencias de jugadores clave. El entrenador, Scariolo, espera que la competición oficial traiga una mejora en el rendimiento del equipo.</t>
  </si>
  <si>
    <r>
      <rPr>
        <rFont val="Arial"/>
        <color rgb="FF000000"/>
        <sz val="9.0"/>
      </rPr>
      <t xml:space="preserve">En marzo de 2018, un grupo de cinco universitarias españolas, con edades entre 18 y 22 años, se enteraron de una ONG llamada Acción Geoda, que trabaja en el Valle del Tessaout, una zona olvidada de Marruecos. Motivadas por mejorar las condiciones de vida en esta región, las jóvenes decidieron emprender un proyecto ambicioso: construir y mantener una escuela infantil en la aldea de Tasslent, y empoderar a las mujeres de la comunidad.
Para recaudar fondos, organizaron la Primera Jornada Solidaria del Valle de Tessaout, con actividades deportivas y lúdicas, logrando una exitosa recaudación gracias a la participación de otros jóvenes universitarios. También crearon la Primera Semana de la Mujer en su colegio mayor, vendiendo artículos diseñados por los estudiantes para promover la igualdad de género.
En marzo de </t>
    </r>
    <r>
      <rPr>
        <rFont val="Arial"/>
        <strike/>
        <color rgb="FF000000"/>
        <sz val="9.0"/>
      </rPr>
      <t>este año</t>
    </r>
    <r>
      <rPr>
        <rFont val="Arial"/>
        <color rgb="FF000000"/>
        <sz val="9.0"/>
      </rPr>
      <t>, las cinco chicas viajaron a Marruecos para ver de primera mano las necesidades del valle y conectarse con su cultura y su gente. Compartieron sus preocupaciones y ofrecieron su ayuda para mejorar la educación infantil y la alfabetización de las mujeres. El viaje fue una experiencia transformadora que inspiró a otras personas a unirse a su causa.
Cuatro meses después, el proyecto ha crecido y ahora involucra a casi todo el colegio mayor. El grupo continúa trabajando incansablemente para recaudar fondos y mejorar la educación y el empoderamiento de las mujeres en Tasslent. Su compromiso y entusiasmo son contagiosos, y esperan pasar el testigo a futuras generaciones de estudiantes para que continúen con su legado.</t>
    </r>
  </si>
  <si>
    <r>
      <rPr>
        <rFont val="Arial"/>
        <color rgb="FF000000"/>
        <sz val="9.0"/>
      </rPr>
      <t xml:space="preserve">Cinco universitarias españolas, con edades entre 18 y 22 años, decidieron embarcarse en un ambicioso proyecto solidario: construir y mantener una escuela infantil en una remota aldea de Marruecos, Tasslent, ubicada en el Valle del Tessaout, una región olvidada por el gobierno y carente de servicios básicos como agua potable y electricidad.
Para recaudar fondos, organizaron la Primera Jornada Solidaria del Valle de Tessaout, con actividades deportivas y lúdicas, y contaron con la colaboración de sus compañeros del colegio mayor. Además, crearon la Primera Semana de la Mujer en su colegio, vendiendo artículos que promovían la igualdad de género.
Su entusiasmo contagió a otros estudiantes, y en marzo de este año, </t>
    </r>
    <r>
      <rPr>
        <rFont val="Arial"/>
        <strike/>
        <color rgb="FF000000"/>
        <sz val="9.0"/>
      </rPr>
      <t>un grupo de 20 jóvenes viajó a Marruecos</t>
    </r>
    <r>
      <rPr>
        <rFont val="Arial"/>
        <color rgb="FF000000"/>
        <sz val="9.0"/>
      </rPr>
      <t xml:space="preserve"> para conocer de primera mano las necesidades de la comunidad. Compartieron sus preocupaciones y </t>
    </r>
    <r>
      <rPr>
        <rFont val="Arial"/>
        <color rgb="FF000000"/>
        <sz val="9.0"/>
        <u/>
      </rPr>
      <t>se comprometieron a mejorar la educación infantil y la alfabetización de las mujeres en la aldea</t>
    </r>
    <r>
      <rPr>
        <rFont val="Arial"/>
        <color rgb="FF000000"/>
        <sz val="9.0"/>
      </rPr>
      <t>.
El proyecto ha crecido, y ahora casi todo el colegio mayor participa en él, con el objetivo de mejorar la vida de los habitantes de Tasslent y empoderar a sus mujeres. Es una aventura solidaria que esperan continuar y transmitir a futuras generaciones de estudiantes.</t>
    </r>
  </si>
  <si>
    <r>
      <rPr>
        <rFont val="Arial"/>
        <color rgb="FFB7B7B7"/>
        <sz val="9.0"/>
      </rPr>
      <t>Aquí está el resumen del texto utilizando el método de las 5W1H:</t>
    </r>
    <r>
      <rPr>
        <rFont val="Arial"/>
        <color rgb="FF000000"/>
        <sz val="9.0"/>
      </rPr>
      <t xml:space="preserve">
Qué: Cinco universitarias inician un proyecto para construir y mantener una escuela infantil y empoderar a las mujeres en una aldea olvidada de Marruecos, Tasslent, en el Valle del Tessaout.
Quién: Cinco universitarias de entre 18 y 22 años, compañeras de colegio mayor en Madrid, España.
Cuándo: La historia comienza en marzo de 2018, con la presentación de la ONG Acción Geoda, y continúa hasta el presente, con las actividades de recaudación de fondos y el viaje a Marruecos en marzo del </t>
    </r>
    <r>
      <rPr>
        <rFont val="Arial"/>
        <strike/>
        <color rgb="FF000000"/>
        <sz val="9.0"/>
      </rPr>
      <t>mismo año</t>
    </r>
    <r>
      <rPr>
        <rFont val="Arial"/>
        <color rgb="FF000000"/>
        <sz val="9.0"/>
      </rPr>
      <t xml:space="preserve">.
Dónde: La historia tiene lugar en Madrid, España, y en la aldea de Tasslent en el Valle del Tessaout, Marruecos.
Por qué: Las universitarias se sienten motivadas a contribuir a la educación y el empoderamiento de las mujeres en una zona olvidada de Marruecos, donde la pobreza y la falta de acceso a servicios básicos son prevalentes.
Cómo: A través de la creatividad y la colaboración, las jóvenes organizan actividades deportivas y lúdicas, así como una semana dedicada a la mujer, para recaudar fondos. También viajan a Marruecos para conocer de primera mano las necesidades de la comunidad y ofrecer su ayuda.
</t>
    </r>
    <r>
      <rPr>
        <rFont val="Arial"/>
        <color rgb="FFB7B7B7"/>
        <sz val="9.0"/>
      </rPr>
      <t>El resumen destaca los aspectos más importantes de la historia, incluyendo el papel de las universitarias, sus motivaciones, las actividades de recaudación de fondos, el viaje a Marruecos y su compromiso continuo con el proyecto.</t>
    </r>
  </si>
  <si>
    <r>
      <rPr>
        <rFont val="Arial"/>
        <color rgb="FFB7B7B7"/>
        <sz val="9.0"/>
      </rPr>
      <t>tl;dr:</t>
    </r>
    <r>
      <rPr>
        <rFont val="Arial"/>
        <color rgb="FF000000"/>
        <sz val="9.0"/>
      </rPr>
      <t xml:space="preserve"> Cinco universitarias españolas se embarcan en un proyecto para construir y mantener una escuela infantil y empoderar a las mujeres en una aldea olvidada de Marruecos. A través de diversas actividades solidarias y con el apoyo de sus compañeros, logran recaudar fondos y viajar a la zona para palpar de primera mano las necesidades de la comunidad. Su entusiasmo contagia a otros jóvenes, y ahora casi todo el colegio mayor participa en el proyecto, con el objetivo de mejorar la educación infantil y la alfabetización de las mujeres en la aldea.</t>
    </r>
  </si>
  <si>
    <t>Los vecinos de un edificio histórico en Madrid decidieron abordar el problema de los pisos turísticos en su comunidad durante una reunión. El debate dividió a los residentes, algunos de los cuales estaban en contra de los inconvenientes causados por los turistas, mientras que otros eran dueños que alquilaban sus propiedades a viajeros. La votación resultó en nueve votos a favor de limitar los negocios turísticos y cinco en contra. La presidenta de la comunidad, Gema Parrellada, explicó que estos alojamientos causan todo tipo de molestias y afectan la convivencia. La regulación de los pisos turísticos en Madrid ha sido un tema controversial, con diferentes opiniones y enfoques por parte de las autoridades y los colectivos ciudadanos.</t>
  </si>
  <si>
    <r>
      <rPr>
        <rFont val="Arial"/>
        <color rgb="FF000000"/>
        <sz val="9.0"/>
      </rPr>
      <t xml:space="preserve">Los vecinos de un edificio histórico de Madrid votaron para limitar los pisos turísticos en su comunidad, citando problemas de convivencia y molestias ocasionadas por los turistas. La votación, que se realizó de acuerdo con un real decreto emitido por el gobierno español, permitió que las tres quintas partes de los propietarios rechazaran el uso de sus propiedades para fines turísticos. El debate dividió a los residentes, con algunos apoyando la medida debido a las </t>
    </r>
    <r>
      <rPr>
        <rFont val="Arial"/>
        <color rgb="FFFF9900"/>
        <sz val="9.0"/>
      </rPr>
      <t>interrupciones</t>
    </r>
    <r>
      <rPr>
        <rFont val="Arial"/>
        <color rgb="FF000000"/>
        <sz val="9.0"/>
      </rPr>
      <t xml:space="preserve"> causadas por los turistas, mientras que otros defendieron los beneficios económicos del alquiler a corto plazo. La decisión resalta la tensión entre el modelo de ciudad deseado y la realidad del impacto del turismo en los barrios tradicionales.</t>
    </r>
  </si>
  <si>
    <r>
      <rPr>
        <rFont val="Arial"/>
        <color rgb="FFB7B7B7"/>
        <sz val="9.0"/>
      </rPr>
      <t xml:space="preserve">Aquí está el resumen del texto utilizando el método 5W1H:
</t>
    </r>
    <r>
      <rPr>
        <rFont val="Arial"/>
        <color rgb="FF000000"/>
        <sz val="9.0"/>
      </rPr>
      <t xml:space="preserve">
Qué: Un conflicto entre vecinos de un edificio histórico en Madrid debido a la presencia de pisos turísticos.
Quién: Los implicados son los vecinos que viven en el edificio, los dueños que alquilan sus propiedades a turistas, y aquellos que arriendan a terceros de manera indefinida.
Cuándo: La junta de la comunidad donde se discutió el tema tuvo lugar el 9 de julio.
Dónde: En un edificio histórico del siglo XIX en la plaza de Cascorro, Madrid.
Por qué: Los vecinos buscan frenar la proliferación de apartamentos de paso en el edificio debido a las molestias que ocasionan los turistas.
Cómo: A través de una votación, nueve votos a favor y cinco en contra, se decidió limitar la cantidad de pisos turísticos en el edificio.
</t>
    </r>
    <r>
      <rPr>
        <rFont val="Arial"/>
        <color rgb="FFB7B7B7"/>
        <sz val="9.0"/>
      </rPr>
      <t>¿Qué modelo de ciudad quieren construir?: Esta es la pregunta de fondo que se plantea en el texto, ya que la presencia de pisos turísticos puede afectar la configuración del barrio y la convivencia entre los residentes.</t>
    </r>
  </si>
  <si>
    <t>La proliferación de apartamentos turísticos en un edificio histórico de Madrid ha generado un intenso debate entre los vecinos. La votación resultante, nueve a favor y cinco en contra, ha puesto de manifiesto la división en la comunidad. La cuestión clave es cómo quieren que sea el modelo de la ciudad, y aunque algunos ven beneficios en el turismo, otros argumentan que causa molestias y problemas de convivencia. Este problema, que involucra a tres administraciones diferentes, aún no tiene una solución clara, y la regulación de este tipo de viviendas turísticas sigue siendo objeto de discusión.</t>
  </si>
  <si>
    <r>
      <rPr>
        <rFont val="Arial"/>
        <color rgb="FF000000"/>
        <sz val="9.0"/>
      </rPr>
      <t xml:space="preserve">El rugby, un deporte pionero en la adopción de tecnología, está experimentando otro cambio significativo en sus reglas para abordar los crecientes problemas de seguridad. World Rugby, la federación internacional, </t>
    </r>
    <r>
      <rPr>
        <rFont val="Arial"/>
        <strike/>
        <color rgb="FF000000"/>
        <sz val="9.0"/>
      </rPr>
      <t>ha implementado cambios</t>
    </r>
    <r>
      <rPr>
        <rFont val="Arial"/>
        <color rgb="FF000000"/>
        <sz val="9.0"/>
      </rPr>
      <t xml:space="preserve"> para </t>
    </r>
    <r>
      <rPr>
        <rFont val="Arial"/>
        <color rgb="FFFF9900"/>
        <sz val="9.0"/>
      </rPr>
      <t>desalentar</t>
    </r>
    <r>
      <rPr>
        <rFont val="Arial"/>
        <color rgb="FF000000"/>
        <sz val="9.0"/>
      </rPr>
      <t xml:space="preserve"> los placajes altos y promover un juego más fluido y seguro. Estas nuevas reglas están diseñadas para reducir las conmociones cerebrales y otras lesiones graves, que a menudo resultan del impacto físico intenso y la velocidad del juego moderno.
Los cambios propuestos incluyen prohibir los placajes por encima de la cintura, lo que reduciría significativamente el riesgo de lesiones en la cabeza. World Rugby también está considerando recompensar el juego indirecto y menos contacto, y ajustar las reglas alrededor de la línea de ensayo para alentar un estilo de juego más dinámico y menos basado en el desgaste físico. Además, se propone un castigo más severo para las infracciones, con la posibilidad de elevar una tarjeta amarilla a roja durante la revisión del incidente.
Los cambios en las reglas tienen como objetivo no solo mejorar la seguridad de los jugadores, sino también mejorar el espectáculo y atraer a una audiencia más amplia, manteniendo al mismo tiempo la esencia del deporte.</t>
    </r>
  </si>
  <si>
    <r>
      <rPr>
        <rFont val="Arial"/>
        <color rgb="FF000000"/>
        <sz val="9.0"/>
      </rPr>
      <t xml:space="preserve">El rugby, un deporte conocido por su adopción temprana de la tecnología, está experimentando otro cambio significativo en sus reglas, </t>
    </r>
    <r>
      <rPr>
        <rFont val="Arial"/>
        <strike/>
        <color rgb="FF000000"/>
        <sz val="9.0"/>
      </rPr>
      <t>lo que podría ser impactante para los puristas</t>
    </r>
    <r>
      <rPr>
        <rFont val="Arial"/>
        <color rgb="FF000000"/>
        <sz val="9.0"/>
      </rPr>
      <t xml:space="preserve">. Las reglas clásicas están siendo cuestionadas debido a la evolución física de los jugadores, quienes ahora son más atléticos, chocan a mayores velocidades y tienen un tiempo de juego efectivo más prolongado en comparación con el pasado.
World Rugby, la federación internacional, </t>
    </r>
    <r>
      <rPr>
        <rFont val="Arial"/>
        <strike/>
        <color rgb="FF000000"/>
        <sz val="9.0"/>
      </rPr>
      <t>ha tomado la decisión</t>
    </r>
    <r>
      <rPr>
        <rFont val="Arial"/>
        <color rgb="FF000000"/>
        <sz val="9.0"/>
      </rPr>
      <t xml:space="preserve"> de </t>
    </r>
    <r>
      <rPr>
        <rFont val="Arial"/>
        <strike/>
        <color rgb="FF000000"/>
        <sz val="9.0"/>
      </rPr>
      <t>reducir</t>
    </r>
    <r>
      <rPr>
        <rFont val="Arial"/>
        <color rgb="FF000000"/>
        <sz val="9.0"/>
      </rPr>
      <t xml:space="preserve"> los placajes altos y promover un juego más fluido para abordar el problema de las lesiones graves y las conmociones cerebrales. La principal propuesta es prohibir los placajes por encima de la cintura, ya que se ha demostrado que son responsables de una gran cantidad de lesiones y conmociones cerebrales, especialmente para la persona que realiza el placaje.
Los cambios en las reglas también tienen como objetivo mejorar el espectáculo y beneficiar a jugadores, árbitros y aficionados. Además, se espera que reduzcan las lesiones, al igual que los cambios implementados en los últimos años han logrado mantener estable la tasa de lesiones y reducir las conmociones cerebrales.
Además de las preocupaciones por la salud de los jugadores, los cambios en las reglas también podrían tener un impacto en el estilo de juego, favoreciendo un rugby más dinámico y de alto puntaje, similar al de los All Blacks, en lugar del estilo de desgaste lento asociado con equipos como Irlanda y Sudáfrica. Las nuevas reglas también podrían resultar en más tarjetas amarillas y rojas, lo que desalienta las infracciones reiteradas y fomenta un juego más limpio.
En resumen, los cambios propuestos en las reglas del rugby buscan abordar los problemas de salud y seguridad, al tiempo que mejoran el espectáculo y adaptan el deporte a la evolución física y las demandas modernas.</t>
    </r>
  </si>
  <si>
    <r>
      <rPr>
        <rFont val="Arial"/>
        <color rgb="FFB7B7B7"/>
        <sz val="9.0"/>
      </rPr>
      <t>Aquí está un resumen del texto utilizando el método de las 5W1H:</t>
    </r>
    <r>
      <rPr>
        <rFont val="Arial"/>
        <color rgb="FF000000"/>
        <sz val="9.0"/>
      </rPr>
      <t xml:space="preserve">
Qué: El rugby, un deporte pionero en el uso de la tecnología, está enfrentando cambios radicales en sus reglas para mejorar la seguridad de los jugadores y mejorar el espectáculo.
Quién: World Rugby, la federación internacional de rugby, es la encargada de implementar estos cambios. El presidente de World Rugby, Bill Beaumont, ha expresado su compromiso para que el deporte sea más seguro y simple. John Jeffrey, responsable de la normativa, también ha destacado la intención de mejorar el espectáculo para jugadores, árbitros y aficionados.
Cuándo: Los cambios en las reglas se están estudiando actualmente y se implementarán en un futuro cercano. </t>
    </r>
    <r>
      <rPr>
        <rFont val="Arial"/>
        <strike/>
        <color rgb="FF000000"/>
        <sz val="9.0"/>
      </rPr>
      <t>Los ensayos se llevarán a cabo en las categorías amateur de Francia</t>
    </r>
    <r>
      <rPr>
        <rFont val="Arial"/>
        <color rgb="FF000000"/>
        <sz val="9.0"/>
      </rPr>
      <t xml:space="preserve">, aunque no afectarán al Mundial de Rugby que se disputará en Japón en septiembre.
Dónde: </t>
    </r>
    <r>
      <rPr>
        <rFont val="Arial"/>
        <strike/>
        <color rgb="FF000000"/>
        <sz val="9.0"/>
      </rPr>
      <t>Los ensayos de las nuevas reglas se llevarán a cabo en las categorías amateur de Francia</t>
    </r>
    <r>
      <rPr>
        <rFont val="Arial"/>
        <color rgb="FF000000"/>
        <sz val="9.0"/>
      </rPr>
      <t>, que ha visto una alta tasa de lesiones y fallecimientos en los últimos años.
Por qué: Los cambios en las reglas buscan reducir el riesgo de lesiones, especialmente conmociones cerebrales, en un deporte que se ha vuelto cada vez más físico y atlético. World Rugby argumenta que el placaje es responsable de una gran parte de las lesiones y conmociones, y que limitar los placajes altos puede reducir significativamente estos riesgos. Además, se busca mejorar el espectáculo y atraer a una audiencia más joven.
Cómo: Entre los cambios propuestos se incluyen la prohibición de placar por encima de la cintura, premiar el juego indirecto y menos contacto, y castigar con más dureza las infracciones. También se sugiere revisar las acciones que han resultado en tarjetas amarillas y elevar la sanción a una tarjeta roja si se justifica.</t>
    </r>
  </si>
  <si>
    <r>
      <rPr>
        <rFont val="Arial"/>
        <color rgb="FF000000"/>
        <sz val="9.0"/>
      </rPr>
      <t xml:space="preserve">El rugby, un deporte pionero en el uso de la tecnología, está experimentando cambios radicales en sus normas clásicas para abordar los riesgos de lesiones graves y conmociones cerebrales. World Rugby, la federación internacional, </t>
    </r>
    <r>
      <rPr>
        <rFont val="Arial"/>
        <strike/>
        <color rgb="FF000000"/>
        <sz val="9.0"/>
      </rPr>
      <t xml:space="preserve">ha introducido nuevas reglas </t>
    </r>
    <r>
      <rPr>
        <rFont val="Arial"/>
        <color rgb="FF000000"/>
        <sz val="9.0"/>
      </rPr>
      <t>que castigan los placajes altos y promueven un juego más fluido y seguro, con el objetivo de reducir las lesiones en la cabeza. Además, se están considerando cambios adicionales para premiar el juego indirecto y castigar las infracciones con más severidad, lo que podría resultar en un estilo de juego más dinámico y atractivo para los espectadores.</t>
    </r>
  </si>
  <si>
    <t>Nicolás Vallejo-Nájera, conocido como Colate, fue operado de la clavícula tras sufrir un accidente durante su participación en el reality show "Supervivientes" de Telecinco. Colate estuvo casi 10 semanas en el programa, filmed en Honduras, y fue el primer concursante confirmado. Tras su regreso a España, se sometió a nuevos exámenes médicos que determinaron la necesidad de una operación. Colate ha recibido el apoyo de su familia y amigos, incluyendo a su hermana, la famosa cocinera Samantha Vallejo-Nájera. Durante el concurso, Colate destacó por su faceta de conquistador, su afán competitivo y su liderazgo. También habló sobre su divorcio de la cantante Paulina Rubio y su relación con su hijo.</t>
  </si>
  <si>
    <r>
      <rPr>
        <rFont val="Arial"/>
        <color rgb="FF000000"/>
        <sz val="9.0"/>
      </rPr>
      <t xml:space="preserve">Nicolás Vallejo-Nájera, conocido como Colate, fue operado de la clavícula tras sufrir un accidente durante su participación en el reality show "Supervivientes" de Telecinco. Colate estuvo casi 10 semanas en el programa, </t>
    </r>
    <r>
      <rPr>
        <rFont val="Arial"/>
        <color rgb="FFFF9900"/>
        <sz val="9.0"/>
      </rPr>
      <t>filmed</t>
    </r>
    <r>
      <rPr>
        <rFont val="Arial"/>
        <color rgb="FF000000"/>
        <sz val="9.0"/>
      </rPr>
      <t xml:space="preserve"> en Honduras, y fue expulsado por el público antes de su regreso a España el 3 de julio. La operación fue necesaria debido a una fractura en la clavícula que ocurrió durante una prueba semanal, donde una rueda gigante y pesada lo aplastó.
Colate ha recibido apoyo de su familia y amigos durante su estancia en el concurso, especialmente de su hermana, la cocinera y jurado de MasterChef, Samantha Vallejo-Nájera, quien se mantuvo activa en las redes sociales pidiendo la salvación de su hermano.
Además de su accidente, Colate también habló sobre sus experiencias en el programa, incluyendo su relación con Isabel Pantoja y Mónica Hoyos, así como su atracción hacia Encarna Salazar de las Azúcar Moreno. También reveló su faceta competitiva y su liderazgo en las pruebas, y discutió sobre su divorcio de la cantante mexicana Paulina Rubio y la custodia compartida de su hijo.</t>
    </r>
  </si>
  <si>
    <r>
      <rPr>
        <rFont val="Arial"/>
        <color rgb="FFD9D9D9"/>
        <sz val="9.0"/>
      </rPr>
      <t>Aquí está el resumen del texto utilizando el método 5W1H:</t>
    </r>
    <r>
      <rPr>
        <rFont val="Arial"/>
        <color rgb="FF000000"/>
        <sz val="9.0"/>
      </rPr>
      <t xml:space="preserve">
Qué: Nicolás Vallejo-Nájera, conocido como Colate, tuvo que ser operado de la clavícula debido a un accidente que sufrió en el reality show "Supervivientes" de Telecinco.
Quién: Nicolás Vallejo-Nájera (Colate), concursante de "Supervivientes".
Cuándo: El pasado 3 de julio, tras su regreso de Honduras, y esta semana fue operado.
Dónde: En la isla de Honduras, durante una prueba semanal de "Supervivientes", y en Madrid, donde fue operado en la clínica Ruber Internacional.
Por qué: Debido a un accidente en el que una rueda gigante cayó sobre él, causándole una fractura de clavícula.
Cómo: Los chequeos médicos iniciales en Honduras indicaron que podía continuar en el concurso, pero tras su expulsión y nuevos exámenes, los especialistas optaron por operar para aliviar las molestias y dolores.
El texto también menciona el apoyo que recibió Colate de su hermana, Samantha Vallejo-Nájera, y su faceta como empresario, conquistador y competidor durante su participación en "Supervivientes". Además, se habla de su divorcio de la cantante Paulina Rubio y sus problemas de custodia.</t>
    </r>
  </si>
  <si>
    <r>
      <rPr>
        <rFont val="Arial"/>
        <color rgb="FFCCCCCC"/>
        <sz val="9.0"/>
      </rPr>
      <t>¡No hay problema! Aquí está una versión más concisa:</t>
    </r>
    <r>
      <rPr>
        <rFont val="Arial"/>
        <color rgb="FF000000"/>
        <sz val="9.0"/>
      </rPr>
      <t xml:space="preserve">
Nicolás Vallejo-Nájera, conocido como Colate, fue operado de la clavícula tras sufrir un accidente en el reality show Supervivientes de Telecinco. Colate, el primer concursante confirmado, pasó casi 10 semanas en Honduras antes de ser expulsado por el público. Días antes de su expulsión, una pesada rueda le cayó encima durante una prueba, causándole una fractura de clavícula. Inicialmente, se pensó que podía continuar en el concurso, pero tras su regreso a España, los especialistas optaron por operarlo. Colate ha recibido apoyo de su familia y amigos, especialmente de su hermana, Samantha Vallejo-Nájera, quien se mantuvo a su lado a pesar de sus problemas económicos y personales. En el concurso, Colate destacó por su faceta de conquistador, su afán competitivo y su liderazgo. También habló sobre su divorcio de la cantante Paulina Rubio y su acuerdo de custodia compartida de su hijo.</t>
    </r>
  </si>
  <si>
    <r>
      <rPr>
        <rFont val="Arial"/>
        <color rgb="FF000000"/>
        <sz val="9.0"/>
      </rPr>
      <t xml:space="preserve">India ha lanzado la misión Chandrayaan 2, con el objetivo de convertirse en el cuarto país en lograr un alunizaje exitoso. La misión, desarrollada casi en su totalidad en India, es una demostración del creciente programa espacial del país. La nave tardará dos meses en llegar a la Luna, realizando primero órbitas elípticas alrededor de la Tierra para probar sus sistemas antes de dirigirse directamente a la Luna. Una vez allí, el módulo de aterrizaje Vikram se separará del módulo orbital y aterrizará en una llanura cerca del polo sur lunar. Luego, un rover de seis ruedas llamado Pragyan saldrá del módulo de aterrizaje y explorará la superficie lunar, recopilando datos y enviando imágenes durante 14 días. Si la misión tiene éxito, India se unirá </t>
    </r>
    <r>
      <rPr>
        <rFont val="Arial"/>
        <color rgb="FF000000"/>
        <sz val="9.0"/>
      </rPr>
      <t>a un selecto grupo de naciones</t>
    </r>
    <r>
      <rPr>
        <rFont val="Arial"/>
        <color rgb="FF000000"/>
        <sz val="9.0"/>
      </rPr>
      <t xml:space="preserve"> que </t>
    </r>
    <r>
      <rPr>
        <rFont val="Arial"/>
        <color rgb="FF000000"/>
        <sz val="9.0"/>
      </rPr>
      <t>han logrado</t>
    </r>
    <r>
      <rPr>
        <rFont val="Arial"/>
        <color rgb="FF000000"/>
        <sz val="9.0"/>
      </rPr>
      <t xml:space="preserve"> aterrizar una nave en la Luna.</t>
    </r>
  </si>
  <si>
    <r>
      <rPr>
        <rFont val="Arial"/>
        <color rgb="FF000000"/>
        <sz val="9.0"/>
      </rPr>
      <t xml:space="preserve">India ha lanzado con éxito la misión Chandrayaan 2, con el objetivo de convertirse en el cuarto país en lograr un </t>
    </r>
    <r>
      <rPr>
        <rFont val="Arial"/>
        <color rgb="FF000000"/>
        <sz val="9.0"/>
      </rPr>
      <t>aterrizaje suave</t>
    </r>
    <r>
      <rPr>
        <rFont val="Arial"/>
        <color rgb="FF000000"/>
        <sz val="9.0"/>
      </rPr>
      <t xml:space="preserve"> en la Luna. La misión, desarrollada casi en su totalidad en India, es una prueba del creciente programa espacial del país. La nave espacial, que despegó hoy, tardará dos meses en llegar a la Luna, donde liberará un módulo de aterrizaje y un rover para estudiar la superficie lunar. El módulo de aterrizaje, llamado Vikram, </t>
    </r>
    <r>
      <rPr>
        <rFont val="Arial"/>
        <color rgb="FF000000"/>
        <sz val="9.0"/>
      </rPr>
      <t>en honor al padre del programa espacial indio</t>
    </r>
    <r>
      <rPr>
        <rFont val="Arial"/>
        <color rgb="FF000000"/>
        <sz val="9.0"/>
      </rPr>
      <t xml:space="preserve">, y el rover, llamado Pragyan, intentarán un </t>
    </r>
    <r>
      <rPr>
        <rFont val="Arial"/>
        <color rgb="FF000000"/>
        <sz val="9.0"/>
      </rPr>
      <t>aterrizaje suave</t>
    </r>
    <r>
      <rPr>
        <rFont val="Arial"/>
        <color rgb="FF000000"/>
        <sz val="9.0"/>
      </rPr>
      <t xml:space="preserve"> en una llanura entre dos cráteres cerca del polo sur lunar. Si la misión tiene éxito, India se unirá </t>
    </r>
    <r>
      <rPr>
        <rFont val="Arial"/>
        <color rgb="FF000000"/>
        <sz val="9.0"/>
      </rPr>
      <t>a un selecto grupo de naciones que han logrado</t>
    </r>
    <r>
      <rPr>
        <rFont val="Arial"/>
        <color rgb="FF000000"/>
        <sz val="9.0"/>
      </rPr>
      <t xml:space="preserve"> aterrizar en la Luna, </t>
    </r>
    <r>
      <rPr>
        <rFont val="Arial"/>
        <color rgb="FF000000"/>
        <sz val="9.0"/>
      </rPr>
      <t>destacando su capacidad tecnológica y científica en la carrera espacial global</t>
    </r>
    <r>
      <rPr>
        <rFont val="Arial"/>
        <color rgb="FF000000"/>
        <sz val="9.0"/>
      </rPr>
      <t>.</t>
    </r>
  </si>
  <si>
    <r>
      <rPr>
        <rFont val="Arial"/>
        <color rgb="FF000000"/>
        <sz val="9.0"/>
      </rPr>
      <t>Aquí está el resumen del texto sobre el lanzamiento de la misión Chandrayaan 2 de India, utilizando el marco de las 5W1H:</t>
    </r>
    <r>
      <rPr>
        <rFont val="Arial"/>
        <color rgb="FF000000"/>
        <sz val="9.0"/>
      </rPr>
      <t xml:space="preserve">
Qué: India ha lanzado la nave Chandrayaan 2 con el objetivo de aterrizar en la Luna.
Quién: La misión ha sido desarrollada principalmente por la agencia espacial india, </t>
    </r>
    <r>
      <rPr>
        <rFont val="Arial"/>
        <color rgb="FF000000"/>
        <sz val="9.0"/>
      </rPr>
      <t>mostrando el avance del programa espacial del país.</t>
    </r>
    <r>
      <rPr>
        <rFont val="Arial"/>
        <color rgb="FF000000"/>
        <sz val="9.0"/>
      </rPr>
      <t xml:space="preserve">
Cuándo: El lanzamiento tuvo lugar hoy, y se espera que la nave llegue a la Luna en dos meses.
Dónde: La nave fue lanzada desde la Tierra y su destino es una llanura entre los cráteres Manzinus C y Simpelius N, cerca del polo sur de la Luna.
Por qué: India busca convertirse en el cuarto país en posar un aparato en la Luna, después de EE. UU., Rusia y China. Esto representaría un importante logro en su programa espacial.
Cómo: La nave realizará varias órbitas alrededor de la Tierra para comprobar su funcionamiento, y luego utilizará propulsores para dirigirse a la Luna. Una vez allí, el módulo de alunizaje Vikram se separará del módulo orbital y aterrizará en la superficie lunar. Del Vikram saldrá un rover de seis ruedas, llamado Pragyan, que explorará la superficie lunar y recolectará datos científicos.
</t>
    </r>
    <r>
      <rPr>
        <rFont val="Arial"/>
        <color rgb="FF000000"/>
        <sz val="9.0"/>
      </rPr>
      <t>Espero que esto te haya proporcionado una visión general concisa y útil del lanzamiento de la misión Chandrayaan 2 de India.</t>
    </r>
  </si>
  <si>
    <t>India ha lanzado la misión Chandrayaan 2, con la que espera convertirse en el cuarto país en posar un aparato en la Luna. La nave tardará dos meses en llegar al satélite y, tras varias maniobras orbitales, soltará el vehículo de alunizaje Vikram, que llevará un pequeño rover llamado Pragyan. La misión tiene como destino una llanura cerca del polo sur lunar y su éxito supondría un importante logro para el programa espacial indio.</t>
  </si>
  <si>
    <t>La policía alemana ha detenido a un joven de 17 años buscado por la muerte de su hermana de 14 años en Mataró, Barcelona. El menor, de origen ruso, ha sido trasladado a España y puesto a disposición de la fiscalía de menores. El crimen ocurrió en junio cuando la madre, de viaje, dejó a los adolescentes solos en casa. Al no poder contactarlos, pidió a unos amigos que fueran a su casa, donde encontraron el cadáver de la menor con heridas de arma blanca. El hermano mayor no estaba y era buscado desde entonces.</t>
  </si>
  <si>
    <t>La policía ha detenido en Alemania a un joven de 17 años buscado por el presunto asesinato de su hermana de 14 años en Mataró, Barcelona. El crimen ocurrió en junio cuando la madre, de origen ruso, estaba de viaje y los adolescentes estaban solos en casa. El joven ha sido trasladado a España y puesto a disposición de la fiscalía de menores. El cadáver de la hermana fue hallado con heridas de arma blanca, y el menor estaba en busca y captura desde entonces.</t>
  </si>
  <si>
    <r>
      <rPr>
        <rFont val="Arial"/>
        <color rgb="FFB7B7B7"/>
        <sz val="9.0"/>
      </rPr>
      <t>Aquí está el resumen del texto usando el método de las 5W1H:</t>
    </r>
    <r>
      <rPr>
        <rFont val="Arial"/>
        <color rgb="FF000000"/>
        <sz val="9.0"/>
      </rPr>
      <t xml:space="preserve">
Qué: La Policía ha detenido al joven de 17 años como presunto autor de la muerte de su hermana de 14 años, cuyo cadáver fue hallado en su domicilio familiar en Mataró, Barcelona, con heridas de arma blanca.
Quién: El joven de 17 años, </t>
    </r>
    <r>
      <rPr>
        <rFont val="Arial"/>
        <color rgb="FF000000"/>
        <sz val="9.0"/>
        <u/>
      </rPr>
      <t>cuya identidad no ha sido revelada debido a su condición de menor de edad.</t>
    </r>
    <r>
      <rPr>
        <rFont val="Arial"/>
        <color rgb="FF000000"/>
        <sz val="9.0"/>
      </rPr>
      <t xml:space="preserve">
Cuándo: El crimen ocurrió en junio pasado, y el joven fue detenido recientemente y trasladado a España para ser puesto a disposición de la fiscalía de menores.
Dónde: En el domicilio familiar situado en el barrio Cerdanyola de Mataró, Barcelona.
Por qué: Las razones detrás del crimen aún no están claras y son objeto de investigación.
Cómo: El joven supuestamente atacó a su hermana con un arma blanca, causándole heridas que resultaron fatales.
</t>
    </r>
    <r>
      <rPr>
        <rFont val="Arial"/>
        <color rgb="FFB7B7B7"/>
        <sz val="9.0"/>
      </rPr>
      <t>Este resumen proporciona una visión general concisa del incidente utilizando las preguntas básicas de las 5W1H para transmitir la información clave.</t>
    </r>
  </si>
  <si>
    <r>
      <rPr>
        <rFont val="Arial"/>
        <color rgb="FF000000"/>
        <sz val="9.0"/>
      </rPr>
      <t xml:space="preserve">La policía ha detenido en Alemania a un joven de 17 años buscado </t>
    </r>
    <r>
      <rPr>
        <rFont val="Arial"/>
        <color rgb="FF000000"/>
        <sz val="9.0"/>
      </rPr>
      <t>por la muerte</t>
    </r>
    <r>
      <rPr>
        <rFont val="Arial"/>
        <color rgb="FF000000"/>
        <sz val="9.0"/>
      </rPr>
      <t xml:space="preserve"> de su hermana de 14 años en España. El menor, </t>
    </r>
    <r>
      <rPr>
        <rFont val="Arial"/>
        <color rgb="FF000000"/>
        <sz val="9.0"/>
      </rPr>
      <t>de origen ruso</t>
    </r>
    <r>
      <rPr>
        <rFont val="Arial"/>
        <color rgb="FF000000"/>
        <sz val="9.0"/>
      </rPr>
      <t>, estaba solo con su hermana en el domicilio familiar cuando ocurrió el crimen y ha sido puesto a disposición de la fiscalía de menores.</t>
    </r>
  </si>
  <si>
    <t>Aquí está un resumen del texto proporcionado:
El cantante español Alejandro Sanz y su pareja, Raquel Perera, han anunciado su separación después de 12 años juntos. La pareja, que tiene dos hijos en común, Dylan y Alma, confirmó su separación a través de una publicación en Instagram, donde afirmaron que aunque su relación romántica ha terminado, siempre serán una familia. La revista ¡Hola! oficializó la noticia, destacando la madurez y el respeto con el que la pareja está manejando la situación. Sanz y Perera comenzaron su relación en 2007 y se casaron en secreto en 2012. A pesar de su separación, ambos han dejado claro que su familia sigue siendo su prioridad y que continuarán amándose y apoyándose mutuamente. Mientras Sanz continúa con su gira de conciertos, Perera se centra en sus proyectos personales y en el cuidado de sus hijos. La pareja ha demostrado que es posible separarse de manera respetuosa y madura, manteniendo siempre el bienestar de su familia como prioridad.</t>
  </si>
  <si>
    <t>Alejandro Sanz y Raquel Perera anuncian su separación después de 12 años juntos. La pareja, que tiene dos hijos en común, Dylan y Alma, confirmó la noticia a través de una publicación en Instagram, donde afirmaron que su familia está "por encima de cualquier cosa" y que a pesar de los cambios, siempre se amarán amorosamente. La separación se produce tres días después del octavo cumpleaños de su hijo Dylan y después de que Raquel viajara a Madrid y a una playa con sus hijos, mientras que Alejandro continúa su gira de conciertos en los Estados Unidos y México. La pareja, que se casó en secreto en 2012, siempre ha mantenido un perfil bajo y discreto en los medios.</t>
  </si>
  <si>
    <t xml:space="preserve">
Aquí está un resumen del texto utilizando el método de las 5W1H:
Qué: Separación de Alejandro Sanz y Raquel Perera después de 12 años de relación.
Quién: Alejandro Sanz (50 años), cantante y compositor español, y Raquel Perera (44 años), su esposa y madre de dos de sus hijos.
Cuándo: La separación se confirmó en julio de 2019, aunque los rumores comenzaron una semana antes.
Dónde: La noticia se hizo pública en España, donde ambos residen y donde se celebró la boda en 2012.
Por qué: No se dan razones específicas, pero la pareja menciona "la complejidad y la ventaja de transformar las maneras de amarse en otras direcciones" y la necesidad de cambiar con el mundo.
Cómo: A través de una declaración conjunta en Instagram, donde anunciaron su separación y enfatizaron su compromiso de seguir siendo una familia y amarse para siempre, aunque de una manera diferente.
Espero que esto te haya dado una visión general concisa y clara de la historia utilizando el marco de las 5W1H.</t>
  </si>
  <si>
    <r>
      <rPr>
        <rFont val="Arial"/>
        <color rgb="FF000000"/>
        <sz val="9.0"/>
      </rPr>
      <t xml:space="preserve">
tl;dr: Alejandro Sanz y Raquel Perera confirman su separación después de 12 años juntos, manteniendo una relación respetuosa </t>
    </r>
    <r>
      <rPr>
        <rFont val="Arial"/>
        <color rgb="FF000000"/>
        <sz val="9.0"/>
        <u/>
      </rPr>
      <t>por el bien de sus hijos</t>
    </r>
    <r>
      <rPr>
        <rFont val="Arial"/>
        <color rgb="FF000000"/>
        <sz val="9.0"/>
      </rPr>
      <t xml:space="preserve"> y destacando su amor y lealtad mutuos.</t>
    </r>
  </si>
  <si>
    <t>La 21ª edición del Festival de Cine Judío de Barcelona presenta una emocionante y variada selección de películas que exploran historias y géneros diferentes, siempre con un trasfondo temático judío. Las 15 películas que se exhibirán incluyen títulos que van desde biografías de personajes notables hasta historias de amor trágicas, viajes de descubrimiento y relatos de supervivencia en medio de la guerra y el conflicto.
Algunas de las películas destacadas son "Tel Aviv en llamas", que cuenta la historia de una relación inesperada entre un ayudante palestino y un comandante israelí; "M", que sigue a un estudioso del Talmud dentro de la comunidad judía ultraortodoxa; y una retrospectiva de la documentalista, cineasta y escritora austriaca Ruth Beckermann, incluyendo su película "Los soñadores" y "El caso Waldheim".
El festival también presenta "Jonathan Agassi me salvó la vida", un documental sobre una estrella del porno gay y su relación con su madre; "Las musas de Bashevis Singer", un documental sobre las traductoras del Premio Nobel; y "El intérprete", una película sobre un hombre en busca del asesino de su padre, oficial nazi, que encuentra a un hijo conformista en su lugar.
La programación incluye además historias de supervivencia en campos de concentración, como "La pequeña pradera de los abedules", y dramas familiares en medio de conflictos culturales y religiosos, como "Un hombre afortunado". La edición promete ofrecer una perspectiva diversa y conmovedora sobre la experiencia judía a través del cine.</t>
  </si>
  <si>
    <t>El Festival de Cine Judío de Barcelona presenta una emocionante y variada selección de películas para su 21ª edición. Entre los títulos más destacados se encuentran "Tel Aviv en llamas", que explora la relación entre un ayudante palestino y un comandante israelí; "M", que aborda el oscuro secreto de un estudioso del Talmud dentro de la comunidad ultraortodoxa judía; y "Los soñadores", un homenaje a la poeta Ingeborg Bachman y el poeta Paul Celan. El festival también incluye películas sobre personajes históricos como Walter Benjamin y Kurt Waldheim, así como historias personales conmovedoras, como el regreso de una superviviente a Birkenau y la vida de una joven judía etíope durante la guerra civil en su país. Además, se proyectarán documentales impactantes, como "La guerra del Este", en el que veteranos alemanes comparten sus experiencias en la guerra de exterminio en el frente oriental, y "El puente de papel", un viaje personal a la historia de los judíos de Europa central a través de los ojos de la documentalista austriaca Ruth Beckermann, a quien el festival rinde homenaje.</t>
  </si>
  <si>
    <r>
      <rPr>
        <rFont val="Arial"/>
        <color rgb="FF000000"/>
        <sz val="9.0"/>
      </rPr>
      <t xml:space="preserve">Aquí está el resumen del texto sobre el Festival de Cine Judío de Barcelona, utilizando el marco de las 5W1H:
Qué: El Festival de Cine Judío de Barcelona presenta una emocionante variedad de películas que exploran historias y géneros diversos, siempre con un trasfondo temático judío.
Quién: El festival incluye obras de varios cineastas y escritores, destacando la homenajeada Ruth Beckermann, Tomer Heymann, Yolande Zauberman, Sameh Zoabi, Martin Sulik, Marceline Loridan-Ivens y Billi August.
Cuándo: El festival se lleva a cabo del 12 al 29 de </t>
    </r>
    <r>
      <rPr>
        <rFont val="Arial"/>
        <strike/>
        <color rgb="FF000000"/>
        <sz val="9.0"/>
      </rPr>
      <t>este mes,</t>
    </r>
    <r>
      <rPr>
        <rFont val="Arial"/>
        <color rgb="FF000000"/>
        <sz val="9.0"/>
      </rPr>
      <t xml:space="preserve"> con proyecciones en diferentes días para cada película.
Dónde: Barcelona, España (no se especifica el lugar exacto).
Por qué: El Festival de Cine Judío de Barcelona busca celebrar y explorar la cultura y las historias judías a través del medio cinematográfico, presentando una variedad de perspectivas y experiencias.
Cómo: A través de una selección cuidadosa de películas que incluyen documentales, dramas, historias de amor y viajes personales, el festival ofrece una visión profunda de la experiencia judía en diferentes épocas y lugares.
Qué (qué películas): Algunas de las películas destacadas incluyen "Tel Aviv en llamas", "M", "Los soñadores", "El caso Waldheim", "El puente de papel", "Jonathan Agassi me salvó la vida", "Las musas de Bashevis Singer", "El intérprete", "La pequeña pradera de los abedules" y "Un hombre afortunado".</t>
    </r>
  </si>
  <si>
    <t>El Festival de Cine Judío de Barcelona presenta su 21ª edición con una variedad de películas que exploran historias y géneros diferentes, siempre con temáticas judías y humanas conmovedoras. Desde historias sobre personajes icónicos hasta viajes personales conmovedores, el festival ofrece una selección de 15 películas interesantes, incluida "Tel Aviv en llamas" de Sameh Zoabi, que explora la relación inesperada entre un ayudante palestino y un comandante israelí. El festival también presenta "La guerra del Este", un duro documental austriaco sobre veteranos alemanes que comparten sus experiencias en la guerra de exterminio en el frente oriental. Otras películas destacadas incluyen "M" de Yolande Zauberman, que trata sobre un estudioso del Talmud en la comunidad ultraortodoxa, y una retrospectiva de la documentalista austriaca Ruth Beckermann, con películas como "Los soñadores" y "El caso Waldheim". El festival ofrece una mezcla cautivadora de historias personales, exploraciones históricas y reflexiones conmovedoras sobre la condición humana.</t>
  </si>
  <si>
    <t>El texto discute el fenómeno del "sharenting", la sobreexposición de imágenes y la información personal de los niños en las redes sociales por parte de sus padres o familiares. Se plantea la preocupación por las consecuencias de esta práctica, incluyendo la localización física de los menores por criminales, el robo de identidad, la suplantación en las redes y el ciberbullying. Se mencionan estudios que muestran que los padres suben frecuentemente información sobre sus hijos sin su consentimiento y se debate si esto es correcto o no. Se presentan casos de menores que han denunciado a sus padres por compartir sus imágenes en línea y se discuten las opiniones de expertos en derecho y privacidad. Finalmente, se ofrecen recomendaciones para que los padres protejan la privacidad de sus hijos en línea.</t>
  </si>
  <si>
    <r>
      <rPr>
        <rFont val="Arial"/>
        <color rgb="FF000000"/>
        <sz val="9.0"/>
      </rPr>
      <t xml:space="preserve">El texto discute el fenómeno del "sharenting", donde los padres comparten excesivamente información e imágenes de sus hijos en línea sin considerar las posibles consecuencias. El resumen del contenido más relevante es el siguiente:
El sharenting, una combinación de las palabras "compartir" y "crianza", se refiere a la tendencia de los padres a compartir detalles íntimos de la vida de sus hijos en las redes sociales. Estudios muestran que esto es común; tres de cada cuatro menores de dos años tienen fotos en línea. Mientras que los padres pueden estar motivados por la emoción y el orgullo, hay riesgos asociados con esta práctica. Estos incluyen la exposición a criminales o depredadores, el robo de identidad, el ciberacoso y la suplantación de identidad. Además, se ignora la opinión del menor y su derecho a la privacidad. Los expertos recomiendan que los padres sean cautelosos y consideren las implicaciones a largo plazo de compartir información sobre sus hijos en línea. Es importante respetar la privacidad de los menores y ser conscientes de las políticas de privacidad de las redes sociales. </t>
    </r>
    <r>
      <rPr>
        <rFont val="Arial"/>
        <color rgb="FF000000"/>
        <sz val="9.0"/>
        <u/>
      </rPr>
      <t>El debate en curso destaca la necesidad de encontrar un equilibrio entre compartir y proteger la vida personal de los niños en la era digital.</t>
    </r>
  </si>
  <si>
    <r>
      <rPr>
        <rFont val="Arial"/>
        <color rgb="FF000000"/>
        <sz val="9.0"/>
      </rPr>
      <t xml:space="preserve">Aquí está el resumen del texto utilizando el método de las 5W1H:
Qué: La sobreexposición de imágenes de niños en las redes sociales y las implicaciones que esto tiene en su privacidad y seguridad.
Quién: Los padres, familiares y amigos que comparten imágenes de niños sin su consentimiento, y los propios niños que pueden verse afectados por esta práctica.
Cuándo: En la era de las redes sociales, especialmente durante el verano, cuando la cantidad de imágenes compartidas tiende a aumentar.
Dónde: En las redes sociales en línea, como </t>
    </r>
    <r>
      <rPr>
        <rFont val="Arial"/>
        <color rgb="FF000000"/>
        <sz val="9.0"/>
        <u/>
      </rPr>
      <t>Facebook, Instagram, etc.</t>
    </r>
    <r>
      <rPr>
        <rFont val="Arial"/>
        <color rgb="FF000000"/>
        <sz val="9.0"/>
      </rPr>
      <t xml:space="preserve">
Por qué: Los padres y familiares suelen compartir imágenes de niños por emoción y orgullo, sin considerar las posibles consecuencias negativas.
Cómo: Al compartir imágenes de niños sin su consentimiento, se les priva de su derecho a la privacidad y se les expone a riesgos de localización física por parte de criminales, suplantación de identidad en línea y ciberacoso, entre otros peligros.
Quién/Qué/Cómo: El término "sharenting" describe esta práctica de compartir (share) aspectos de la crianza (parenting) en línea, y se han realizado estudios y debates para explorar las implicaciones éticas y legales de esta práctica.
Espero que esto te haya ayudado a comprender mejor el tema.</t>
    </r>
  </si>
  <si>
    <t>Las redes sociales están llenas de imágenes de niños compartidas sin su consentimiento por parte de sus padres o familiares. Esta práctica, conocida como "sharenting", plantea riesgos para la seguridad y privacidad de los menores, y ha generado un debate sobre la ética de exponer su imagen en Internet. Los expertos recomiendan a los padres que sean cautelosos al compartir información sobre sus hijos y que consideren las posibles consecuencias en su bienestar y privacidad.</t>
  </si>
  <si>
    <t>España sufrió una segunda derrota consecutiva en su preparación para el Mundial de baloncesto, esta vez contra Rusia, con un marcador de 55-74. Sin Marc Gasol y Rudy Fernández, y con Ricky Rubio limitado a 15 minutos, el equipo mostró debilidades significativas. Los únicos puntos brillantes fueron los 26 puntos y 11 rebotes de Willy Hernangómez. A pesar de un inicio prometedor, España se desmoronó en ataque y defensa, acumulando pérdidas y fallando numerosos tiros. Rusia, por su parte, dominó el rebote y aprovechó los errores españoles para consolidar su ventaja. El seleccionador Sergio Scariolo restó importancia al resultado, enfatizando la ausencia de jugadores clave y la diferencia entre partidos de preparación y competición oficial.</t>
  </si>
  <si>
    <t>España sufrió su segunda derrota en la preparación para el Mundial al perder 55-74 ante Rusia. Con las ausencias de Marc Gasol y Rudy Fernández, el equipo mostró pobres porcentajes de tiro y cometió numerosas pérdidas. A pesar del buen desempeño de Willy Hernangómez, con 26 puntos y 11 rebotes, la falta de constancia y efectividad lastró al equipo. Ricky Rubio, limitado en minutos y con una lesión leve en el codo, no pudo evitar la derrota. Scariolo, el seleccionador, espera que esta actuación no refleje el rendimiento en la competición oficial.</t>
  </si>
  <si>
    <t>Qué: La selección española de baloncesto sufrió su segunda derrota consecutiva en la preparación para el Mundial, esta vez contra Rusia, mostrando un rendimiento pobre en tiros y con muchas pérdidas de balón.
Quién: El equipo dirigido por Sergio Scariolo, con actuaciones destacadas de Ricky Rubio y Willy Hernangómez.
Cuándo: A tres días del comienzo del Mundial, después de haber perdido previamente contra Argentina.
Dónde: El partido se disputó como parte de los amistosos de preparación para el Mundial.
Por qué: España jugó sin algunos de sus jugadores clave como Marc Gasol y Rudy Fernández, lo que afectó su desempeño. Además, se vieron limitados por la ausencia de su jugador estrella, Ricky Rubio, en la segunda mitad.
Cómo: Rusia dominó el partido gracias a su control en el rebote y el juego colectivo. La selección española mostró debilidades defensivas y ofensivas, acumulando errores y bajos porcentajes de tiro.</t>
  </si>
  <si>
    <t>España sufrió su segunda derrota en la preparación para el Mundial de baloncesto, cayendo 55-74 ante Rusia. A pesar de los 26 puntos y 11 rebotes de Willy Hernangómez, el equipo mostró debilidades, especialmente en el tiro y las pérdidas. Con las ausencias de Rudy y Marc Gasol, y con minutos limitados para Ricky Rubio, el equipo de Scariolo no logró mantener la constancia. Rusia dominó en rebotes y defensa, y la falta de acierto de España selló su destino en el partido. El seleccionador espera que este resultado no sea indicativo del rendimiento en la competición oficial.</t>
  </si>
  <si>
    <r>
      <rPr>
        <rFont val="Arial"/>
        <color rgb="FF000000"/>
        <sz val="9.0"/>
      </rPr>
      <t>En marzo de 2018, cinco universitarias de un colegio mayor en Madrid conocieron la ONG Acción Geoda, que trabaja en el Valle del Tessaout, Marruecos, una región extremadamente pobre y desatendida. Decidieron emprender un proyecto para construir y mantener una escuela infantil y empoderar a las mujeres de la aldea Tasslent. Organizaron la Primera Jornada Solidaria del Valle de Tessaout y la Primera Semana de la Mujer en su colegio, recaudando fondos con la ayuda de otros estudiantes. En</t>
    </r>
    <r>
      <rPr>
        <rFont val="Arial"/>
        <strike/>
        <color rgb="FF000000"/>
        <sz val="9.0"/>
      </rPr>
      <t xml:space="preserve"> marzo de 2019</t>
    </r>
    <r>
      <rPr>
        <rFont val="Arial"/>
        <color rgb="FF000000"/>
        <sz val="9.0"/>
      </rPr>
      <t>, visitaron el valle para conocer su realidad y fortalecer su compromiso. Ahora, todo el colegio mayor participa en el proyecto, y esperan continuar la labor con el apoyo de nuevos estudiantes, promoviendo la educación infantil y la alfabetización de mujeres en esta región olvidada.</t>
    </r>
  </si>
  <si>
    <t>En marzo de 2018, cinco universitarias de un colegio mayor en Madrid conocieron a la ONG Acción Geoda, que trabaja en el Valle del Tessaout en Marruecos, una región olvidada con muchas carencias. Inspiradas por la situación, decidieron construir y mantener una escuela infantil y empoderar a las mujeres de la aldea Tasslent. Para financiar su proyecto, organizaron una jornada solidaria y otras actividades, logrando una gran participación y éxito. Viajaron a Marruecos para conocer la realidad local y reforzar su compromiso. Ahora, el proyecto cuenta con el apoyo de muchos compañeros del colegio mayor, y continúan trabajando para mejorar la educación y alfabetización en la zona, con la esperanza de que futuros estudiantes mantengan la iniciativa.</t>
  </si>
  <si>
    <r>
      <rPr>
        <rFont val="Arial"/>
        <color rgb="FF000000"/>
        <sz val="9.0"/>
      </rPr>
      <t xml:space="preserve">Qué:
Proyecto para la construcción y mantenimiento de una escuela infantil y el empoderamiento de la mujer en el Valle del Tessaout, Marruecos.
Quién:
Cinco universitarias de entre 18 y 22 años, compañeras de colegio mayor adscrito a la Complutense (Madrid).
Cuándo:
El proyecto comenzó en marzo de 2018, y el primer viaje al valle fue el 9 de marzo </t>
    </r>
    <r>
      <rPr>
        <rFont val="Arial"/>
        <strike/>
        <color rgb="FF000000"/>
        <sz val="9.0"/>
      </rPr>
      <t>del mismo año.</t>
    </r>
    <r>
      <rPr>
        <rFont val="Arial"/>
        <color rgb="FF000000"/>
        <sz val="9.0"/>
      </rPr>
      <t xml:space="preserve">
Dónde:
Valle del Tessaout, Marruecos, específicamente en la aldea de Tasslent.
Por qué:
Para ayudar a cubrir las necesidades básicas de los habitantes del valle, mejorar la educación infantil y promover la igualdad de género.
Cómo:
Organizando la Primera Jornada Solidaria del Valle de Tessaout para recaudar fondos, involucrando a otros colegiales en actividades deportivas y lúdicas, y creando la Primera Semana de la Mujer para sensibilizar sobre la igualdad de género. Visitaron el valle para conocer la situación</t>
    </r>
    <r>
      <rPr>
        <rFont val="Arial"/>
        <strike/>
        <color rgb="FF000000"/>
        <sz val="9.0"/>
      </rPr>
      <t xml:space="preserve"> y fomentar la participación de otros jóvenes en el proyecto</t>
    </r>
    <r>
      <rPr>
        <rFont val="Arial"/>
        <color rgb="FF000000"/>
        <sz val="9.0"/>
      </rPr>
      <t xml:space="preserve">.
</t>
    </r>
    <r>
      <rPr>
        <rFont val="Arial"/>
        <color rgb="FFB7B7B7"/>
        <sz val="9.0"/>
      </rPr>
      <t xml:space="preserve">Contexto adicional:
Las estudiantes se consideran privilegiadas por la oportunidad de ayudar y buscan continuar el proyecto a largo plazo, </t>
    </r>
    <r>
      <rPr>
        <rFont val="Arial"/>
        <color rgb="FF000000"/>
        <sz val="9.0"/>
      </rPr>
      <t>con la esperanza de pasarlo a futuras generaciones de estudiantes del colegio mayor.</t>
    </r>
  </si>
  <si>
    <r>
      <rPr>
        <rFont val="Arial"/>
        <color rgb="FF000000"/>
        <sz val="9.0"/>
      </rPr>
      <t xml:space="preserve">En marzo de 2018, cinco universitarias </t>
    </r>
    <r>
      <rPr>
        <rFont val="Arial"/>
        <strike/>
        <color rgb="FF000000"/>
        <sz val="9.0"/>
      </rPr>
      <t>del Colegio Mayor</t>
    </r>
    <r>
      <rPr>
        <rFont val="Arial"/>
        <color rgb="FF000000"/>
        <sz val="9.0"/>
      </rPr>
      <t xml:space="preserve"> adscrito a la Complutense en Madrid </t>
    </r>
    <r>
      <rPr>
        <rFont val="Arial"/>
        <strike/>
        <color rgb="FF000000"/>
        <sz val="9.0"/>
      </rPr>
      <t>se involucraron con la ONG Acción Geoda</t>
    </r>
    <r>
      <rPr>
        <rFont val="Arial"/>
        <color rgb="FF000000"/>
        <sz val="9.0"/>
      </rPr>
      <t xml:space="preserve">, que trabaja en el Valle del Tessaout, Marruecos, una zona muy olvidada. Decidieron construir y mantener una escuela infantil y empoderar a las mujeres de la aldea Tasslent. Para financiar el proyecto, organizaron la Primera Jornada Solidaria del Valle de Tessaout con actividades deportivas y lúdicas, y la Primera Semana de la Mujer en su colegio mayor, vendiendo artículos para promover la igualdad de género. En marzo </t>
    </r>
    <r>
      <rPr>
        <rFont val="Arial"/>
        <strike/>
        <color rgb="FF000000"/>
        <sz val="9.0"/>
      </rPr>
      <t>de 2019</t>
    </r>
    <r>
      <rPr>
        <rFont val="Arial"/>
        <color rgb="FF000000"/>
        <sz val="9.0"/>
      </rPr>
      <t>, viajaron a Marruecos para ver la situación de primera mano. Tras la experiencia, su proyecto creció con la participación de casi todo el colegio mayor. Siguen recaudando fondos y planean continuar el trabajo en el valle, con la esperanza de que futuros estudiantes mantengan y amplíen el proyecto.</t>
    </r>
  </si>
  <si>
    <r>
      <rPr>
        <rFont val="Arial"/>
        <color rgb="FF000000"/>
        <sz val="9.0"/>
      </rPr>
      <t xml:space="preserve">En un edificio histórico de Madrid, los vecinos debatieron sobre la proliferación de pisos turísticos en su comunidad, tema que dividió opiniones. Gracias a un real decreto del gobierno, si tres quintas partes de los propietarios acordaban limitar estos pisos, podrían hacerlo. En la junta del 9 de julio, </t>
    </r>
    <r>
      <rPr>
        <rFont val="Arial"/>
        <strike/>
        <color rgb="FF000000"/>
        <sz val="9.0"/>
      </rPr>
      <t>15 viviendas votaron</t>
    </r>
    <r>
      <rPr>
        <rFont val="Arial"/>
        <color rgb="FF000000"/>
        <sz val="9.0"/>
      </rPr>
      <t>: 9 a favor de limitar, 5 en contra. Los vecinos que viven allí se quejan de las molestias de los turistas, mientras los dueños de pisos turísticos defienden los beneficios económicos. Algunos, como Sonia, prefieren alquilar de manera indefinida por razones éticas y de comunidad. El Ayuntamiento y las administraciones enfrentan desafíos para regular estos pisos, y el decreto de Sánchez está siendo cuestionado en tribunales.</t>
    </r>
  </si>
  <si>
    <t>En una junta vecinal en un edificio histórico de Madrid, se debatió sobre la proliferación de pisos turísticos. Gracias a un real decreto del Gobierno de Pedro Sánchez, los vecinos podían limitar estos apartamentos si obtenían el acuerdo de tres quintas partes de los propietarios. Tras un intenso debate, se decidió prohibir nuevos pisos turísticos en el edificio, con nueve votos a favor y cinco en contra. El tema refleja una creciente preocupación en la ciudad sobre el impacto de estos alquileres en la convivencia y el modelo de ciudad. Los propietarios de pisos turísticos, aunque reconocen la necesidad de regulación, defienden los beneficios económicos. Mientras tanto, otros vecinos priorizan la convivencia y la identidad del barrio. La regulación y el control de estos pisos siguen siendo temas de controversia en Madrid.</t>
  </si>
  <si>
    <t>Qué: Debate y votación en una junta de vecinos sobre la limitación de pisos turísticos en un edificio histórico de Madrid.
Quién: Vecinos del edificio (residentes permanentes, propietarios de pisos turísticos y arrendadores de larga duración), liderados por la presidenta de la comunidad, Gema Parrellada.
Cuándo: La reunión se celebró el 9 de julio.
Dónde: En un edificio histórico del siglo XIX ubicado en la Plaza de Cascorro, Madrid.
Por qué: Los vecinos querían frenar la proliferación de pisos turísticos que causaban molestias y afectaban la convivencia. El gobierno de Pedro Sánchez había facilitado esto mediante un real decreto que permitía a las comunidades de vecinos limitar estos negocios si alcanzaban un acuerdo de tres quintas partes.
Cómo: Durante la junta, se debatió intensamente el tema, se presentaron ejemplos de inconvenientes ocasionados por los turistas y se votó. La votación resultó en nueve votos a favor de limitar los pisos turísticos y cinco en contra, lo que permitió que no se concedieran más permisos para este tipo de alquileres en el edificio.</t>
  </si>
  <si>
    <t>En un edificio histórico de la Plaza de Cascorro en Madrid, los vecinos se reunieron para discutir la proliferación de pisos turísticos. Utilizando un decreto del Gobierno de Pedro Sánchez que permite a las comunidades de vecinos limitar estos alquileres con una mayoría de tres quintas partes, decidieron prohibir nuevos pisos turísticos. La votación resultó en nueve votos a favor y cinco en contra de la limitación. Los vecinos argumentaron que los turistas causan molestias, mientras que los propietarios de los pisos turísticos defendieron su derecho a alquilar y señalaron beneficios económicos. El debate refleja un conflicto más amplio sobre el modelo de ciudad y la convivencia en áreas turísticas.</t>
  </si>
  <si>
    <t>El rugby, pionero en el uso de tecnología, enfrenta cambios significativos para mejorar la seguridad de los jugadores. Las nuevas normas buscan reducir lesiones, especialmente las conmociones cerebrales, al prohibir los placajes por encima de la cintura. El placaje es responsable de la mitad de las lesiones y el 76 % de las conmociones en los partidos, afectando principalmente al placador. Además, se propondrán otras medidas como premiar el juego indirecto y sancionar más severamente las infracciones. Estos cambios no solo buscan proteger a los jugadores, sino también mejorar el espectáculo y atraer a más audiencia, especialmente a los jóvenes.</t>
  </si>
  <si>
    <r>
      <rPr>
        <rFont val="Arial"/>
        <color rgb="FF000000"/>
        <sz val="9.0"/>
      </rPr>
      <t xml:space="preserve">El rugby, conocido por ser pionero en el uso de la tecnología, está </t>
    </r>
    <r>
      <rPr>
        <rFont val="Arial"/>
        <color rgb="FFFF9900"/>
        <sz val="9.0"/>
      </rPr>
      <t>experimentando</t>
    </r>
    <r>
      <rPr>
        <rFont val="Arial"/>
        <color rgb="FF000000"/>
        <sz val="9.0"/>
      </rPr>
      <t xml:space="preserve"> un cambio significativo en sus reglas debido a la evolución física de los jugadores y el incremento de riesgos como conmociones cerebrales y lesiones graves. La federación internacional, World Rugby, está considerando prohibir los placajes por encima de la cintura, ya que el placaje es responsable de la mayoría de las lesiones y conmociones cerebrales en el deporte. Esta medida busca reducir el riesgo de lesiones en la cabeza y se probará probablemente en categorías amateur en Francia. Además, se están estudiando otros cambios para fomentar un juego más dinámico y menos centrado en el contacto físico, como premiar el juego indirecto y revisar más estrictamente las infracciones. Estos cambios no solo buscan mejorar la seguridad de los jugadores, sino también incrementar el espectáculo y la audiencia del rugby.</t>
    </r>
  </si>
  <si>
    <r>
      <rPr>
        <rFont val="Arial"/>
        <color rgb="FF000000"/>
        <sz val="9.0"/>
      </rPr>
      <t xml:space="preserve">Qué: World Rugby </t>
    </r>
    <r>
      <rPr>
        <rFont val="Arial"/>
        <strike/>
        <color rgb="FF000000"/>
        <sz val="9.0"/>
      </rPr>
      <t>está implementando cambios normativos</t>
    </r>
    <r>
      <rPr>
        <rFont val="Arial"/>
        <color rgb="FF000000"/>
        <sz val="9.0"/>
      </rPr>
      <t xml:space="preserve"> para hacer el rugby más seguro y dinámico.
Quién: La federación internacional World Rugby, liderada por su presidente Bill Beaumont y John Jeffrey, responsable de la normativa.
Cuándo: Los cambios se están estudiando actualmente y su implementación se está planificando, aunque no afectarán al Mundial de 2023 en Japón.
Dónde: Las pruebas de las nuevas normas </t>
    </r>
    <r>
      <rPr>
        <rFont val="Arial"/>
        <color rgb="FFFF9900"/>
        <sz val="9.0"/>
      </rPr>
      <t>se sugieren</t>
    </r>
    <r>
      <rPr>
        <rFont val="Arial"/>
        <color rgb="FF000000"/>
        <sz val="9.0"/>
      </rPr>
      <t xml:space="preserve"> en las categorías amateur de Francia.
Por qué: Debido al aumento de lesiones y conmociones cerebrales, y para mejorar la seguridad y el espectáculo del deporte.
Cómo: Prohibiendo los placajes por encima de la cintura, premiando el juego indirecto, y revisando las infracciones para elevar sanciones. También se busca reducir el contacto constante y fomentar un estilo de juego más fluido y atractivo.</t>
    </r>
  </si>
  <si>
    <r>
      <rPr>
        <rFont val="Arial"/>
        <color rgb="FF000000"/>
        <sz val="9.0"/>
      </rPr>
      <t xml:space="preserve">El rugby </t>
    </r>
    <r>
      <rPr>
        <rFont val="Arial"/>
        <strike/>
        <color rgb="FF000000"/>
        <sz val="9.0"/>
      </rPr>
      <t xml:space="preserve">está implementando cambios radicales </t>
    </r>
    <r>
      <rPr>
        <rFont val="Arial"/>
        <color rgb="FF000000"/>
        <sz val="9.0"/>
      </rPr>
      <t>en sus reglas para mejorar la seguridad y el espectáculo del juego. World Rugby, la federación internacional, propone prohibir los placajes por encima de la cintura para reducir el riesgo de conmociones cerebrales y otras lesiones graves. Las estadísticas muestran que los placajes son responsables de la mayoría de las lesiones y conmociones en el deporte. Además, se premiará el juego indirecto y se castigarán más severamente las infracciones reiteradas. Estos cambios buscan un juego más fluido y dinámico, con más puntos y atractivo para las audiencias, especialmente los espectadores jóvenes.</t>
    </r>
  </si>
  <si>
    <t>Nicolás Vallejo-Nájera, conocido como Colate, fue el primer concursante confirmado para participar en el reality show "Supervivientes" de Telecinco. Después de casi 10 semanas en la isla de Honduras, fue expulsado por el público y regresó a España el 3 de julio. Poco después, tuvo que ser operado de la clavícula debido a un accidente sufrido durante una prueba en el concurso. Aunque los médicos en Honduras indicaron que podía continuar, los especialistas en España decidieron operarlo tras nuevos exámenes.
Colate ingresó en la clínica Ruber Internacional en Madrid, donde fue apoyado por su familia y amigos. Durante su participación, recibió respaldo constante en redes sociales, especialmente de su hermana Samantha Vallejo-Nájera, jurado de MasterChef, quien publicó mensajes de ánimo. En "Supervivientes", Colate destacó por su faceta de conquistador y tuvo interacciones con Isabel Pantoja y Mónica Hoyos, aunque también enfrentó conflictos con ellas. Además, reveló su atracción por Encarna Salazar, una concursante que abandonó el programa al inicio.
Colate se mostró competitivo y fue líder del grupo en varias ocasiones, demostrando un carácter autoritario. También habló sobre su agrio divorcio de Paulina Rubio y su hijo en común, Andrea Nicolás, con quien mantiene una buena relación. A pesar de una demanda reciente de Rubio por cuestiones de custodia, la situación se calmó y ella le llevó a su hijo tras su regreso de Honduras.</t>
  </si>
  <si>
    <t>Nicolás Vallejo-Nájera, conocido como Colate, participó en el reality "Supervivientes" de Telecinco, pero tuvo que ser operado de la clavícula tras un accidente en una prueba del programa. Colate fue expulsado por el público y al regresar a España, los médicos decidieron intervenir quirúrgicamente. Durante el concurso, recibió mucho apoyo en redes sociales, especialmente de su hermana, Samantha Vallejo-Nájera. Colate también habló de sus interacciones con otras concursantes, como Isabel Pantoja y Mónica Hoyos, y de su atracción hacia Encarna Salazar. Además, mencionó su difícil divorcio de Paulina Rubio y la relación con su hijo, destacando que mantienen una buena relación a pesar de conflictos pasados.</t>
  </si>
  <si>
    <t>Qué: Nicolás Vallejo-Nájera, conocido como Colate, sufrió un accidente durante su participación en el reality "Supervivientes", que le causó una fractura de clavícula.
Quién: Nicolás Vallejo-Nájera (Colate), participante del reality show "Supervivientes" y expareja de la cantante Paulina Rubio.
Cuándo: Colate fue expulsado del programa el 3 de julio y operado de la clavícula la semana siguiente.
Dónde: El accidente ocurrió en la isla de Honduras durante una prueba del programa. Fue operado en la clínica Ruber Internacional en Madrid.
Por qué: Colate sufrió una fractura de clavícula cuando una rueda gigante y pesada que estaba transportando durante una prueba semanal cayó sobre él.
Cómo: Inicialmente, los chequeos médicos en Honduras indicaron que podía continuar en el concurso. Sin embargo, tras nuevos exámenes a su regreso a España, los especialistas decidieron operarlo para aliviar las molestias y dolores. Colate recibió apoyo de su familia y amigos durante su participación en el concurso y en su recuperación posterior.</t>
  </si>
  <si>
    <t>Nicolás Vallejo-Nájera, conocido como Colate, fue el primer concursante confirmado para "Supervivientes" en Telecinco. Tras casi 10 semanas en la isla de Honduras, sufrió un accidente que le fracturó la clavícula y tuvo que ser operado tras regresar a España. A pesar de la lesión, continuó en el concurso hasta ser expulsado por el público. Colate ha recibido el apoyo de su hermana, Samantha Vallejo-Nájera, y otros familiares y amigos. En "Supervivientes", mostró su faceta de conquistador y su carácter competitivo. Además, su conflictivo divorcio con Paulina Rubio y las disputas por la custodia de su hijo también han sido temas destacados en su vida pública.</t>
  </si>
  <si>
    <r>
      <rPr>
        <rFont val="Arial"/>
        <color rgb="FF000000"/>
        <sz val="9.0"/>
      </rPr>
      <t xml:space="preserve">India ha lanzado la nave Chandrayaan 2 con el objetivo de convertirse en el cuarto país en posar un aparato en la Luna. La misión, que refleja el crecimiento del programa espacial indio, ha sido desarrollada casi en su totalidad en India. Chandrayaan 2 despegó a las once y media hora peninsular española y su viaje a la Luna durará dos meses. Primero realizará varias órbitas elípticas alrededor de la Tierra para verificar el funcionamiento de sus componentes. Luego, se dirigirá hacia la Luna, </t>
    </r>
    <r>
      <rPr>
        <rFont val="Arial"/>
        <color rgb="FF000000"/>
        <sz val="9.0"/>
      </rPr>
      <t>donde será atraída por la gravedad lunar y quedará en una órbita a 100 km de la superficie</t>
    </r>
    <r>
      <rPr>
        <rFont val="Arial"/>
        <color rgb="FF000000"/>
        <sz val="9.0"/>
      </rPr>
      <t xml:space="preserve">. El módulo de alunizaje Vikram, que se desprenderá del módulo orbital, descenderá a una llanura cerca del polo sur lunar. De Vikram saldrá un rover de seis ruedas llamado Pragyan, </t>
    </r>
    <r>
      <rPr>
        <rFont val="Arial"/>
        <color rgb="FF000000"/>
        <sz val="9.0"/>
      </rPr>
      <t>que recorrerá hasta medio kilómetro en la superficie lunar,</t>
    </r>
    <r>
      <rPr>
        <rFont val="Arial"/>
        <color rgb="FF000000"/>
        <sz val="9.0"/>
      </rPr>
      <t xml:space="preserve"> equipado con cámaras e instrumentos científicos. La misión, originalmente conjunta con Rusia, fue asumida por India tras la retirada rusa. Si tiene éxito, India se unirá a EE.UU., Rusia y China en el logro de aterrizar en la Luna.</t>
    </r>
  </si>
  <si>
    <r>
      <rPr>
        <rFont val="Arial"/>
        <color rgb="FF000000"/>
        <sz val="9.0"/>
      </rPr>
      <t xml:space="preserve">India ha lanzado la nave Chandrayaan 2, con la intención de convertirse en el cuarto país en posar un aparato en la Luna, después de EE. UU., Rusia y China. La misión es una muestra del avanzado programa espacial indio, desarrollado casi en su totalidad en el país. Chandrayaan 2 </t>
    </r>
    <r>
      <rPr>
        <rFont val="Arial"/>
        <color rgb="FF000000"/>
        <sz val="9.0"/>
      </rPr>
      <t>ha despegado</t>
    </r>
    <r>
      <rPr>
        <rFont val="Arial"/>
        <color rgb="FF000000"/>
        <sz val="9.0"/>
      </rPr>
      <t xml:space="preserve"> y se espera que su viaje hasta la Luna dure dos meses. Durante este tiempo, la nave realizará varias órbitas elípticas alrededor de la Tierra antes de dirigirse a la Luna.
Una vez en la órbita lunar, el módulo de alunizaje Vikram se separará para descender a una llanura cerca del polo sur lunar. Después del alunizaje, el rover Pragyan, equipado con cámaras e instrumentos científicos, descenderá del Vikram para explorar la superficie lunar durante 14 días. Esta misión, inicialmente planeada con la colaboración de Rusia, </t>
    </r>
    <r>
      <rPr>
        <rFont val="Arial"/>
        <color rgb="FF000000"/>
        <sz val="9.0"/>
      </rPr>
      <t xml:space="preserve">ha enfrentado retos tecnológicos significativos </t>
    </r>
    <r>
      <rPr>
        <rFont val="Arial"/>
        <color rgb="FF000000"/>
        <sz val="9.0"/>
      </rPr>
      <t>y representa un hito importante para la carrera espacial de India.</t>
    </r>
  </si>
  <si>
    <t xml:space="preserve">Qué: India ha lanzado la nave Chandrayaan 2 con el objetivo de convertirse en el cuarto país en posar un aparato en la Luna.
Quién: La misión está siendo llevada a cabo por el programa espacial de India.
Cuándo: La nave fue lanzada hoy, despegando sobre las once y media hora peninsular española. El viaje hasta la Luna durará dos meses.
Dónde: El lanzamiento ocurrió en India y la misión se dirige a una llanura cerca del polo sur de la Luna, entre los cráteres Manzinus C y Simpelius N.
Por qué: El objetivo es demostrar el avance del programa espacial indio y lograr un importante hito en la exploración lunar.
Cómo: La Chandrayaan 2 realizará varias órbitas elípticas alrededor de la Tierra antes de dirigirse en línea recta hacia la Luna. Una vez en la órbita lunar, el módulo Vikram se desprenderá para alunizar y desplegar el rover Pragyan.
</t>
  </si>
  <si>
    <t>India ha lanzado la nave Chandrayaan 2 con el objetivo de convertirse en el cuarto país en posar un aparato en la Luna. Esta misión, desarrollada principalmente en India, sigue al exitoso envío de la Chandrayaan 1 en 2008. Chandrayaan 2 despegó hoy y su viaje al satélite durará dos meses, con una serie de órbitas terrestres elípticas antes de dirigirse a la Luna. La nave incluirá el módulo de alunizaje Vikram y el rover Pragyan, que explorará la superficie lunar cerca del polo sur. Si tiene éxito, India se unirá a EE.UU., Rusia y China en lograr un alunizaje.</t>
  </si>
  <si>
    <t>La Policía ha detenido en Alemania a un joven de 17 años, sospechoso de haber matado a su hermana de 14 años en Mataró, Barcelona, el pasado junio. El joven ya ha sido trasladado a España y puesto a disposición de la fiscalía de menores. El crimen ocurrió cuando su madre estaba de viaje y los adolescentes se quedaron solos en su casa. La madre, al no poder contactar con ellos, pidió a unos amigos que fueran a su domicilio, donde encontraron el cadáver de la menor con heridas de arma blanca y sin rastro del hermano.</t>
  </si>
  <si>
    <t>La Policía ha detenido en Alemania a un joven de 17 años, presunto autor de la muerte de su hermana de 14 años, cuyo cadáver fue hallado en su domicilio en Mataró, Barcelona, el pasado junio. El joven ha sido trasladado a España y puesto a disposición de la fiscalía de menores. La madre de ambos, de origen ruso, estaba de viaje en el momento del crimen y, al no poder contactar con sus hijos, pidió a unos amigos que acudieran a su casa, donde encontraron el cuerpo de la menor con heridas de arma blanca y sin rastro del hermano.</t>
  </si>
  <si>
    <t>Qué: La policía ha detenido al joven de 17 años por el presunto asesinato de su hermana de 14 años.
Quién: Un joven de 17 años (detenido) y su hermana de 14 años (víctima).
Cuándo: El crimen ocurrió en junio pasado, y el joven fue detenido posteriormente.
Dónde: El crimen ocurrió en el domicilio familiar en el barrio Cerdanyola de Mataró, Barcelona, y el joven fue detenido en Alemania.
Por qué: El joven fue detenido como sospechoso del asesinato de su hermana, cuyo cadáver fue encontrado con heridas de arma blanca.
Cómo: La madre, al no poder contactar con sus hijos mientras estaba de viaje, pidió a unos amigos que revisaran la casa, donde encontraron el cadáver de la menor y no había rastro del hermano mayor.</t>
  </si>
  <si>
    <t>La Policía ha detenido en Alemania a un joven de 17 años, sospechoso de haber asesinado a su hermana de 14 años en Mataró, Barcelona. El crimen ocurrió en junio cuando su madre estaba de viaje y los adolescentes se encontraban solos en casa. El joven ha sido trasladado a España y está bajo custodia de la fiscalía de menores.</t>
  </si>
  <si>
    <t>Alejandro Sanz y Raquel Perera se separan después de 12 años juntos. La revista ¡Hola! confirmó la noticia tras rumores recientes. Ambos publicaron en Instagram un mensaje ambiguo pero claro sobre su separación, enfatizando el amor y la responsabilidad compartida por sus hijos, Dylan y Alma. Aunque separados, mantienen una relación respetuosa y amorosa. Perera voló a Madrid con sus hijos, mientras Sanz sigue con su gira. La pareja inició su relación en 2007, tuvieron a su primer hijo en 2011 y se casaron en 2012 en una ceremonia sorpresa. Tienen dos hijos juntos y Sanz tiene otros dos de relaciones anteriores. Perera, exasistente de Sanz, se ha dedicado a la cosmética.</t>
  </si>
  <si>
    <t>Alejandro Sanz y Raquel Perera se separan después de 12 años juntos. La revista ¡Hola! confirmó la noticia, que ya se especulaba desde hace una semana. Ambos publicaron un mensaje en Instagram asegurando que seguirán siendo una familia amorosa y responsable con sus hijos, Dylan y Alma, y que afrontan el cambio con cariño y respeto. Raquel y los niños se trasladaron a Madrid, mientras Alejandro continúa con su gira de conciertos. La pareja comenzó su relación en 2007 y se casaron en secreto en 2012. A lo largo de su relación, han mantenido una vida privada discreta.</t>
  </si>
  <si>
    <t>Qué: Alejandro Sanz y Raquel Perera se separan después de 12 años juntos.
Quién: Alejandro Sanz (50 años) y Raquel Perera (44 años).
Cuándo: La separación se confirma este miércoles, después de rumores que comenzaron hace poco más de una semana. La declaración pública se realizó tras el octavo cumpleaños de su hijo Dylan.
Dónde: La revista ¡Hola! oficializa la separación. Raquel viajó a Madrid y luego a una playa, mientras Alejandro está con su hija Manuela y continúa su gira en Estados Unidos y México.
Por qué: Aunque no se especifican las razones exactas, la declaración conjunta sugiere un cambio en su relación, manteniendo el cariño, la lealtad y la responsabilidad hacia sus hijos, Dylan y Alma.
Cómo: La separación se realizó de manera respetuosa. Ambos publicaron simultáneamente en Instagram un mensaje sobre su familia y cómo continuarán siendo una familia amorosa, a pesar de los cambios.</t>
  </si>
  <si>
    <r>
      <rPr>
        <rFont val="Arial"/>
        <color rgb="FF000000"/>
        <sz val="9.0"/>
      </rPr>
      <t xml:space="preserve">Alejandro Sanz (50) y Raquel Perera (44) se han separado después de 12 años juntos. La revista ¡Hola! oficializó la separación, confirmando los rumores de desavenencias. Ambos publicaron en Instagram un mensaje conjunto sobre su separación respetuosa, </t>
    </r>
    <r>
      <rPr>
        <rFont val="Arial"/>
        <color rgb="FF000000"/>
        <sz val="9.0"/>
        <u/>
      </rPr>
      <t>priorizando a sus hijos</t>
    </r>
    <r>
      <rPr>
        <rFont val="Arial"/>
        <color rgb="FF000000"/>
        <sz val="9.0"/>
      </rPr>
      <t xml:space="preserve">, Dylan y Alma. Sanz sigue con su gira musical mientras Perera </t>
    </r>
    <r>
      <rPr>
        <rFont val="Arial"/>
        <strike/>
        <color rgb="FF000000"/>
        <sz val="9.0"/>
      </rPr>
      <t xml:space="preserve">se centra en sus hijos </t>
    </r>
    <r>
      <rPr>
        <rFont val="Arial"/>
        <color rgb="FF000000"/>
        <sz val="9.0"/>
      </rPr>
      <t>y su trabajo en cosmética. La pareja, que se casó en secreto en 2012 y tiene dos hijos en común, ha decidido mantener una relación amorosa y respetuosa pese a la separación.</t>
    </r>
  </si>
  <si>
    <t>El 21º Festival de Cine Judío de Barcelona presenta una variedad de 15 películas con temática judía, que abordan historias diversas y conmovedoras. Entre ellas, destacan:
- Documentales y películas sobre figuras históricas como Walter Benjamin y Kurth Waldheim.
- Una recreación de la historia de amor entre los poetas Ingeborg Bachman y Paul Celan.
- Relatos sobre el regreso de una superviviente a Birkenau, el viaje conjunto de un hijo de una víctima y su asesino, y la vida de una joven judía etíope durante la guerra civil.
- La película "Tel Aviv en llamas" sobre la relación entre un asistente de una telenovela palestina y un comandante israelí.
- El documental austriaco "La guerra del Este" con testimonios de excombatientes alemanes.
- "M" de Yolande Zauberman, sobre un estudioso del Talmud que fue violado.
- Un homenaje a la cineasta Ruth Beckermann con varias de sus películas.
- "Jonathan Agassi me salvó la vida" de Tomer Heymann, sobre una estrella del porno gay y su relación con su madre.
- "Las musas de Bashevis Singer" sobre las traductoras del Nobel.
- "El intérprete" sobre la búsqueda del asesino nazi del padre de un hombre.
- "La pequeña pradera de los abedules" sobre el regreso de una superviviente de Birkenau.
- "Un hombre afortunado" de Bille August, sobre un ingeniero cristiano que se casa con una mujer judía rica.
El festival también contará con presentaciones y la presencia de algunos directores.</t>
  </si>
  <si>
    <t>El 21º Festival de Cine Judío de Barcelona presenta una variada programación de 15 películas con temática judía, que se celebrará del 12 al 29 de julio. Entre las obras destacadas se incluyen:
- Tel Aviv en llamas de Sameh Zoabi, sobre la relación entre un ayudante de telenovela palestina y un comandante israelí.
- La guerra del Este, un documental austriaco con testimonios de excombatientes alemanes sobre la guerra en el frente oriental.
- M de Yolande Zauberman, que trata sobre un estudioso del Talmud y su secreto de abuso.
- El caso Waldheim de Ruth Beckermann, sobre las mentiras del exsecretario general de la ONU.
- Jonathan Agassi me salvó la vida de Tomer Heymann, un documental sobre una estrella del porno gay y su relación con su madre.
- Las musas de Bashevis Singer, documental sobre las traductoras del Nobel Isaac Bashevis Singer.
- El intérprete de Martin Sulik, sobre la búsqueda de justicia de un hombre cuyo padre fue asesinado por un nazi.
- La pequeña pradera de los abedules de Marceline Loridan-Ivens, basada en su experiencia en Birkenau.
- Un hombre afortunado de Bille August, sobre un joven ingeniero cristiano que se casa con una mujer judía.
El festival también rendirá homenaje a la documentalista Ruth Beckermann con una retrospectiva de su obra.</t>
  </si>
  <si>
    <r>
      <rPr>
        <rFont val="Arial"/>
        <color rgb="FF000000"/>
        <sz val="9.0"/>
      </rPr>
      <t xml:space="preserve">Qué: El Festival de Cine Judío de Barcelona presenta su 21ª edición, con una programación diversa de 15 películas que exploran temas judíos a través de diferentes géneros y enfoques.
Quién: Las películas incluyen personajes históricos como Walter Benjamin y Kurth Waldheim, y figuras de la comunidad judía, como la poetisa Ingeborg Bachman y el poeta Paul Celan. También se destacan cineastas como Sameh Zoabi, Yolande Zauberman, Ruth Beckermann, Tomer Heymann, Rhoda Heneida Abecassis, y Martin Sulik.
Cuándo: El festival se celebra del 12 al 29 de </t>
    </r>
    <r>
      <rPr>
        <rFont val="Arial"/>
        <strike/>
        <color rgb="FF000000"/>
        <sz val="9.0"/>
      </rPr>
      <t>julio</t>
    </r>
    <r>
      <rPr>
        <rFont val="Arial"/>
        <color rgb="FF000000"/>
        <sz val="9.0"/>
      </rPr>
      <t>, con proyecciones programadas en diferentes días.
Dónde: El evento tiene lugar en Barcelona, con varias proyecciones y presentaciones en diferentes ubicaciones de la ciudad.
Por qué: El festival busca ofrecer una ventana a la temática judía, presentando historias con un interés humano y cultural significativo, y rinde homenaje a figuras importantes del cine y la literatura judía.
Cómo: A través de la proyección de películas que incluyen documentales, dramas, y recreaciones históricas, con eventos especiales como la presencia de directores y presentaciones de filmes destacados.</t>
    </r>
  </si>
  <si>
    <r>
      <rPr>
        <rFont val="Arial"/>
        <color rgb="FF000000"/>
        <sz val="9.0"/>
      </rPr>
      <t xml:space="preserve">El 21º Festival de Cine Judío de Barcelona presenta una variada programación de 15 películas del 12 al 29 de </t>
    </r>
    <r>
      <rPr>
        <rFont val="Arial"/>
        <strike/>
        <color rgb="FF000000"/>
        <sz val="9.0"/>
      </rPr>
      <t>este mes</t>
    </r>
    <r>
      <rPr>
        <rFont val="Arial"/>
        <color rgb="FF000000"/>
        <sz val="9.0"/>
      </rPr>
      <t>. Incluye historias de personajes como Walter Benjamin y Kurt Waldheim, la relación entre Ingeborg Bachmann y Paul Celan, y la experiencia de una joven judía etíope durante la guerra civil. Destacan documentales sobre la guerra en el frente oriental y un sobreviviente del campo de Birkenau. El festival homenajea a Ruth Beckermann con una retrospectiva de su obra. También se presentarán películas como "Tel Aviv en llamas", "M", "Jonathan Agassi me salvó la vida" y "Un hombre afortunado".</t>
    </r>
  </si>
  <si>
    <r>
      <rPr>
        <rFont val="Arial"/>
        <color rgb="FF000000"/>
        <sz val="9.0"/>
      </rPr>
      <t>La sobrexposición de imágenes de niños en redes sociales, especialmente en verano, es una práctica común por parte de los padres y familiares, quienes comparten estas imágenes sin el consentimiento de los menores. Un estudio de AVG</t>
    </r>
    <r>
      <rPr>
        <rFont val="Arial"/>
        <strike/>
        <color rgb="FF000000"/>
        <sz val="9.0"/>
      </rPr>
      <t xml:space="preserve"> </t>
    </r>
    <r>
      <rPr>
        <rFont val="Arial"/>
        <color rgb="FF000000"/>
        <sz val="9.0"/>
      </rPr>
      <t xml:space="preserve">muestra que tres de cada cuatro menores de dos años tienen fotos online, y otro estudio señala que los padres comparten un promedio de 2,1 informaciones por semana sobre sus hijos menores de 6 años. Sin embargo, hay una creciente preocupación sobre las consecuencias de esta práctica, conocida como "sharenting".
La abogada Stacey Steinberg ha investigado este fenómeno, indicando que los padres, al compartir información sobre sus hijos, les privan del derecho a controlar su propia imagen. Los riesgos incluyen la localización física de los menores por criminales, el robo de identidad y el ciberbullying. Además, muchos menores expresan su descontento por la publicación de sus imágenes sin consentimiento.
El debate sobre pedir permiso a los hijos para subir fotos es cada vez más relevante. Algunas influencers y figuras públicas han comenzado a reconocer el problema y buscan maneras de disculparse con sus hijos. En algunos países, las autoridades han comenzado a imponer sanciones por publicar fotos íntimas de menores sin su permiso.
Los expertos recomiendan que los padres se informen sobre las políticas de privacidad, configuren alertas para el nombre de sus hijos, eviten revelar identidades y lugares frecuentados, pidan permiso a los menores y no publiquen fotos inapropiadas. </t>
    </r>
    <r>
      <rPr>
        <rFont val="Arial"/>
        <color rgb="FF000000"/>
        <sz val="9.0"/>
        <u/>
      </rPr>
      <t>Estas medidas buscan proteger el bienestar y desarrollo psicológico de los niños en la era digital.</t>
    </r>
  </si>
  <si>
    <t>El texto aborda la problemática de la sobreexposición de imágenes de niños en redes sociales por parte de los padres, práctica conocida como "sharenting". Esta tendencia, impulsada por el orgullo parental y la búsqueda de aprobación social, ha generado preocupación por las posibles consecuencias negativas. Los riesgos incluyen facilitar la localización de menores por criminales, suplantación de identidad, ciberbullying y el impacto en la privacidad y el bienestar psicológico de los niños. A pesar de que algunos padres consideran correcto compartir sin consentimiento, hay casos de menores que se oponen. Expertos y estudios recomiendan medidas para proteger la privacidad infantil, como conocer las políticas de privacidad de las redes, evitar revelar identidades y pedir permiso a los hijos antes de publicar.</t>
  </si>
  <si>
    <t>Qué: El fenómeno de compartir fotos de niños en redes sociales, conocido como "sharenting," y las consecuencias y riesgos asociados.
Quién: Padres, madres, familiares, amigos, influencers, expertos como Stacey Steinberg, y estudios de empresas de seguridad en Internet como AVG y McAfee.
Cuándo: Fenómeno en crecimiento durante los últimos años, con un aumento significativo en verano.
Dónde: Redes sociales y plataformas de Internet en varios países, incluyendo Estados Unidos, Canadá, Alemania, Reino Unido, Francia, España, Italia, Australia, Nueva Zelanda y Japón.
Por qué: La emoción de la paternidad y el deseo de compartir momentos personales. Además, algunos padres e influencers lo hacen por razones emocionales o mercantiles.
Cómo: Subiendo fotos y videos de niños en redes sociales sin su consentimiento, lo que puede llevar a riesgos como localización física, robo de identidad, ciberbullying, y suplantación de identidad. Se ha generado un debate sobre la necesidad de pedir permiso a los hijos antes de compartir sus imágenes.</t>
  </si>
  <si>
    <t>El artículo aborda la creciente preocupación sobre la práctica de "sharenting" (compartir fotos de hijos en redes sociales) y sus consecuencias. Señala que tres de cada cuatro menores de dos años tienen fotos en línea y discute varios riesgos, como la localización de los niños por criminales, el ciberbullying y el robo de identidad. También destaca la falta de consentimiento de los menores y cómo esto puede afectarlos emocionalmente. Se menciona que en algunos países los padres pueden enfrentar consecuencias legales por esta práctica. Finalmente, se ofrecen recomendaciones para proteger la privacidad y el bienestar de los menores.</t>
  </si>
  <si>
    <t>La selección española de baloncesto sufrió su segunda derrota en la preparación para el Mundial, esta vez ante Rusia con un marcador de 55-74. A tres días del inicio del torneo, el equipo, sin Marc Gasol, mostró un bajo rendimiento en porcentajes de tiro, con 15 de 37 en dos puntos, 3 de 18 en triples y 16 de 19 en tiros libres, además de cometer 18 pérdidas. Willy Hernangómez destacó con 26 puntos y 11 rebotes. El seleccionador, Sergio Scariolo, expresó la esperanza de que este partido no sea un indicativo de cómo será el desempeño en la competencia oficial y reconoció que el equipo jugó mal, pero confía en mejorar.</t>
  </si>
  <si>
    <t>En el último partido de preparación antes del Mundial, la selección española de baloncesto sufrió su segunda derrota consecutiva, esta vez ante Rusia con un marcador de 55-74. A pesar de los esfuerzos de Willy Hernangómez, quien anotó 26 puntos y capturó 11 rebotes, el equipo español mostró una pobre actuación en general, con bajos porcentajes de tiro, 18 pérdidas de balón y solo 15 puntos de ventaja en la primera mitad. La ausencia de jugadores clave como Rudy Fernández y Marc Gasol se hizo notar, y el seleccionador Sergio Scariolo expresó su esperanza de que este partido no sea un indicador de cómo se desempeñará el equipo en la competencia oficial.</t>
  </si>
  <si>
    <r>
      <rPr>
        <rFont val="Arial"/>
        <color rgb="FF000000"/>
        <sz val="9.0"/>
      </rPr>
      <t xml:space="preserve">Qué: España perdió su segundo partido de preparación para el Mundial de Baloncesto contra Rusia con un marcador de 55-74.
Quién: El equipo español, dirigido por Sergio Scariolo, jugó sin Marc Gasol y sufrió las bajas de Rudy Fernández por precaución. </t>
    </r>
    <r>
      <rPr>
        <rFont val="Arial"/>
        <strike/>
        <color rgb="FF000000"/>
        <sz val="9.0"/>
      </rPr>
      <t>Ricky Rubio lideró al equipo con 15 puntos en los últimos cuatro minutos del último encuentro previo al Mundial.</t>
    </r>
    <r>
      <rPr>
        <rFont val="Arial"/>
        <color rgb="FFFF0000"/>
        <sz val="9.0"/>
      </rPr>
      <t xml:space="preserve">
</t>
    </r>
    <r>
      <rPr>
        <rFont val="Arial"/>
        <color rgb="FF000000"/>
        <sz val="9.0"/>
      </rPr>
      <t xml:space="preserve">
Cuándo: La derrota ocurrió 24 horas después del partido contra Argentina y tres días antes del inicio del Mundial.
Dónde: </t>
    </r>
    <r>
      <rPr>
        <rFont val="Arial"/>
        <strike/>
        <color rgb="FF000000"/>
        <sz val="9.0"/>
      </rPr>
      <t>El partido se llevó a cabo en España</t>
    </r>
    <r>
      <rPr>
        <rFont val="Arial"/>
        <color rgb="FF000000"/>
        <sz val="9.0"/>
      </rPr>
      <t>, aunque no se especifica la ciudad exacta.
Por qué: España mostró un bajo rendimiento en porcentajes de tiro (15 de 37 de dos, 3 de 18 en triples y 16 de 19 en tiros libres), cometió 18 pérdidas y permitió 12 robos a Rusia. La falta de varios jugadores clave también afectó el desempeño del equipo.
Cómo: Rusia se impuso gracias a su dominio en el rebote y la efectividad de jugadores como Fridzon, Zubkov, Ivlev y Antonov. A pesar de un esfuerzo de Willy Hernangómez con 26 puntos y 11 rebotes, España no logró remontar la diferencia.</t>
    </r>
  </si>
  <si>
    <t>La selección española de baloncesto sufrió su segunda derrota en la preparación para el Mundial, esta vez ante Rusia con un marcador de 55-74. A pesar de los esfuerzos de Willy Hernangómez, quien anotó 26 puntos y capturó 11 rebotes, el equipo español mostró una pobre actuación en general, con bajos porcentajes de tiro y un alto número de pérdidas de balón. La ausencia de jugadores clave como Rudy Fernández y Marc Gasol también afectó al rendimiento del equipo. El seleccionador, Sergio Scariolo, expresó la esperanza de que este partido no sea un indicador de cómo se desempeñará el equipo en el Mundial y destacó la necesidad de mejorar en varios aspectos del juego.</t>
  </si>
  <si>
    <r>
      <rPr>
        <rFont val="Arial"/>
        <color rgb="FF000000"/>
        <sz val="9.0"/>
      </rPr>
      <t xml:space="preserve">En marzo de 2018, cinco universitarias de Madrid </t>
    </r>
    <r>
      <rPr>
        <rFont val="Arial"/>
        <strike/>
        <color rgb="FF000000"/>
        <sz val="9.0"/>
      </rPr>
      <t>fundaron Acción Geoda</t>
    </r>
    <r>
      <rPr>
        <rFont val="Arial"/>
        <color rgb="FF000000"/>
        <sz val="9.0"/>
      </rPr>
      <t>, una ONG que trabaja en el Valle del Tessaout, Marruecos, una zona olvidada y con graves carencias de agua potable, electricidad y servicios básicos. El objetivo principal de</t>
    </r>
    <r>
      <rPr>
        <rFont val="Arial"/>
        <strike/>
        <color rgb="FF000000"/>
        <sz val="9.0"/>
      </rPr>
      <t xml:space="preserve"> la ONG</t>
    </r>
    <r>
      <rPr>
        <rFont val="Arial"/>
        <color rgb="FF000000"/>
        <sz val="9.0"/>
      </rPr>
      <t xml:space="preserve"> es la construcción y mantenimiento de una escuela infantil y el empoderamiento de la mujer en la aldea de Tasslent. Para financiar el proyecto, organizaron la Primera Jornada Solidaria del Valle de Tessaout y la Primera Semana de la Mujer en su colegio mayor, recaudando fondos y concienciando sobre la situación de la zona. En marzo de </t>
    </r>
    <r>
      <rPr>
        <rFont val="Arial"/>
        <strike/>
        <color rgb="FF000000"/>
        <sz val="9.0"/>
      </rPr>
      <t>2019</t>
    </r>
    <r>
      <rPr>
        <rFont val="Arial"/>
        <color rgb="FF000000"/>
        <sz val="9.0"/>
      </rPr>
      <t>, visitaron Marruecos para conocer la realidad de la zona y establecer relaciones con la comunidad local. Actualmente, el proyecto ha crecido y cuenta con el apoyo de casi toda la comunidad del colegio mayor, y continúan trabajando para mejorar la educación infantil y la alfabetización de la mujer en Tasslent.</t>
    </r>
  </si>
  <si>
    <r>
      <rPr>
        <rFont val="Arial"/>
        <color rgb="FFB7B7B7"/>
        <sz val="9.0"/>
      </rPr>
      <t xml:space="preserve">El texto narra la historia de </t>
    </r>
    <r>
      <rPr>
        <rFont val="Arial"/>
        <color rgb="FF000000"/>
        <sz val="9.0"/>
      </rPr>
      <t xml:space="preserve">cinco universitarias que se unen para </t>
    </r>
    <r>
      <rPr>
        <rFont val="Arial"/>
        <strike/>
        <color rgb="FF000000"/>
        <sz val="9.0"/>
      </rPr>
      <t>colaborar con la ONG Acción Geoda</t>
    </r>
    <r>
      <rPr>
        <rFont val="Arial"/>
        <color rgb="FF000000"/>
        <sz val="9.0"/>
      </rPr>
      <t xml:space="preserve">, que trabaja en el Valle del Tessaout, una de las zonas más olvidadas de Marruecos. El objetivo principal del proyecto es la construcción y mantenimiento de una escuela infantil y el empoderamiento de la mujer en la aldea de Tasslent. Para financiar el proyecto, las chicas organizan la Primera Jornada Solidaria del Valle de Tessaout y la Primera Semana de la Mujer en su colegio mayor. Después de visitar la zona en marzo de </t>
    </r>
    <r>
      <rPr>
        <rFont val="Arial"/>
        <strike/>
        <color rgb="FF000000"/>
        <sz val="9.0"/>
      </rPr>
      <t>2019</t>
    </r>
    <r>
      <rPr>
        <rFont val="Arial"/>
        <color rgb="FF000000"/>
        <sz val="9.0"/>
      </rPr>
      <t>, continúan trabajando para recaudar fondos y mejorar la educación infantil y la alfabetización de la mujer en la aldea. El proyecto ha crecido y ahora involucra a casi toda la comunidad del colegio mayor, y las chicas esperan que continúe en los años venideros con el apoyo de las nuevas generaciones.</t>
    </r>
  </si>
  <si>
    <r>
      <rPr>
        <rFont val="Arial"/>
        <color rgb="FF000000"/>
        <sz val="9.0"/>
      </rPr>
      <t xml:space="preserve">¿Qué? La historia de cinco universitarias que </t>
    </r>
    <r>
      <rPr>
        <rFont val="Arial"/>
        <strike/>
        <color rgb="FF000000"/>
        <sz val="9.0"/>
      </rPr>
      <t>fundaron una ONG llamada Acción Geoda</t>
    </r>
    <r>
      <rPr>
        <rFont val="Arial"/>
        <color rgb="FF000000"/>
        <sz val="9.0"/>
      </rPr>
      <t xml:space="preserve"> para construir y mantener una escuela infantil y empoderar a las mujeres en una aldea olvidada en Marruecos, Tasslent.
¿Quién? Cinco universitarias compañeras de colegio mayor en Madrid.
¿Cuándo? El proyecto comenzó en marzo de 2018 y el viaje a Marruecos tuvo lugar en marzo de </t>
    </r>
    <r>
      <rPr>
        <rFont val="Arial"/>
        <strike/>
        <color rgb="FF000000"/>
        <sz val="9.0"/>
      </rPr>
      <t>este año</t>
    </r>
    <r>
      <rPr>
        <rFont val="Arial"/>
        <color rgb="FF000000"/>
        <sz val="9.0"/>
      </rPr>
      <t xml:space="preserve">.
¿Dónde? En el Valle del Tessaout, Marruecos, una zona con unas 80 aldeas que han sido olvidadas por el gobierno y carecen de servicios básicos como agua potable y electricidad.
¿Por qué? Para mejorar la educación infantil y la alfabetización de las mujeres en la zona, ya que las necesidades básicas de los habitantes no están cubiertas.
¿Cómo? Las universitarias organizaron la Primera Jornada Solidaria del Valle de Tessaout y la Primera Semana de la Mujer en su colegio mayor para recaudar fondos. También visitaron la zona para conocer la realidad y establecer contactos con las comunidades locales. El proyecto ha crecido y ahora involucra a casi la totalidad del colegio mayor y cuenta con el apoyo incondicional de </t>
    </r>
    <r>
      <rPr>
        <rFont val="Arial"/>
        <strike/>
        <color rgb="FF000000"/>
        <sz val="9.0"/>
      </rPr>
      <t>los 20 que fueron a Tessaout.</t>
    </r>
  </si>
  <si>
    <r>
      <rPr>
        <rFont val="Arial"/>
        <color rgb="FFCCCCCC"/>
        <sz val="9.0"/>
      </rPr>
      <t>En resumen,</t>
    </r>
    <r>
      <rPr>
        <rFont val="Arial"/>
        <color rgb="FF000000"/>
        <sz val="9.0"/>
      </rPr>
      <t xml:space="preserve"> un grupo de cinco universitarias españolas se unieron para </t>
    </r>
    <r>
      <rPr>
        <rFont val="Arial"/>
        <strike/>
        <color rgb="FF000000"/>
        <sz val="9.0"/>
      </rPr>
      <t>colaborar con la ONG Acción Geoda</t>
    </r>
    <r>
      <rPr>
        <rFont val="Arial"/>
        <color rgb="FF000000"/>
        <sz val="9.0"/>
      </rPr>
      <t>, que trabaja en el Valle del Tessaout, una zona olvidada de Marruecos. Luego de organizar eventos solidarios y recaudar fondos, viajaron a la zona para conocer la realidad de las aldeas y las necesidades de sus habitantes. Su objetivo principal es construir y mantener una escuela infantil y empoderar a las mujeres en la aldea de Tasslent. El proyecto ha generado un gran interés y apoyo en su colegio mayor y esperan que continúe en futuras generaciones.</t>
    </r>
  </si>
  <si>
    <t>El texto describe una situación en un edificio histórico del siglo XIX en Madrid, donde varios vecinos se enfrentan a la proliferación de pisos turísticos en su comunidad. En una junta de la comunidad, se discute y vota sobre la limitación de estos pisos turísticos en el edificio. La votación resulta en nueve votos a favor y cinco en contra, lo que significa que no habrá más pisos turísticos en ese edificio. El debate involucra a tres bandos: los vecinos que viven allí y están hartos de los inconvenientes que ocasionan los turistas, los dueños que alquilan sus propiedades a los viajeros y creen que su negocio aporta beneficios a la comunidad, y aquellos que arriendan a terceros de manera indefinida. La decisión final refleja la preocupación de los vecinos por el modelo de ciudad que quieren construir y cómo los pisos turísticos pueden afectar la convivencia y la identidad del barrio. El texto también menciona que el Ayuntamiento de Madrid está trabajando en una nueva regulación sobre pisos turísticos y que el tema está siendo debatido en los tribunales.</t>
  </si>
  <si>
    <t>El texto describe una situación en un edificio histórico de Madrid donde varios vecinos están divididos debido a la proliferación de pisos turísticos en el edificio. En una junta de la comunidad, los vecinos debaten y votan para limitar la cantidad de pisos turísticos en el edificio. La votación resulta en nueve votos a favor y cinco en contra, lo que significa que no habrá más pisos turísticos en ese edificio. La discusión se centra en cómo los pisos turísticos afectan la calidad de vida de los residentes y cómo pueden cambiar la identidad del barrio. Las competencias de turismo en España están transferidas a las comunidades autónomas, pero el Ayuntamiento de Madrid ha creado una normativa propia para regular los pisos turísticos. Actualmente, el gobierno de Madrid está trabajando en una nueva regulación para los pisos turísticos.</t>
  </si>
  <si>
    <r>
      <rPr>
        <rFont val="Arial"/>
        <color rgb="FF000000"/>
        <sz val="9.0"/>
      </rPr>
      <t xml:space="preserve">Qué: Un edificio histórico en Madrid limitó la proliferación de pisos turísticos en su comunidad.
Quién: Los vecinos del edificio, divididos en tres bandos (vecinos que viven allí, dueños que alquilan sus propiedades a turistas y arrendatarios).
Cuándo: La junta de la comunidad tuvo lugar el 9 de julio.
Dónde: En un edificio histórico del siglo XIX en la plaza de Cascorro, Madrid.
Por qué: Los vecinos estaban hartos de los inconvenientes que ocasionan los turistas, como ruidos, vómitos y molestias en general.
Cómo: La comunidad logró limitar los pisos turísticos al alcanzar el consenso de tres quintas partes de los propietarios, </t>
    </r>
    <r>
      <rPr>
        <rFont val="Arial"/>
        <strike/>
        <color rgb="FF000000"/>
        <sz val="9.0"/>
      </rPr>
      <t>tal como establece el real decreto ley 7/2019</t>
    </r>
    <r>
      <rPr>
        <rFont val="Arial"/>
        <color rgb="FF000000"/>
        <sz val="9.0"/>
      </rPr>
      <t xml:space="preserve"> del Gobierno de Pedro Sánchez.</t>
    </r>
  </si>
  <si>
    <r>
      <rPr>
        <rFont val="Arial"/>
        <color rgb="FF000000"/>
        <sz val="9.0"/>
      </rPr>
      <t xml:space="preserve">La proliferación de pisos turísticos en un edificio histórico del siglo XIX en plena plaza de Cascorro, Madrid, ha generado un conflicto entre vecinos. En una junta de la comunidad, </t>
    </r>
    <r>
      <rPr>
        <rFont val="Arial"/>
        <color rgb="FFFF9900"/>
        <sz val="9.0"/>
      </rPr>
      <t>nueve votos a favor y cinco en contra decidieron</t>
    </r>
    <r>
      <rPr>
        <rFont val="Arial"/>
        <color rgb="FF000000"/>
        <sz val="9.0"/>
      </rPr>
      <t xml:space="preserve"> limitar la presencia de pisos turísticos en el edificio. La </t>
    </r>
    <r>
      <rPr>
        <rFont val="Arial"/>
        <strike/>
        <color rgb="FF000000"/>
        <sz val="9.0"/>
      </rPr>
      <t>discusión se centró en el modelo de ciudad</t>
    </r>
    <r>
      <rPr>
        <rFont val="Arial"/>
        <color rgb="FF000000"/>
        <sz val="9.0"/>
      </rPr>
      <t xml:space="preserve"> que se quiere construir y cómo afecta la presencia de turistas a la convivencia en el barrio. </t>
    </r>
    <r>
      <rPr>
        <rFont val="Arial"/>
        <strike/>
        <color rgb="FF000000"/>
        <sz val="9.0"/>
      </rPr>
      <t>La regulación de pisos turísticos en Madrid está en manos del Ayuntamiento</t>
    </r>
    <r>
      <rPr>
        <rFont val="Arial"/>
        <color rgb="FF000000"/>
        <sz val="9.0"/>
      </rPr>
      <t>, que ha anunciado la elaboración de una nueva normativa para abordar el tema.</t>
    </r>
  </si>
  <si>
    <r>
      <rPr>
        <rFont val="Arial"/>
        <color rgb="FF000000"/>
        <sz val="9.0"/>
      </rPr>
      <t xml:space="preserve">El rugby está experimentando un cambio radical en sus reglas para hacer el juego más seguro y atractivo. World Rugby, la federación internacional, está considerando prohibir los placajes por encima de la cintura debido al aumento de lesiones graves y conmociones cerebrales. Los cambios también incluyen premiar el juego indirecto y castigar más duramente las infracciones. Estos ajustes buscan reducir el riesgo de lesiones y mejorar el espectáculo para jugadores, árbitros y aficionados. </t>
    </r>
    <r>
      <rPr>
        <rFont val="Arial"/>
        <strike/>
        <color rgb="FF000000"/>
        <sz val="9.0"/>
      </rPr>
      <t>Aunque los puristas pueden resistirse a estos cambios</t>
    </r>
    <r>
      <rPr>
        <rFont val="Arial"/>
        <color rgb="FF000000"/>
        <sz val="9.0"/>
      </rPr>
      <t>, el objetivo es hacer del rugby un deporte más seguro y accesible para todos.</t>
    </r>
  </si>
  <si>
    <t>El rugby enfrenta cambios radicales en sus normas para reducir las lesiones graves y conmociones cerebrales, especialmente los placajes altos. World Rugby ha identificado que el placaje es responsable del 50% de las lesiones y del 76% de las conmociones cerebrales. Entre las nuevas normas en estudio se encuentra la prohibición de placar por encima de la cintura. Además, se premiará el juego indirecto y se castigarán más duramente las infracciones. Estos cambios buscan hacer el rugby más seguro y atractivo para jugadores, árbitros y aficionados.</t>
  </si>
  <si>
    <r>
      <rPr>
        <rFont val="Arial"/>
        <color rgb="FF000000"/>
        <sz val="9.0"/>
      </rPr>
      <t xml:space="preserve">Qué: El rugby está considerando cambios radicales en sus reglas para reducir lesiones y conmociones cerebrales, incluyendo la prohibición de placajes por encima de la cintura.
Quién: World Rugby, la federación internacional de rugby, está liderando estos cambios.
Cuándo: Los cambios están siendo estudiados actualmente y </t>
    </r>
    <r>
      <rPr>
        <rFont val="Arial"/>
        <strike/>
        <color rgb="FF000000"/>
        <sz val="9.0"/>
      </rPr>
      <t>se llevarán a cabo en las categorías amateur de Francia antes del Mundial de 2023.</t>
    </r>
    <r>
      <rPr>
        <rFont val="Arial"/>
        <color rgb="FF000000"/>
        <sz val="9.0"/>
      </rPr>
      <t xml:space="preserve">
Dónde: </t>
    </r>
    <r>
      <rPr>
        <rFont val="Arial"/>
        <strike/>
        <color rgb="FF000000"/>
        <sz val="9.0"/>
      </rPr>
      <t>Los cambios se aplicarán en las categorías amateur de Francia y posiblemente en otras ligas y torneos.</t>
    </r>
    <r>
      <rPr>
        <rFont val="Arial"/>
        <color rgb="FF000000"/>
        <sz val="9.0"/>
      </rPr>
      <t xml:space="preserve">
Por qué: Las lesiones y conmociones cerebrales en el rugby han aumentado debido a la mayor velocidad y fuerza de los jugadores, y World Rugby busca hacer el deporte más seguro y atractivo para jugadores y espectadores.
Cómo: Además de la prohibición de placajes altos, se están considerando otras normas como premiar el juego indirecto y castigar más duramente las infracciones reiteradas.</t>
    </r>
  </si>
  <si>
    <t>El rugby está afrontando un cambio radical en su juego para hacerlo más seguro y atractivo para los espectadores. World Rugby, la federación internacional, está considerando prohibir los placajes por encima de la cintura, ya que son responsables de la mitad de las lesiones y el 76% de las conmociones cerebrales en el deporte. También se están estudiando otras normas, como premiar el juego indirecto y castigar más duramente las infracciones, con el objetivo de reducir el riesgo de lesiones y mejorar el espectáculo. Estos cambios buscan adaptar el rugby a los cuerpos cada vez más atléticos de los jugadores y a un juego más fluido, sin perder su esencia y tradición.</t>
  </si>
  <si>
    <t>Nicolás Vallejo-Nájera, conocido como Colate, fue el primer concursante confirmado en el reality show "Supervivientes" de Telecinco. Durante su tiempo en la isla de Honduras, sufrió un accidente en una prueba semanal que le causó una fractura en la clavícula. A pesar de los primeros chequeos médicos en Honduras, que indicaban que podía continuar en el concurso, Colate fue operado una vez regresó a España.
Colate ha recibido el apoyo de su familia y amigos durante su participación en el programa, especialmente de su hermana, la cocinera y jurado de MasterChef, Samantha Vallejo-Nájera. Durante su tiempo en el reality, Colate ha demostrado su faceta competitiva y ha sido nombrado líder del grupo en varias ocasiones.
Además de su participación en "Supervivientes", Colate es conocido por su divorcio de la cantante Paulina Rubio y las disputas legales que han seguido a su separación en 2012. Actualmente, Colate vive en Miami por el bienestar de su hijo en común con Rubio, Andrea Nicolás.</t>
  </si>
  <si>
    <t>Nicolás Vallejo-Nájera, conocido como Colate, fue el primer concursante confirmado para participar en Supervivientes, el reality de Telecinco. Durante su estancia en la isla de Honduras, sufrió un accidente que le provocó una fractura en la clavícula. A pesar de que los primeros chequeos médicos indicaban que podía continuar en el concurso, tras ser expulsado por el público y someterse a nuevos exámenes, los especialistas optaron por operarle. Colate fue operado en la clínica Ruber Internacional de Madrid y fue su hermana, la cocinera y jurado de MasterChef Samantha Vallejo-Nájera, quien le apoyó durante su estancia en el concurso. Aunque Colate fue uno de los concursantes más destacados, finalmente quedó fuera de la final del programa.</t>
  </si>
  <si>
    <t>¿Qué? Nicolás Vallejo-Nájera, conocido como Colate, fue operado de la clavícula tras sufrir un accidente durante su participación en el reality show Supervivientes en Honduras.
¿Quién? Colate, exmarido de la cantante Paulina Rubio, fue el primer concursante confirmado para el programa de Telecinco.
¿Cuándo? Colate llegó a España el 3 de julio tras ser expulsado por el público y fue operado una semana después.
¿Dónde? El accidente ocurrió en la isla de Honduras, donde se desarrolla el reality show Supervivientes, y la operación tuvo lugar en la clínica Ruber Internacional de Madrid.
¿Por qué? El accidente ocurrió durante una prueba semanal del programa, cuando una pesada rueda cayó sobre Colate, fracturándole la clavícula.
¿Cómo? A pesar de los primeros chequeos médicos que indicaban que podía continuar en el concurso, tras nuevos exámenes realizados a su llegada a España, los especialistas optaron por operar y acabar con las molestias y dolores derivados de la fractura de la clavícula.</t>
  </si>
  <si>
    <t>Nicolás Vallejo-Nájera, conocido como Colate, fue el primer concursante confirmado para el reality show "Supervivientes" de Telecinco. Después de casi 10 semanas en la isla de Honduras, tuvo que ser operado de la clavícula debido a un accidente que sufrió en el programa. A pesar de los primeros chequeos médicos que indicaban que podía continuar en el concurso, nuevos exámenes realizados a su llegada a España llevaron a los especialistas a optar por la operación. Colate ingresó en la clínica Ruber Internacional en Madrid, donde fue operado con éxito. Durante su estancia en el reality, Colate mostró sus dotes de seductor con varias concursantes, incluyendo Isabel Pantoja y Mónica Hoyos. También fue conocido por su liderazgo y exigencia en las pruebas del programa. Colate es conocido por su agrio divorcio de la cantante Paulina Rubio y sus desencuentros relacionados con la custodia de su hijo en común, Andrea Nicolás.</t>
  </si>
  <si>
    <r>
      <rPr>
        <rFont val="Arial"/>
        <color rgb="FF000000"/>
        <sz val="9.0"/>
      </rPr>
      <t xml:space="preserve">India ha lanzado la nave Chandrayaan 2 con el objetivo de convertirse en el cuarto país en aterrizar un dispositivo en la Luna. Esta misión, mayoritariamente desarrollada en India, sigue al envío de la nave orbital Chandrayaan 1 en 2008. La Chandrayaan 2 despegó alrededor de las 11:30 hora peninsular española y su viaje a la Luna durará dos meses. Inicialmente, orbitará la Tierra para verificar el funcionamiento de sus sistemas antes de dirigirse a la Luna. Una vez allí, se acercará </t>
    </r>
    <r>
      <rPr>
        <rFont val="Arial"/>
        <color rgb="FF000000"/>
        <sz val="9.0"/>
      </rPr>
      <t>hasta una altura de 100 kilómetros de la superficie</t>
    </r>
    <r>
      <rPr>
        <rFont val="Arial"/>
        <color rgb="FF000000"/>
        <sz val="9.0"/>
      </rPr>
      <t>, donde el módulo de aterrizaje Vikram se separará del módulo orbital. Este aterrizaje representa</t>
    </r>
    <r>
      <rPr>
        <rFont val="Arial"/>
        <color rgb="FF000000"/>
        <sz val="9.0"/>
      </rPr>
      <t xml:space="preserve"> un desafío tecnológico significativo</t>
    </r>
    <r>
      <rPr>
        <rFont val="Arial"/>
        <color rgb="FF000000"/>
        <sz val="9.0"/>
      </rPr>
      <t xml:space="preserve">, especialmente después de que Rusia se retirara del proyecto, </t>
    </r>
    <r>
      <rPr>
        <rFont val="Arial"/>
        <color rgb="FF000000"/>
        <sz val="9.0"/>
      </rPr>
      <t>dejando a India continuar sola</t>
    </r>
    <r>
      <rPr>
        <rFont val="Arial"/>
        <color rgb="FF000000"/>
        <sz val="9.0"/>
      </rPr>
      <t>. El destino es una llanura cerca del polo sur lunar, donde el rover Pragyan, que lleva cámaras e instrumentos científicos, explorará una distancia de hasta medio kilómetro. La misión está planeada para durar 14 días y, si tiene éxito, colocará a India entre las naciones líderes en exploración lunar, uniéndose a EE UU, Rusia y China.</t>
    </r>
  </si>
  <si>
    <r>
      <rPr>
        <rFont val="Arial"/>
        <color rgb="FF000000"/>
        <sz val="9.0"/>
      </rPr>
      <t xml:space="preserve">India ha lanzado la nave Chandrayaan 2 con el objetivo de convertirse en el cuarto país en posar un aparato en la Luna, después de Estados Unidos, Rusia y China. Esta misión, mayoritariamente desarrollada en India, es una continuación de la Chandrayaan 1 lanzada en 2008. La nave viajará durante dos meses hasta alcanzar la Luna, donde el módulo de alunizaje Vikram se separará del módulo orbital para aterrizar en una llanura cerca del polo sur lunar. Posteriormente, un rover llamado Pragyan, diseñado para recorrer hasta medio kilómetro, se desplegará para realizar investigaciones. La misión es significativa ya que representa un desafío tecnológico importante para India y, si tiene éxito, </t>
    </r>
    <r>
      <rPr>
        <rFont val="Arial"/>
        <color rgb="FF000000"/>
        <sz val="9.0"/>
        <u/>
      </rPr>
      <t>posicionará al país como un actor clave en la exploración espacial mundial</t>
    </r>
    <r>
      <rPr>
        <rFont val="Arial"/>
        <color rgb="FF000000"/>
        <sz val="9.0"/>
      </rPr>
      <t>.</t>
    </r>
  </si>
  <si>
    <r>
      <rPr>
        <rFont val="Arial"/>
        <color rgb="FF000000"/>
        <sz val="9.0"/>
      </rPr>
      <t xml:space="preserve">Qué: India ha lanzado la nave espacial Chandrayaan 2 con el objetivo de convertirse en el cuarto país en posar un aparato en la Luna.
Quién: La misión es llevada a cabo por </t>
    </r>
    <r>
      <rPr>
        <rFont val="Arial"/>
        <color rgb="FF000000"/>
        <sz val="9.0"/>
        <u/>
      </rPr>
      <t>la Agencia Espacial de la India (ISRO)</t>
    </r>
    <r>
      <rPr>
        <rFont val="Arial"/>
        <color rgb="FF000000"/>
        <sz val="9.0"/>
      </rPr>
      <t xml:space="preserve">, con el desarrollo casi completo realizado dentro del país. La nave está nombrada en honor a Vikram Sarabhai, padre del programa espacial indio.
Cuándo: El lanzamiento de la Chandrayaan 2 ocurrió </t>
    </r>
    <r>
      <rPr>
        <rFont val="Arial"/>
        <strike/>
        <color rgb="FF000000"/>
        <sz val="9.0"/>
      </rPr>
      <t>el día de hoy</t>
    </r>
    <r>
      <rPr>
        <rFont val="Arial"/>
        <color rgb="FF000000"/>
        <sz val="9.0"/>
      </rPr>
      <t xml:space="preserve">.
Dónde: La nave despegó desde el </t>
    </r>
    <r>
      <rPr>
        <rFont val="Arial"/>
        <color rgb="FF000000"/>
        <sz val="9.0"/>
        <u/>
      </rPr>
      <t>Centro Espacial Satish Dhawan en Sriharikota, India</t>
    </r>
    <r>
      <rPr>
        <rFont val="Arial"/>
        <color rgb="FF000000"/>
        <sz val="9.0"/>
      </rPr>
      <t xml:space="preserve">. Su destino es una llanura cerca del polo sur de la Luna, entre los cráteres Manzinus C y Simpelius N.
Por qué: India busca demostrar su capacidad tecnológica y </t>
    </r>
    <r>
      <rPr>
        <rFont val="Arial"/>
        <strike/>
        <color rgb="FF000000"/>
        <sz val="9.0"/>
      </rPr>
      <t>convertirse en un actor importante en la exploración espacial</t>
    </r>
    <r>
      <rPr>
        <rFont val="Arial"/>
        <color rgb="FF000000"/>
        <sz val="9.0"/>
      </rPr>
      <t>, uniéndose a Estados Unidos, Rusia y China como países capaces de posar naves en la Luna.
Cómo: La misión incluye tres componentes principales: el módulo orbital, el módulo de aterrizaje Vikram, y el rover Pragyan. Después de un viaje de dos meses, el Vikram se separará del módulo orbital y aterrizará en la Luna, liberando luego al rover para explorar la superficie. La misión está diseñada para durar 14 días una vez en la Luna.</t>
    </r>
  </si>
  <si>
    <t>India ha lanzado con éxito la nave espacial Chandrayaan-2, con el objetivo de convertirse en el cuarto país en posar un vehículo en la Luna, después de Estados Unidos, Rusia y China. La misión, que es mayoritariamente de desarrollo indio, incluye un módulo orbital, un módulo de aterrizaje llamado Vikram, y un rover llamado Pragyan. Después de un viaje de dos meses, el Vikram intentará aterrizar cerca del polo sur lunar, en una región entre los cráteres Manzinus C y Simpelius N. Una vez allí, Pragyan explorará la superficie, recogiendo datos y imágenes que serán enviados a la Tierra a través del módulo orbital. Si tiene éxito, esta misión marcará un hito significativo en el programa espacial de India.</t>
  </si>
  <si>
    <r>
      <rPr>
        <rFont val="Arial"/>
        <color rgb="FF000000"/>
        <sz val="9.0"/>
      </rPr>
      <t xml:space="preserve">La Policía </t>
    </r>
    <r>
      <rPr>
        <rFont val="Arial"/>
        <color rgb="FF000000"/>
        <sz val="9.0"/>
      </rPr>
      <t xml:space="preserve">alemana </t>
    </r>
    <r>
      <rPr>
        <rFont val="Arial"/>
        <color rgb="FF000000"/>
        <sz val="9.0"/>
      </rPr>
      <t>ha detenido a un joven de 17 años, buscado</t>
    </r>
    <r>
      <rPr>
        <rFont val="Arial"/>
        <color rgb="FF000000"/>
        <sz val="9.0"/>
      </rPr>
      <t xml:space="preserve"> por la muerte de</t>
    </r>
    <r>
      <rPr>
        <rFont val="Arial"/>
        <color rgb="FF000000"/>
        <sz val="9.0"/>
      </rPr>
      <t xml:space="preserve"> su hermana de 14 años, cuyo cuerpo fue encontrado en su casa en Mataró, Barcelona, en junio. El sospechoso, que estaba solo en la vivienda con su hermana mientras su madre estaba de viaje, fue trasladado a España y entregado a la fiscalía de menores. El crimen fue descubierto cuando la madre, de origen ruso, no pudo contactar con sus hijos y pidió a amigos que revisaran la casa, donde encontraron a la menor muerta y al hermano desaparecido.</t>
    </r>
  </si>
  <si>
    <t>La Policía alemana ha detenido a un joven de 17 años, buscado por ser el presunto autor de la muerte de su hermana de 14 años, cuyo cuerpo fue encontrado en su hogar en Mataró, Barcelona, en junio. El joven, que se encontraba solo en la casa con su hermana mientras su madre estaba de viaje, ha sido trasladado a España y entregado a la fiscalía de menores. El crimen fue descubierto cuando la madre, de origen ruso, no logró contactar con sus hijos y pidió a amigos que revisaran la vivienda, donde hallaron el cuerpo de la menor.</t>
  </si>
  <si>
    <r>
      <rPr>
        <rFont val="Arial"/>
        <color rgb="FF000000"/>
        <sz val="9.0"/>
      </rPr>
      <t xml:space="preserve">Qué: La Policía alemana ha detenido a un joven de 17 años acusado de asesinar a su hermana de 14 años en su hogar en Mataró, Barcelona.
Quién: El detenido es un joven de 17 años, y la víctima es su hermana menor de 14 años. La madre de ambos, de origen ruso, estaba de viaje en el momento del crimen.
Cuándo: El crimen ocurrió en el pasado mes de junio, y el joven fue detenido en Alemania </t>
    </r>
    <r>
      <rPr>
        <rFont val="Arial"/>
        <color rgb="FF000000"/>
        <sz val="9.0"/>
      </rPr>
      <t>en la misma fecha.</t>
    </r>
    <r>
      <rPr>
        <rFont val="Arial"/>
        <color rgb="FF000000"/>
        <sz val="9.0"/>
      </rPr>
      <t xml:space="preserve">
Dónde: El cuerpo de la víctima fue encontrado en el domicilio familiar ubicado en el barrio Cerdanyola de Mataró, Barcelona. El arresto del sospechoso tuvo lugar en Alemania.
Por qué: Se presume que el joven asesinó a su hermana, aunque las motivaciones específicas del crimen no se han detallado en el informe.
Cómo: La madre, al no poder contactar con sus hijos, pidió ayuda a amigos que fueron a la casa y descubrieron el cuerpo de la menor. El sospechoso había desaparecido del lugar, y fue detenido posteriormente en Alemania.</t>
    </r>
  </si>
  <si>
    <t>Alejandro Sanz, de 50 años, y Raquel Perera, de 44, han anunciado su separación después de 12 años de relación. Los rumores sobre problemas en la pareja comenzaron hace una semana, y la revista ¡Hola! confirmó la noticia este miércoles, indicando que ambos han iniciado caminos separados. A pesar de la separación, ambos han asegurado en redes sociales que mantendrán un vínculo amoroso y de responsabilidad hacia sus hijos, Dylan y Alma, y que su familia seguirá siendo diversa y bella. La pareja se conoció en 2007, se casó en secreto en 2012 y ha mantenido siempre una vida privada alejada de los focos.</t>
  </si>
  <si>
    <r>
      <rPr>
        <rFont val="Arial"/>
        <color rgb="FF000000"/>
        <sz val="9.0"/>
      </rPr>
      <t xml:space="preserve">Alejandro Sanz (50 años) y Raquel Perera (44 años) se han separado después de 12 años de relación y dos hijos en común, Dylan y Alma. La noticia, anticipada por rumores, fue confirmada oficialmente por la revista ¡Hola! Ambos han expresado su compromiso a mantener una relación respetuosa y amorosa, </t>
    </r>
    <r>
      <rPr>
        <rFont val="Arial"/>
        <color rgb="FF000000"/>
        <sz val="9.0"/>
        <u/>
      </rPr>
      <t>poniendo en primer lugar el bienestar de sus hijos</t>
    </r>
    <r>
      <rPr>
        <rFont val="Arial"/>
        <color rgb="FF000000"/>
        <sz val="9.0"/>
      </rPr>
      <t>. La pareja se conoció en 2007, se casó en secreto en 2012 y ha mantenido siempre una actitud discreta frente a los medios.</t>
    </r>
  </si>
  <si>
    <t>Qué: Alejandro Sanz y Raquel Perera se han separado después de 12 años de matrimonio.
Quién: Alejandro Sanz (50 años) y Raquel Perera (44 años).
Cuándo: La separación se confirmó esta semana, después de que los rumores comenzaran hace poco más de una semana. La pareja se casó en mayo de 2012.
Dónde: La noticia se publicó en la revista ¡Hola! y la pareja reside principalmente en España, aunque Sanz tiene compromisos profesionales en otros países.
Por qué: No se especifican las razones directas de la separación, pero ambos han asegurado que seguirán manteniendo una relación respetuosa por el bien de sus hijos.
Cómo: La pareja anunció su separación a través de mensajes en sus redes sociales, destacando su compromiso continuo como padres y su amor mutuo, a pesar de la separación.</t>
  </si>
  <si>
    <t>Alejandro Sanz, de 50 años, y Raquel Perera, de 44 años, han anunciado su separación después de 12 años de relación y matrimonio. La pareja, que tiene dos hijos juntos, Dylan y Alma, ha asegurado en un comunicado conjunto publicado en Instagram que seguirán siendo una familia unida y amorosa, pidiendo respeto por su privacidad y la de sus hijos en este proceso. La noticia de su separación surgió tras rumores que comenzaron a circular hace una semana, y aunque ambos han mantenido una actitud de respeto y amor mutuo, han decidido continuar sus vidas por separado.</t>
  </si>
  <si>
    <r>
      <rPr>
        <rFont val="Arial"/>
        <color rgb="FF000000"/>
        <sz val="9.0"/>
      </rPr>
      <t xml:space="preserve">El Festival de Cine Judío de Barcelona, en su 21ª edición, presenta una amplia variedad de películas que abordan historias judías desde diferentes perspectivas y géneros, destacando por su interés humano. Entre las 15 películas seleccionadas, se incluyen biografías de personajes como Walter Benjamin y Kurt Waldheim, una historia de amor entre Ingeborg Bachman y Paul Celan, y relatos sobre supervivientes del Holocausto, como el regreso a Birkenau de una sobreviviente y el viaje conjunto de un hijo de víctima y un ex oficial nazi por Eslovaquia. También se exploran temas como la vida de una joven judía etíope durante la guerra civil y la inusual amistad entre un ayudante de telenovela palestino y un comandante israelí. Entre las películas más destacadas se encuentran "Tel Aviv en llamas", "M" sobre un estudioso del Talmud víctima de abuso, y documentales como "La guerra del Este" y "El caso Waldheim". El festival rinde homenaje a la documentalista austriaca Ruth Beckermann, proyectando una retrospectiva de su obra, incluyendo "Los soñadores" y "El caso Waldheim". Otros títulos notables incluyen "Jonathan Agassi me salvó la vida", "Las musas de Bashevis Singer", "El intérprete", "La pequeña pradera de los abedules" y "Un hombre afortunado". El festival se desarrollará desde </t>
    </r>
    <r>
      <rPr>
        <rFont val="Arial"/>
        <strike/>
        <color rgb="FF000000"/>
        <sz val="9.0"/>
      </rPr>
      <t>el jueves hasta el 29 de marzo</t>
    </r>
    <r>
      <rPr>
        <rFont val="Arial"/>
        <color rgb="FF000000"/>
        <sz val="9.0"/>
      </rPr>
      <t>, ofreciendo una visión profunda y variada sobre la temática judía en el cine.</t>
    </r>
  </si>
  <si>
    <t xml:space="preserve">La 21ª edición del Festival de Cine Judío de Barcelona presenta una amplia variedad de películas, con 15 títulos que abordan la temática judía desde diferentes perspectivas y géneros. Entre las destacadas se encuentran historias sobre personajes como Walter Benjamin y Kurt Waldheim, una reconstrucción de la relación entre Ingeborg Bachmann y Paul Celan a través de cartas, y el viaje de un sobreviviente de Birkenau de regreso al campo de concentración. También se incluyen películas sobre la vida de una joven judía etíope durante la guerra civil, la inusual amistad entre un ayudante de telenovela palestino y un comandante israelí, y testimonios de ex combatientes alemanes en la guerra de exterminio en el frente oriental. Además, el festival rinde homenaje a la documentalista austriaca Ruth Beckermann, proyectando una retrospectiva de su trabajo, incluyendo películas sobre la comunidad judía ultraortodoxa y la historia de su propia familia judía en Europa central.
</t>
  </si>
  <si>
    <t>Qué: El Festival de Cine Judío de Barcelona, en su 21ª edición, presenta una variedad de películas con temática judía, incluyendo historias de personajes históricos, relaciones humanas complejas y eventos históricos significativos.
Quién: Entre los personajes destacados en las películas se encuentran Walter Benjamin, Kurt Waldheim, Ingeborg Bachman, Paul Celan, y figuras de la vida real como supervivientes del Holocausto y un ex combatiente alemán. El festival también rinde homenaje a la documentalista austriaca Ruth Beckermann.
Cuándo: El festival se lleva a cabo desde el jueves hasta el día 29, sin especificar el mes.
Dónde: En Barcelona, España.
Por qué: El festival busca ofrecer una visión amplia de la cultura y la historia judía a través del cine, presentando películas que abordan desde aspectos históricos hasta relaciones personales, y promoviendo el entendimiento y la reflexión sobre estos temas.
Cómo: A través de la proyección de 15 películas, incluyendo documentales y ficciones, el festival presenta historias variadas que van desde biografías de personajes históricos hasta relatos de supervivencia y encuentros interculturales. Además, incluye homenajes a directores y presentaciones de algunas de las películas por parte de sus creadores o actores principales.</t>
  </si>
  <si>
    <r>
      <rPr>
        <rFont val="Arial"/>
        <color rgb="FF000000"/>
        <sz val="9.0"/>
      </rPr>
      <t xml:space="preserve">La 21ª edición del Festival de Cine Judío de Barcelona presenta una amplia gama de películas que abordan la temática judía desde diversas perspectivas y géneros. Entre las 15 películas seleccionadas, se incluyen historias sobre personajes históricos como Walter Benjamin y Kurt Waldheim, así como relatos más personales como la historia de amor entre Ingeborg Bachman y Paul Celan, y el viaje de un superviviente de Auschwitz a Birkenau. Otros temas destacados son la vida de una joven judía etíope durante la guerra civil en su país, la relación inesperada entre un ayudante de telenovela palestino y un comandante israelí, y el testimonio de ex combatientes alemanes en la guerra de exterminio en el frente oriental.
El festival también rinde homenaje a la documentalista austriaca Ruth Beckermann, proyectando una retrospectiva de su obra, incluyendo películas sobre la relación entre Bachmann y Celan, y el caso Waldheim. Otros títulos de interés son "Jonathan Agassi me salvó la vida", un documental sobre una estrella del porno gay, y "Las musas de Bashevis Singer", que explora la relación entre el Nobel de literatura y sus traductoras. </t>
    </r>
    <r>
      <rPr>
        <rFont val="Arial"/>
        <color rgb="FF000000"/>
        <sz val="9.0"/>
        <u/>
      </rPr>
      <t xml:space="preserve">El festival ofrece una oportunidad única para explorar la riqueza y diversidad de la cultura judía a través del cine, con películas que abarcan desde la historia y la memoria hasta el amor, la guerra y la supervivencia.
</t>
    </r>
  </si>
  <si>
    <t>Las redes sociales están saturadas de imágenes de niños, especialmente en verano, compartidas sin su consentimiento por padres, familiares o amigos, buscando likes y halagos. Aunque esta práctica ha sido común durante años, recientemente ha surgido preocupación sobre las posibles consecuencias a largo plazo para los niños. Un estudio de AVG revela que el 75% de los menores de dos años tienen fotos en línea, con una disminución en la frecuencia de publicación a medida que los niños crecen. Los padres españoles son particularmente conscientes de los riesgos futuros, según el mismo estudio.
El término "sharenting" describe la tendencia de los padres a compartir detalles íntimos de la vida de sus hijos en las redes sociales. Aunque inicialmente visto como una forma de celebrar la paternidad, este comportamiento plantea serias preocupaciones sobre la privacidad y seguridad de los niños, incluyendo el riesgo de exposición a depredadores, el robo de identidad y el ciberacoso.
La abogada Stacey Steinberg, en su estudio "Sharenting", destaca la dualidad de roles de los padres como protectores de la información personal de sus hijos y como narradores de sus vidas, lo cual puede privar a los niños de la capacidad de controlar su propia narrativa digital.
Los riesgos asociados con el sharenting incluyen la facilitación de la localización física de los niños, la posibilidad de manipulación de imágenes para fines maliciosos, y el impacto emocional y social a largo plazo de la exposición pública de la infancia. A pesar de estos riesgos, muchos padres continúan compartiendo imágenes de sus hijos sin considerar su consentimiento o las posibles consecuencias.
La discusión sobre los límites apropiados del sharenting ha llevado a reflexiones sobre la necesidad de pedir permiso a los niños antes de compartir sus imágenes, la importancia de ser conscientes de las políticas de privacidad de las redes sociales, y la posibilidad de que los tribunales intervengan para proteger los derechos de privacidad de los menores.
En resumen, el sharenting, aunque bienintencionado, plantea desafíos significativos relacionados con la privacidad, la seguridad y el bienestar de los niños. Es crucial que los padres reflexionen sobre las implicaciones de sus acciones en línea y consideren los derechos y la autonomía de sus hijos al compartir información sobre ellos en las redes sociales.</t>
  </si>
  <si>
    <t>El texto aborda la preocupante tendencia del "sharenting", es decir, el excesivo compartir imágenes y detalles de la vida de los niños en redes sociales por parte de sus padres. Aunque inicialmente esto se hace con amor y para compartir alegrías, existen riesgos significativos asociados con esta práctica, incluyendo la exposición a peligros cibernéticos, el robo de identidad, el ciberacoso, y el impacto negativo en la privacidad y el bienestar emocional de los niños a medida que crecen.
Se destaca que, aunque los padres actúan con buenas intenciones, pueden no ser conscientes de las implicaciones a largo plazo de sus acciones. La exposición constante de los niños en línea puede llevar a problemas futuros, incluyendo la pérdida de control sobre su propia imagen y reputación digital. Además, se mencionan estudios que indican una preocupación creciente entre los padres sobre estos riesgos, aunque muchos continúan compartiendo información personal de sus hijos.
El texto también toca el aspecto legal y ético del sharenting, discutiendo casos donde los niños han tomado medidas legales contra sus padres por la publicación no autorizada de imágenes íntimas o embarazosas. Se sugieren varias recomendaciones para los padres que desean proteger a sus hijos mientras usan las redes sociales, incluyendo ser conscientes de las políticas de privacidad, evitar compartir información que pueda poner en riesgo a los niños, y pedir permiso antes de publicar contenido que los involucre.
En resumen, el sharenting es una práctica que, aunque arraigada en el amor y el deseo de compartir, plantea serios desafíos para la privacidad, seguridad y bienestar de los niños. Es crucial que los padres sean conscientes de estos riesgos y tomen medidas para proteger a sus hijos en el espacio digital.</t>
  </si>
  <si>
    <r>
      <rPr>
        <rFont val="Arial"/>
        <color rgb="FF000000"/>
        <sz val="9.0"/>
      </rPr>
      <t xml:space="preserve">¿Qué? El artículo explora la práctica extendida de compartir fotos de niños en redes sociales por parte de sus padres y las implicaciones de privacidad y seguridad que esto conlleva.
Quién? Los principales actores son los padres y madres que comparten imágenes de sus hijos, los niños afectados, y expertos como la abogada Stacey Steinberg y la publicista Laura Baena.
Cuándo? La tendencia de compartir fotos de niños en internet ha aumentado significativamente </t>
    </r>
    <r>
      <rPr>
        <rFont val="Arial"/>
        <color rgb="FF000000"/>
        <sz val="9.0"/>
        <u/>
      </rPr>
      <t xml:space="preserve">en la última década, coincidiendo con la popularización de las redes sociales.
</t>
    </r>
    <r>
      <rPr>
        <rFont val="Arial"/>
        <color rgb="FF000000"/>
        <sz val="9.0"/>
      </rPr>
      <t xml:space="preserve">
Dónde? El fenómeno es global, afectando a padres y niños en todo el mundo, aunque el artículo menciona específicamente estudios y casos en países como Estados Unidos, Canadá, Alemania, el Reino Unido, Francia, España, Italia, Australia, Nueva Zelanda y Japón.
Por qué? Los padres comparten fotos de sus hijos por razones emocionales, para compartir momentos felices con familiares y amigos, y a veces por motivos de marketing o influencia en redes sociales. Sin embargo, esta práctica puede exponer a los niños a riesgos de privacidad y seguridad.
Cómo? Los padres suben fotos de sus hijos a plataformas de redes sociales como Facebook, Instagram, y Twitter. La exposición de estos niños a riesgos incluye la localización física por parte de individuos malintencionados, la suplantación de identidad, y el ciberacoso. Expertos recomiendan a los padres ser más cautelosos con lo que comparten y respetar la privacidad de sus hijos incluso desde una edad temprana.</t>
    </r>
  </si>
  <si>
    <r>
      <rPr>
        <rFont val="Arial"/>
        <color rgb="FF000000"/>
        <sz val="9.0"/>
      </rPr>
      <t xml:space="preserve">El artículo aborda la preocupante tendencia del "sharenting", es decir, </t>
    </r>
    <r>
      <rPr>
        <rFont val="Arial"/>
        <color rgb="FFFF9900"/>
        <sz val="9.0"/>
      </rPr>
      <t>el excesivo compartir imágenes y detalles</t>
    </r>
    <r>
      <rPr>
        <rFont val="Arial"/>
        <color rgb="FF000000"/>
        <sz val="9.0"/>
      </rPr>
      <t xml:space="preserve"> de la vida de los hijos en las redes sociales por parte de los padres. Aunque inicialmente puede parecer inofensivo, este comportamiento plantea serias preocupaciones sobre la privacidad y la seguridad de los menores, así como sobre las posibles consecuencias a largo plazo para su bienestar emocional y psicológico.
Se destaca que, según un estudio de AVG, tres de cada cuatro menores de dos años tienen fotos publicadas en internet, y los padres suben en promedio 2,1 actualizaciones semanales sobre sus hijos menores de seis años. A medida que los niños crecen, esta frecuencia disminuye, pero sigue siendo significativa.
El artículo menciona casos donde la exposición excesiva en línea ha llevado a problemas como la localización de menores por parte de desconocidos, la suplantación de identidad, y el riesgo de ciberacoso. Además, se discute la falta de consciencia sobre los derechos de los niños a la privacidad y la autonomía sobre su propia imagen y datos personales.
</t>
    </r>
    <r>
      <rPr>
        <rFont val="Arial"/>
        <color rgb="FFFF9900"/>
        <sz val="9.0"/>
      </rPr>
      <t xml:space="preserve">
Se sugieren varias recomendaciones </t>
    </r>
    <r>
      <rPr>
        <rFont val="Arial"/>
        <color rgb="FF000000"/>
        <sz val="9.0"/>
      </rPr>
      <t>para los padres para proteger a sus hijos en la era digital, incluyendo familiarizarse con las políticas de privacidad de las redes sociales, ser conscientes de lo que se comparte, y considerar el impacto a largo plazo de la exposición pública de la vida de sus hijos.
En resumen, el "sharenting" plantea desafíos significativos para la protección de la privacidad y el bienestar de los niños en el mundo digital actual, y es crucial que los padres y la sociedad en general sean más conscientes y cautelosos en su uso de las redes sociales con respecto a la información de los menores.</t>
    </r>
  </si>
  <si>
    <r>
      <rPr>
        <rFont val="Arial"/>
        <color rgb="FF000000"/>
        <sz val="9.0"/>
      </rPr>
      <t xml:space="preserve">La selección española de baloncesto perdió ante Rusia en un partido de preparación para el Mundial, con un marcador de 55-74. A pesar de los 26 puntos y 11 rebotes de Willy Hernangómez, el equipo español mostró una pobre actuación, con un porcentaje de tiro del 15 de 37 de dos, 3 de 18 en triples y 16 de 19 en tiros libres. El seleccionador, Scariolo, atribuyó la derrota a la falta de jugadores y </t>
    </r>
    <r>
      <rPr>
        <rFont val="Arial"/>
        <color rgb="FFFF0000"/>
        <sz val="9.0"/>
      </rPr>
      <t>a la cabeza en una dimensión diferente.</t>
    </r>
    <r>
      <rPr>
        <rFont val="Arial"/>
        <color rgb="FF000000"/>
        <sz val="9.0"/>
      </rPr>
      <t xml:space="preserve"> El equipo español también mostró problemas en la defensa y en el ataque, y </t>
    </r>
    <r>
      <rPr>
        <rFont val="Arial"/>
        <color rgb="FFFF0000"/>
        <sz val="9.0"/>
      </rPr>
      <t>solo</t>
    </r>
    <r>
      <rPr>
        <rFont val="Arial"/>
        <color rgb="FF000000"/>
        <sz val="9.0"/>
      </rPr>
      <t xml:space="preserve"> Willy Hernangómez y Ricky Rubio fueron </t>
    </r>
    <r>
      <rPr>
        <rFont val="Arial"/>
        <color rgb="FFFF0000"/>
        <sz val="9.0"/>
      </rPr>
      <t xml:space="preserve">los únicos jugadores </t>
    </r>
    <r>
      <rPr>
        <rFont val="Arial"/>
        <color rgb="FF000000"/>
        <sz val="9.0"/>
      </rPr>
      <t>que mostraron un buen nivel. La derrota deja a la selección española con dudas antes del estreno oficial en el Mundial.</t>
    </r>
  </si>
  <si>
    <t>El contenido más relevante del texto es la derrota de la selección española de baloncesto ante Rusia en un partido de preparación para el Mundial, con un marcador de 55-74.</t>
  </si>
  <si>
    <t>Aquí te presento el resumen del texto utilizando el método de las 5W1H (qué, quién, cuándo, dónde, por qué, cómo):
Qué: La selección española de baloncesto perdió ante Rusia en un partido de preparación para el Mundial, con un marcador de 55-74.
Quién: La selección española, liderada por el entrenador Sergio Scariolo, y la selección rusa, liderada por el entrenador Sergei Bazarevich.
Cuándo: El partido se jugó tres días antes del comienzo del Mundial.
Dónde: No se especifica el lugar exacto del partido, pero se menciona que es un partido de preparación para el Mundial.
Por qué: La selección española jugó mal y cometió muchos errores, lo que permitió a Rusia dominar el partido.
Cómo: La selección española jugó con una rotación reducida debido a las bajas de Rudy y Marc Gasol, y no pudo encontrar su ritmo anotador. Rusia, por su parte, dominó el rebote y contó con la intendencia de jugadores como Fridzon, Zubkov, Ivlev y Antonov. La selección española intentó reengancharse al partido gracias a los esfuerzos de Willy Hernangómez, pero no pudo evitar la derrota.</t>
  </si>
  <si>
    <t>La selección española de baloncesto perdió ante Rusia en un partido de preparación para el Mundial, con un marcador de 55-74.</t>
  </si>
  <si>
    <r>
      <rPr>
        <rFont val="Arial"/>
        <color rgb="FFB7B7B7"/>
        <sz val="9.0"/>
      </rPr>
      <t>El texto describe la historia de</t>
    </r>
    <r>
      <rPr>
        <rFont val="Arial"/>
        <color rgb="FF000000"/>
        <sz val="9.0"/>
      </rPr>
      <t xml:space="preserve"> un grupo de cinco universitarias que, en marzo de 2018, se enteraron de la existencia de una ONG llamada Acción Geoda que trabaja en el Valle del Tessaout, una zona olvidada de Marruecos. Ellas decidieron </t>
    </r>
    <r>
      <rPr>
        <rFont val="Arial"/>
        <strike/>
        <color rgb="FF000000"/>
        <sz val="9.0"/>
      </rPr>
      <t>unirse al proyecto</t>
    </r>
    <r>
      <rPr>
        <rFont val="Arial"/>
        <color rgb="FF000000"/>
        <sz val="9.0"/>
      </rPr>
      <t xml:space="preserve"> y comenzaron a trabajar en la construcción y el mantenimiento de una escuela infantil y en el empoderamiento de la mujer en la aldea de Tasslent. Para financiar el proyecto, organizaron una jornada solidaria y vendieron artículos diseñados por colegiales reivindicando la igualdad de género. </t>
    </r>
    <r>
      <rPr>
        <rFont val="Arial"/>
        <color rgb="FF000000"/>
        <sz val="9.0"/>
        <u/>
      </rPr>
      <t>Después de un año de trabajo,</t>
    </r>
    <r>
      <rPr>
        <rFont val="Arial"/>
        <color rgb="FF000000"/>
        <sz val="9.0"/>
      </rPr>
      <t xml:space="preserve"> el proyecto ha crecido y cuenta con el apoyo de casi la totalidad del colegio mayor. Las autoras del texto expresan su compromiso con el proyecto y animan a otros a unirse y a interesarse por la zona del Valle del Tessaout.</t>
    </r>
  </si>
  <si>
    <r>
      <rPr>
        <rFont val="Arial"/>
        <color rgb="FFCCCCCC"/>
        <sz val="9.0"/>
      </rPr>
      <t>El contenido más relevante del texto es la historia de</t>
    </r>
    <r>
      <rPr>
        <rFont val="Arial"/>
        <color rgb="FF000000"/>
        <sz val="9.0"/>
      </rPr>
      <t xml:space="preserve"> un grupo de universitarias que, motivadas por la situación de pobreza y falta de acceso a servicios básicos en el Valle del Tessaout en Marruecos, deciden emprender un proyecto para construir y mantener una escuela infantil y empoderar a la mujer en una de las aldeas de la zona. </t>
    </r>
    <r>
      <rPr>
        <rFont val="Arial"/>
        <color rgb="FFB7B7B7"/>
        <sz val="9.0"/>
      </rPr>
      <t>El texto describe cómo</t>
    </r>
    <r>
      <rPr>
        <rFont val="Arial"/>
        <color rgb="FF000000"/>
        <sz val="9.0"/>
      </rPr>
      <t xml:space="preserve"> el grupo de chicas, inicialmente de cinco, logra recaudar fondos y generar entusiasmo entre sus compañeros de colegio mayor para apoyar el proyecto, y cómo finalmente viajan a Marruecos para conocer de primera mano la realidad de la zona y </t>
    </r>
    <r>
      <rPr>
        <rFont val="Arial"/>
        <strike/>
        <color rgb="FF000000"/>
        <sz val="9.0"/>
      </rPr>
      <t>compartir sus preocupaciones con los habitantes</t>
    </r>
    <r>
      <rPr>
        <rFont val="Arial"/>
        <color rgb="FF000000"/>
        <sz val="9.0"/>
      </rPr>
      <t xml:space="preserve">. </t>
    </r>
    <r>
      <rPr>
        <rFont val="Arial"/>
        <color rgb="FFB7B7B7"/>
        <sz val="9.0"/>
      </rPr>
      <t>El texto destaca la importancia del compromiso y la ayuda para alcanzar objetivos grandes y anima a los lectores a interesarse por esta zona del mundo y apoyar el proyecto.</t>
    </r>
  </si>
  <si>
    <r>
      <rPr>
        <rFont val="Arial"/>
        <color rgb="FFB7B7B7"/>
        <sz val="9.0"/>
      </rPr>
      <t>A continuación, te presento un resumen del texto utilizando el método de las 5W1H:</t>
    </r>
    <r>
      <rPr>
        <rFont val="Arial"/>
        <color rgb="FF000000"/>
        <sz val="9.0"/>
      </rPr>
      <t xml:space="preserve">
Qué: Un grupo de cinco universitarias de un colegio mayor en Madrid se embarcaron en un proyecto para construir y mantener una escuela infantil y empoderar a la mujer en una aldea olvidada en el Valle del Tessaout, Marruecos.
Quién: Cinco universitarias de entre 18 y 22 años, compañeras de colegio mayor, que se convirtieron en un grupo más grande con el apoyo de otros estudiantes y miembros del colegio mayor.
Cuándo: El proyecto comenzó en marzo de 2018 y ha seguido adelante durante varios meses, con un viaje a Marruecos en </t>
    </r>
    <r>
      <rPr>
        <rFont val="Arial"/>
        <strike/>
        <color rgb="FF000000"/>
        <sz val="9.0"/>
      </rPr>
      <t>marzo del mismo año</t>
    </r>
    <r>
      <rPr>
        <rFont val="Arial"/>
        <color rgb="FF000000"/>
        <sz val="9.0"/>
      </rPr>
      <t xml:space="preserve">.
Dónde: El Valle del Tessaout, Marruecos, específicamente en la aldea de Tasslent.
Por qué: Debido a la pobreza y la falta de acceso a servicios básicos como agua potable y electricidad en la zona, y la discriminación de la mujer.
Cómo: A través de la organización de actividades solidarias, como la Primera Jornada Solidaria del Valle de Tessaout y la Primera Semana de la Mujer, y la recaudación de fondos para financiar el proyecto. También se ha contagiado </t>
    </r>
    <r>
      <rPr>
        <rFont val="Arial"/>
        <strike/>
        <color rgb="FF000000"/>
        <sz val="9.0"/>
      </rPr>
      <t>el "virus del valle" a otros estudiantes, que se han unido al proyecto.</t>
    </r>
  </si>
  <si>
    <r>
      <rPr>
        <rFont val="Arial"/>
        <color rgb="FF000000"/>
        <sz val="9.0"/>
      </rPr>
      <t xml:space="preserve">Un grupo de universitarias de Madrid se embarcaron en un proyecto para construir y mantener una escuela infantil en una aldea olvidada en Marruecos, donde la pobreza y la falta de acceso a servicios básicos son omnipresentes. </t>
    </r>
    <r>
      <rPr>
        <rFont val="Arial"/>
        <strike/>
        <color rgb="FF000000"/>
        <sz val="9.0"/>
      </rPr>
      <t>Con la ayuda de su colegio mayor</t>
    </r>
    <r>
      <rPr>
        <rFont val="Arial"/>
        <color rgb="FF000000"/>
        <sz val="9.0"/>
      </rPr>
      <t xml:space="preserve">, organizaron actividades solidarias y recaudaron fondos para apoyar el proyecto. En marzo de </t>
    </r>
    <r>
      <rPr>
        <rFont val="Arial"/>
        <strike/>
        <color rgb="FF000000"/>
        <sz val="9.0"/>
      </rPr>
      <t>este año</t>
    </r>
    <r>
      <rPr>
        <rFont val="Arial"/>
        <color rgb="FF000000"/>
        <sz val="9.0"/>
      </rPr>
      <t xml:space="preserve">, visitaron la aldea y </t>
    </r>
    <r>
      <rPr>
        <rFont val="Arial"/>
        <color rgb="FF000000"/>
        <sz val="9.0"/>
        <u/>
      </rPr>
      <t>se dieron cuenta de la realidad de la situación</t>
    </r>
    <r>
      <rPr>
        <rFont val="Arial"/>
        <color rgb="FF000000"/>
        <sz val="9.0"/>
      </rPr>
      <t>, lo que les dio fuerza y consistencia a su propósito. Ahora, con el apoyo de casi la totalidad del colegio mayor, siguen trabajando para mejorar la educación infantil y la alfabetización de la mujer en la aldea.</t>
    </r>
  </si>
  <si>
    <t>Los vecinos de un edificio histórico en el centro de Madrid han votado a favor de limitar la proliferación de apartamentos turísticos en su edificio, aprovechando un real decreto que otorga más poder a las comunidades de vecinos para rechazar el uso de viviendas como turísticas. La votación fue de 9 a favor y 5 en contra. Los vecinos argumentan que los apartamentos turísticos ocasionan molestias y problemas de convivencia, mientras que los dueños de estos apartamentos creen que su negocio aporta beneficios a la comunidad. El debate refleja una grieta en la sociedad madrileña sobre el modelo de ciudad que se quiere construir.</t>
  </si>
  <si>
    <r>
      <rPr>
        <rFont val="Arial"/>
        <color rgb="FF000000"/>
        <sz val="9.0"/>
      </rPr>
      <t xml:space="preserve">La situación en el edificio histórico madrileño del siglo XIX en la plaza de Cascorro se había vuelto insostenible debido a la proliferación de apartamentos turísticos. Los vecinos estaban hartos de los inconvenientes que ocasionaban los turistas, mientras que los dueños de las propiedades creían que su negocio aportaba beneficios a la comunidad. La votación final fue de 9 votos a favor de limitar los negocios turísticos y 5 en contra. La presidenta de la comunidad, Gema Parrellada, explicó que los alojamientos turísticos ocasionaban molestias de todo tipo y que decidieron ponerlo sobre la mesa para que todos tuvieran conocimiento de lo que pasaba. </t>
    </r>
    <r>
      <rPr>
        <rFont val="Arial"/>
        <strike/>
        <color rgb="FF000000"/>
        <sz val="9.0"/>
      </rPr>
      <t xml:space="preserve">El debate se centró en el modelo de ciudad que se quería construir </t>
    </r>
    <r>
      <rPr>
        <rFont val="Arial"/>
        <color rgb="FF000000"/>
        <sz val="9.0"/>
      </rPr>
      <t>y si los turistas modificaban la manera de configurar el barrio. La decisión sentimental de Sonia, que alquilaba su piso de manera indefinida, responde a cuestiones éticas y a la sensación de barrio que se respiraba. El Ayuntamiento de Madrid consideró necesario tener una normativa propia para regular los usos del suelo y el Área de Desarrollo Urbano Sostenible estimó que existen entre 10.000 y 12.000 pisos turísticos en la ciudad. La última normativa del Ejecutivo de Carmena estableció que las viviendas de uso turístico suponen una actividad económica y requieren licencia, pero el nuevo alcalde, José Luis Martínez-Almeida, ha anunciado que ya está trabajando en la elaboración de una nueva regulación basada en "criterios objetivos".</t>
    </r>
  </si>
  <si>
    <t>Qué: La votación en una junta de vecinos de un edificio histórico en Madrid sobre la limitación de pisos turísticos.
Quién: Vecinos del edificio, dueños de pisos turísticos y la presidenta de la comunidad, Gema Parrellada.
Cuándo: La junta se celebró el 9 de julio.
Dónde: En un edificio histórico del siglo XIX en la plaza de Cascorro, en el centro de Madrid.
Por qué: Los vecinos estaban hartos de los inconvenientes causados por los turistas y querían limitar la proliferación de pisos turísticos en el edificio.
Cómo: La votación se realizó con un resultado de 9 votos a favor de limitar los pisos turísticos y 5 en contra. La comunidad se informó y se organizó para tomar esta decisión, aprovechando un real decreto del gobierno que otorgaba más poder a las comunidades de vecinos para regular el uso de las viviendas.</t>
  </si>
  <si>
    <t>En un edificio histórico madrileño, los vecinos votaron para limitar los pisos turísticos en el edificio, citando molestias y problemas de convivencia.</t>
  </si>
  <si>
    <t>El rugby está experimentando un cambio radical en su juego para reducir lesiones y mejorar el espectáculo. La federación internacional, World Rugby, está estudiando nuevas normas para prohibir los placajes altos y facilitar un juego más fluido. Entre las normas en estudio se encuentra la prohibición de placar por encima de la cintura, lo que reduciría el riesgo de lesiones en la cabeza para ambos jugadores. También se premiará el juego indirecto y se castigarán con más dureza las infracciones. El objetivo es reducir las percusiones constantes contra el muro defensivo e incentivar un estilo más dinámico.</t>
  </si>
  <si>
    <r>
      <rPr>
        <rFont val="Arial"/>
        <color rgb="FFCCCCCC"/>
        <sz val="9.0"/>
      </rPr>
      <t>El contenido más relevante del texto es</t>
    </r>
    <r>
      <rPr>
        <rFont val="Arial"/>
        <color rgb="FF000000"/>
        <sz val="9.0"/>
      </rPr>
      <t xml:space="preserve"> la posible prohibición del placaje por encima de la cintura en el rugby, con el objetivo de reducir el riesgo de lesiones en la cabeza y mejorar el espectáculo para jugadores, árbitros y aficionados.</t>
    </r>
  </si>
  <si>
    <r>
      <rPr>
        <rFont val="Arial"/>
        <color rgb="FFB7B7B7"/>
        <sz val="9.0"/>
      </rPr>
      <t>Aquí te presento el resumen del texto utilizando el método de las 5W1H:</t>
    </r>
    <r>
      <rPr>
        <rFont val="Arial"/>
        <color rgb="FF000000"/>
        <sz val="9.0"/>
      </rPr>
      <t xml:space="preserve">
Qué: El rugby está considerando cambios radicales en su juego para reducir lesiones y mejorar el espectáculo.
Quién: World Rugby, la federación internacional del rugby, está detrás de estos cambios.
Cuándo: Los cambios se están estudiando y se implementarán en un futuro próximo, aunque no se ha especificado exactamente cuándo.
Dónde: Los ensayos de estos cambios </t>
    </r>
    <r>
      <rPr>
        <rFont val="Arial"/>
        <strike/>
        <color rgb="FF000000"/>
        <sz val="9.0"/>
      </rPr>
      <t>se llevarán a cabo en las categorías amateur de Francia,</t>
    </r>
    <r>
      <rPr>
        <rFont val="Arial"/>
        <color rgb="FF000000"/>
        <sz val="9.0"/>
      </rPr>
      <t xml:space="preserve"> que acogerá el Mundial de 2023.
Por qué: El objetivo es reducir el riesgo de lesiones en la cabeza y mejorar el espectáculo para jugadores, árbitros y aficionados.
Cómo: Los cambios incluyen la prohibición de placar por encima de la cintura, premiar el juego indirecto, castigar con más dureza las infracciones y fomentar un estilo más dinámico y plástico.</t>
    </r>
  </si>
  <si>
    <t>El rugby está experimentando un cambio radical en su juego para reducir el riesgo de lesiones y mejorar el espectáculo. La federación internacional, World Rugby, está estudiando la prohibición de placar por encima de la cintura y castigar con más dureza las infracciones. El objetivo es reducir las lesiones en la cabeza y mejorar el juego indirecto, lo que podría incentivar un estilo más dinámico y atractivo para los espectadores.</t>
  </si>
  <si>
    <t>Nicolás Vallejo-Nájera, más conocido como Colate, ha tenido que ser operado de la clavícula tras un accidente que sufrió en la isla de Honduras durante su participación en el reality de Telecinco "Supervivientes". El empresario y expareja de la cantante Paulina Rubio se sometió a una operación en la clínica madrileña Ruber Internacional después de que los especialistas optaran por intervenir para acabar con las molestias y dolores derivados de la fractura de la clavícula. Colate ha explicado que su hermana, la cocinera y jurado de MasterChef Samantha Vallejo-Nájera, no pudo acompañarlo por encontrarse fuera de Madrid, pero que ha recibido el apoyo de su familia y amigos durante su estancia en el concurso. El empresario ha asegurado que su relación con Isabel Pantoja en el concurso fue sincera, pero que las condiciones del concurso lo estropearon, y que los desencuentros con la cantante tal vez tuvieron que ver con un posible resquemor por la supuesta atracción con la que se bromeó durante el programa. Colate también ha hablado sobre su efímera amistad con Mónica Hoyos, a la que considera una manipuladora, y ha desvelado que la persona que más le atrajo en la isla fue Encarna Salazar, una de las hermanas de las Azúcar Moreno. Además, ha hablado sobre su agrio divorcio de Paulina Rubio y sus desencuentros a causa del hijo que tienen en común, y ha asegurado que lo primero que hizo nada más llegar fue hablar durante tres horas y media con su hijo.</t>
  </si>
  <si>
    <t>Nicolás Vallejo-Nájera, más conocido como Colate, fue el primer concursante confirmado para participar en Supervivientes, el reality de Telecinco.</t>
  </si>
  <si>
    <r>
      <rPr>
        <rFont val="Arial"/>
        <color rgb="FF000000"/>
        <sz val="9.0"/>
      </rPr>
      <t xml:space="preserve">Qué: Colate, un empresario y expareja de la cantante Paulina Rubio, fue operado de la clavícula después de un accidente en la isla de Honduras durante su participación en el reality de Telecinco "Supervivientes".
Quién: Colate, cuyo nombre real es Nicolás Vallejo-Nájera, es un empresario y expareja de la cantante Paulina Rubio.
Cuándo: El accidente ocurrió </t>
    </r>
    <r>
      <rPr>
        <rFont val="Arial"/>
        <strike/>
        <color rgb="FF000000"/>
        <sz val="9.0"/>
      </rPr>
      <t>pocos días antes de su regreso a España</t>
    </r>
    <r>
      <rPr>
        <rFont val="Arial"/>
        <color rgb="FF000000"/>
        <sz val="9.0"/>
      </rPr>
      <t xml:space="preserve">, el 3 de julio, y la operación se realizó </t>
    </r>
    <r>
      <rPr>
        <rFont val="Arial"/>
        <strike/>
        <color rgb="FF000000"/>
        <sz val="9.0"/>
      </rPr>
      <t>esta semana</t>
    </r>
    <r>
      <rPr>
        <rFont val="Arial"/>
        <color rgb="FF000000"/>
        <sz val="9.0"/>
      </rPr>
      <t xml:space="preserve">.
Dónde: El accidente ocurrió en la isla de Honduras, donde se graba el reality "Supervivientes", y la operación se realizó en la clínica madrileña Ruber Internacional.
Por qué: El accidente ocurrió durante una prueba semanal en la que Colate </t>
    </r>
    <r>
      <rPr>
        <rFont val="Arial"/>
        <strike/>
        <color rgb="FF000000"/>
        <sz val="9.0"/>
      </rPr>
      <t xml:space="preserve">se desestabilizó y cayó al suelo, lo que le causó una fractura en la clavícula.
</t>
    </r>
    <r>
      <rPr>
        <rFont val="Arial"/>
        <color rgb="FF000000"/>
        <sz val="9.0"/>
      </rPr>
      <t xml:space="preserve">
Cómo: Colate ingresó en la clínica madrileña Ruber Internacional </t>
    </r>
    <r>
      <rPr>
        <rFont val="Arial"/>
        <strike/>
        <color rgb="FF000000"/>
        <sz val="9.0"/>
      </rPr>
      <t>el lunes</t>
    </r>
    <r>
      <rPr>
        <rFont val="Arial"/>
        <color rgb="FF000000"/>
        <sz val="9.0"/>
      </rPr>
      <t xml:space="preserve"> con el brazo en cabestrillo y una maleta, y se sometió a una operación para arreglar la fractura de la clavícula.</t>
    </r>
  </si>
  <si>
    <t>Colate, un concursante de Supervivientes, fue operado de la clavícula después de un accidente en la isla de Honduras. Su hermana, Samantha Vallejo-Nájera, lo apoyó durante su estancia en el concurso. Colate también habló sobre su relación con Isabel Pantoja y Mónica Hoyos en el programa.</t>
  </si>
  <si>
    <r>
      <rPr>
        <rFont val="Arial"/>
        <color rgb="FF000000"/>
        <sz val="9.0"/>
      </rPr>
      <t xml:space="preserve">India lanzó hoy la nave Chandrayaan 2, que intenta convertirse </t>
    </r>
    <r>
      <rPr>
        <rFont val="Arial"/>
        <color rgb="FFFF9900"/>
        <sz val="9.0"/>
      </rPr>
      <t>en la cuarta nave</t>
    </r>
    <r>
      <rPr>
        <rFont val="Arial"/>
        <color rgb="FF000000"/>
        <sz val="9.0"/>
      </rPr>
      <t xml:space="preserve"> en posarse en la Luna. La misión es una muestra del programa espacial indio, </t>
    </r>
    <r>
      <rPr>
        <rFont val="Arial"/>
        <color rgb="FFFF9900"/>
        <sz val="9.0"/>
      </rPr>
      <t>desarrollado en su mayoría en el país</t>
    </r>
    <r>
      <rPr>
        <rFont val="Arial"/>
        <color rgb="FF000000"/>
        <sz val="9.0"/>
      </rPr>
      <t>. La nave viajará durante dos meses y realizará varias órbitas en torno a la Tierra antes de dirigirse a la Luna. La misión incluye un módulo orbital y un vehículo de alunizaje llamado Vikram, que se desprenderá del módulo orbital y aterrizará en la superficie lunar. El destino de la misión es una llanura cerca del polo sur de la Luna. Tras el alunizaje, un pequeño rover llamado Pragyan saldrá del Vikram y recorrerá la superficie lunar. La misión tiene como objetivo lograr un importante hito en la carrera espacial de India.</t>
    </r>
  </si>
  <si>
    <r>
      <rPr>
        <rFont val="Arial"/>
        <color rgb="FF000000"/>
        <sz val="9.0"/>
      </rPr>
      <t xml:space="preserve">La nave espacial Chandrayaan 2 de la India ha despegado con el objetivo de convertirse </t>
    </r>
    <r>
      <rPr>
        <rFont val="Arial"/>
        <color rgb="FFFF9900"/>
        <sz val="9.0"/>
      </rPr>
      <t>en el cuarto país en posar un aparato en la Luna</t>
    </r>
    <r>
      <rPr>
        <rFont val="Arial"/>
        <color rgb="FF000000"/>
        <sz val="9.0"/>
      </rPr>
      <t xml:space="preserve">. La misión </t>
    </r>
    <r>
      <rPr>
        <rFont val="Arial"/>
        <color rgb="FFFF9900"/>
        <sz val="9.0"/>
      </rPr>
      <t>es desarrollada</t>
    </r>
    <r>
      <rPr>
        <rFont val="Arial"/>
        <color rgb="FF000000"/>
        <sz val="9.0"/>
      </rPr>
      <t xml:space="preserve"> en su mayoría en la India y </t>
    </r>
    <r>
      <rPr>
        <rFont val="Arial"/>
        <color rgb="FFFF9900"/>
        <sz val="9.0"/>
      </rPr>
      <t>tiene previsto viajar</t>
    </r>
    <r>
      <rPr>
        <rFont val="Arial"/>
        <color rgb="FF000000"/>
        <sz val="9.0"/>
      </rPr>
      <t xml:space="preserve"> durante dos meses hasta llegar a la Luna. La nave realizará varias órbitas en torno a la Tierra antes de dirigirse hacia la Luna, donde se desprenderá el vehículo de alunizaje Vikram y el rover Pragyan para recorrer la superficie lunar. Si la misión tiene éxito, la India habrá logrado un importante hito en su carrera espacial.</t>
    </r>
  </si>
  <si>
    <t>Aquí te presento el resumen del texto utilizando el método de las 5W1H:
Qué: La nave Chandrayaan 2 ha sido lanzada por India con el objetivo de convertirse en el cuarto país en posar un aparato en la Luna.
Quién: La misión es desarrollada por la India, con la participación de ingenieros y científicos del país.
Cuándo: La nave ha despegado hoy, y se espera que su viaje hasta la Luna dure dos meses.
Dónde: La misión tiene como destino una llanura situada entre Manzinus C y Simpelius N, dos cráteres situados cerca del polo sur de la Luna.
Por qué: La misión es una muestra del pujante programa espacial indio, y busca convertir a India en el cuarto país en posar un aparato en la Luna.
Cómo: La nave realizará varias órbitas en torno a la Tierra antes de dirigirse hacia la Luna, y luego se desprenderá el vehículo de alunizaje Vikram, que aterrizará en la superficie lunar y desplegará un pequeño rover llamado Pragyan.</t>
  </si>
  <si>
    <t>La India lanzó hoy la nave Chandrayaan 2, que intentará convertirse en el cuarto país en posar un aparato en la Luna. La misión es una muestra del pujante programa espacial indio y está previsto que su viaje dure dos meses. La nave realizará varias órbitas en torno a la Tierra antes de dirigirse hacia la Luna, donde se desprenderá el vehículo de alunizaje Vikram y un pequeño rover llamado Pragyan. Si la misión tiene éxito, la India habrá logrado un importante hito en su carrera espacial.</t>
  </si>
  <si>
    <t>La Policía ha detenido en Alemania al joven de 17 años sospechoso de matar a su hermana de 14 años en Mataró. El joven fue trasladado a España y entregado a la fiscalía de menores.</t>
  </si>
  <si>
    <r>
      <rPr>
        <rFont val="Arial"/>
        <color rgb="FFCCCCCC"/>
        <sz val="9.0"/>
      </rPr>
      <t>El contenido más relevante del texto es</t>
    </r>
    <r>
      <rPr>
        <rFont val="Arial"/>
        <color rgb="FF000000"/>
        <sz val="9.0"/>
      </rPr>
      <t xml:space="preserve"> la detención en Alemania del joven de 17 años que estaba siendo buscado como presunto autor de la muerte de su hermana de 14 años, cuyo cadáver fue hallado en el domicilio familiar de Mataró, Barcelona, en junio.</t>
    </r>
  </si>
  <si>
    <r>
      <rPr>
        <rFont val="Arial"/>
        <color rgb="FFB7B7B7"/>
        <sz val="9.0"/>
      </rPr>
      <t>Aquí te presento el resumen del texto utilizando el método de las 5W1H:</t>
    </r>
    <r>
      <rPr>
        <rFont val="Arial"/>
        <color rgb="FF000000"/>
        <sz val="9.0"/>
      </rPr>
      <t xml:space="preserve">
Qué: Un joven de 17 años ha sido detenido en Alemania como presunto autor de la muerte de su hermana de 14 años.
Quién: El joven de 17 años, cuyo nombre no se menciona, y su hermana de 14 años.
Cuándo: El crimen ocurrió en junio del año en curso, y el joven fue detenido en Alemania y trasladado a España para ser puesto a disposición de la fiscalía de menores.
Dónde: El crimen ocurrió en el domicilio familiar de Mataró, Barcelona, y el joven fue detenido en Alemania.
Por qué: No se menciona explícitamente el motivo del crimen, pero se sugiere que el joven y su hermana se habían quedado solos en la vivienda mientras su madre estaba de viaje.
Cómo: El crimen se cometió con arma blanca, según se menciona en el texto.</t>
    </r>
  </si>
  <si>
    <t>La policía alemana ha detenido a un joven de 17 años sospechoso de matar a su hermana de 14 años en Mataró, Barcelona.</t>
  </si>
  <si>
    <r>
      <rPr>
        <rFont val="Arial"/>
        <color rgb="FF000000"/>
        <sz val="9.0"/>
      </rPr>
      <t xml:space="preserve">Alejandro Sanz y Raquel Perera, después de 12 años juntos, han decidido separarse. La noticia fue confirmada por la revista ¡Hola! y la pareja publicó una declaración en sus redes sociales, asegurando que siempre serán una familia y que su amor seguirá existiendo, aunque de una manera diferente. La pareja tiene dos hijos, Dylan y Alma, y </t>
    </r>
    <r>
      <rPr>
        <rFont val="Arial"/>
        <color rgb="FF000000"/>
        <sz val="9.0"/>
        <u/>
      </rPr>
      <t>ha asegurado que su bienestar es su prioridad.</t>
    </r>
    <r>
      <rPr>
        <rFont val="Arial"/>
        <color rgb="FF000000"/>
        <sz val="9.0"/>
      </rPr>
      <t xml:space="preserve"> Alejandro Sanz y Raquel Perera comenzaron su relación en 2007 y se casaron en 2012. La separación se produce después de rumores de desavenencias en la pareja.</t>
    </r>
  </si>
  <si>
    <t>Alejandro Sanz y Raquel Perera se separan después de 12 años juntos.</t>
  </si>
  <si>
    <r>
      <rPr>
        <rFont val="Arial"/>
        <color rgb="FF000000"/>
        <sz val="9.0"/>
      </rPr>
      <t xml:space="preserve">¡Claro! A continuación, te presento el resumen del texto utilizando el método de las 5W1H:
Qué: Alejandro Sanz y Raquel Perera se separan después de 12 años de relación.
Quién: Alejandro Sanz (50 años) y Raquel Perera (44 años).
Cuándo: La separación se confirma después de una semana de rumores y se oficializa el miércoles pasado.
Dónde: </t>
    </r>
    <r>
      <rPr>
        <rFont val="Arial"/>
        <strike/>
        <color rgb="FF000000"/>
        <sz val="9.0"/>
      </rPr>
      <t>La pareja se separa en Madrid, España</t>
    </r>
    <r>
      <rPr>
        <rFont val="Arial"/>
        <color rgb="FF000000"/>
        <sz val="9.0"/>
      </rPr>
      <t>, aunque Alejandro Sanz continúa con sus conciertos en Estados Unidos y México.
Por qué: La pareja decide separarse después de 12 años de relación, aunque no se especifican los motivos concretos. En su declaración, mencionan que "el mundo cambia, nosotros también" y que su amor sigue siendo eterno, aunque se transforma en otras direcciones.
Cómo: La pareja anuncia su separación a través de una declaración conjunta en sus respectivas cuentas de Instagram, donde expresan su gratitud por el respeto y amor que les une, y aseguran que su familia sigue siendo lo más importante para ellos.</t>
    </r>
  </si>
  <si>
    <t>Alejandro Sanz y Raquel Perera se separan después de 12 años juntos. La pareja ha publicado un comunicado conjunto en Instagram, donde anuncian su separación de manera respetuosa y afirman que seguirán siendo una familia unida por sus hijos.</t>
  </si>
  <si>
    <t>El Festival de Cine Judío de Barcelona presenta su 21ª edición con un programa variado y emocionante. Se ofrecen 15 películas que abordan temáticas judías y humanas, incluyendo historias de amor, supervivencia, identidad y conflicto. Entre los títulos destacados se encuentran "Tel Aviv en llamas", "La guerra del Este", "M", "El puente de papel" y "Jonathan Agassi me salvó la vida". El festival también rinde homenaje a la documentalista austriaca Ruth Beckermann con una retrospectiva de sus obras.</t>
  </si>
  <si>
    <r>
      <rPr>
        <rFont val="Arial"/>
        <color rgb="FF999999"/>
        <sz val="9.0"/>
      </rPr>
      <t xml:space="preserve">El contenido más relevante del texto </t>
    </r>
    <r>
      <rPr>
        <rFont val="Arial"/>
        <color rgb="FF000000"/>
        <sz val="9.0"/>
      </rPr>
      <t xml:space="preserve">es la presentación del programa de la 21ª edición del Festival de Cine Judío de Barcelona, que incluye una variedad de películas que abordan temas relacionados con la comunidad judía y su historia, </t>
    </r>
    <r>
      <rPr>
        <rFont val="Arial"/>
        <color rgb="FF000000"/>
        <sz val="9.0"/>
        <u/>
      </rPr>
      <t xml:space="preserve">como la Shoá, la identidad judía, </t>
    </r>
    <r>
      <rPr>
        <rFont val="Arial"/>
        <color rgb="FF000000"/>
        <sz val="9.0"/>
      </rPr>
      <t>la relación entre judíos y no judíos, y la búsqueda de justicia y verdad. El festival también rinde homenaje a la documentalista y cineasta austriaca Ruth Beckermann y presenta una retrospectiva de sus obras.</t>
    </r>
  </si>
  <si>
    <r>
      <rPr>
        <rFont val="Arial"/>
        <color rgb="FFB7B7B7"/>
        <sz val="9.0"/>
      </rPr>
      <t>Aquí te presento el resumen del texto utilizando el método de las 5W1H:</t>
    </r>
    <r>
      <rPr>
        <rFont val="Arial"/>
        <color rgb="FF000000"/>
        <sz val="9.0"/>
      </rPr>
      <t xml:space="preserve">
Qué: El Festival de Cine Judío de Barcelona presenta su 21ª edición con un programa variado de películas que abordan temas judíos y humanos.
Quién: El festival cuenta con la participación de directores y cineastas como Ruth Beckermann, Tomer Heymann, Rhoda Heneida Abecassis, Martin Sulik, entre otros.
Cuándo: El festival se llevará a cabo del jueves 12 al 29 de [mes no especificado].
Dónde: El festival se realizará en Barcelona.
Por qué: El festival busca presentar historias y temas judíos y humanos a través de películas y documentales.
Cómo: El festival ofrecerá una variedad de películas, documentales y homenajes a directores y cineastas, incluyendo proyecciones, presentaciones y encuentros con los directores.</t>
    </r>
  </si>
  <si>
    <t>El Festival de Cine Judío de Barcelona presenta una variedad de historias y géneros con temática judía, incluyendo títulos sobre personajes como Walter Benjamin y Kurth Waldheim, y películas que abordan temas como la supervivencia en campos de concentración, la guerra civil en Etiopía y la relación entre un ayudante de telenovela palestina y un comandante israelí. El festival también dedica un homenaje a la documentalista austriaca Ruth Beckermann y presenta una retrospectiva de sus películas.</t>
  </si>
  <si>
    <t>La publicación de imágenes de niños en las redes sociales es un tema que ha generado debate en la sociedad. La mayoría de los padres comparten fotos de sus hijos sin considerar las posibles consecuencias, como la pérdida de privacidad, el riesgo de ciberbullying y la posible explotación de la imagen del menor. La abogada Stacey Steinberg ha estudiado este fenómeno y ha publicado un informe sobre la privacidad de los niños en la era de las redes sociales. En él, destaca la importancia de que los padres sean conscientes de los riesgos y tomen medidas para proteger la privacidad de sus hijos. Algunas recomendaciones incluyen familiarizarse con las políticas de privacidad de las redes, fijar alertas para detectar menciones del nombre del hijo, no revelar la identidad del menor, no dar pistas sobre los lugares que visita y pedir permiso antes de compartir información sobre ellos.</t>
  </si>
  <si>
    <r>
      <rPr>
        <rFont val="Arial"/>
        <color rgb="FF000000"/>
        <sz val="9.0"/>
      </rPr>
      <t xml:space="preserve">La publicación de imágenes de niños en las redes sociales ha generado un debate sobre la privacidad y seguridad de los menores. La mayoría de los padres comparten fotos de sus hijos sin considerar las posibles consecuencias, como la exposición a criminales o pervertidos, el robo de identidad, el ciberbullying y </t>
    </r>
    <r>
      <rPr>
        <rFont val="Arial"/>
        <color rgb="FFFF9900"/>
        <sz val="9.0"/>
      </rPr>
      <t>la avergonzada del menor</t>
    </r>
    <r>
      <rPr>
        <rFont val="Arial"/>
        <color rgb="FF000000"/>
        <sz val="9.0"/>
      </rPr>
      <t>. Expertos y abogados recomiendan que los padres sean más cuidadosos al compartir información sobre sus hijos y consideren pedir permiso antes de publicar fotos o información personal.</t>
    </r>
  </si>
  <si>
    <r>
      <rPr>
        <rFont val="Arial"/>
        <color rgb="FF000000"/>
        <sz val="9.0"/>
      </rPr>
      <t>El artículo discute el fenómeno del "sharenting", que se refiere a la práctica de compartir imágenes y información personal de niños en las redes sociales sin su consentimiento. El artículo cita estudios y expertos que señalan los riesgos y consecuencias de esta práctica, como</t>
    </r>
    <r>
      <rPr>
        <rFont val="Arial"/>
        <color rgb="FFFF9900"/>
        <sz val="9.0"/>
      </rPr>
      <t xml:space="preserve"> la exposición a la identidad de los niños</t>
    </r>
    <r>
      <rPr>
        <rFont val="Arial"/>
        <color rgb="FF000000"/>
        <sz val="9.0"/>
      </rPr>
      <t xml:space="preserve">, el riesgo de localización física, el robo de identidad, el ciberbullying y la posible </t>
    </r>
    <r>
      <rPr>
        <rFont val="Arial"/>
        <color rgb="FFFF9900"/>
        <sz val="9.0"/>
      </rPr>
      <t>avergonzanza</t>
    </r>
    <r>
      <rPr>
        <rFont val="Arial"/>
        <color rgb="FF000000"/>
        <sz val="9.0"/>
      </rPr>
      <t xml:space="preserve"> o daño a la autoestima de los niños.
Qué: El artículo se refiere a la práctica de compartir imágenes y información personal de niños en las redes sociales sin su consentimiento.
Quién: Los padres y familiares de los niños son los principales responsables de compartir estas imágenes y información.
Cuándo: La práctica del sharenting ha aumentado </t>
    </r>
    <r>
      <rPr>
        <rFont val="Arial"/>
        <color rgb="FF000000"/>
        <sz val="9.0"/>
        <u/>
      </rPr>
      <t>en los últimos años con la creciente popularidad de las redes sociales.</t>
    </r>
    <r>
      <rPr>
        <rFont val="Arial"/>
        <color rgb="FF000000"/>
        <sz val="9.0"/>
      </rPr>
      <t xml:space="preserve">
Dónde: El artículo menciona que la práctica del sharenting es común en muchos países, incluyendo Estados Unidos, Canadá, Alemania, el Reino Unido, Francia, España, Italia, Australia, Nueva Zelanda y Japón.
Por qué: Los padres comparten imágenes y información personal de sus hijos por una variedad de razones, incluyendo la emoción y el orgullo de la paternidad, así como la necesidad de compartir experiencias y momentos con amigos y familiares.
Cómo: Los padres comparten imágenes y información personal de sus hijos a través de las redes sociales, como Facebook, Instagram y Twitter, sin considerar las posibles consecuencias para la privacidad y el bienestar de sus hijos.</t>
    </r>
  </si>
  <si>
    <r>
      <rPr>
        <rFont val="Arial"/>
        <color rgb="FF000000"/>
        <sz val="9.0"/>
      </rPr>
      <t xml:space="preserve">Los padres están compartiendo cada vez más fotos de sus hijos en las redes sociales, lo que puede tener consecuencias negativas para la privacidad y seguridad de los menores. Un estudio encontró que tres de cada cuatro menores de dos años tienen fotos en línea, y los padres suben una media de 2,1 informaciones a la semana sobre sus hijos menores de 6 años. Sin embargo, esta práctica puede llevar a riesgos como la localización física de los menores, el robo de identidad, el ciberbullying y </t>
    </r>
    <r>
      <rPr>
        <rFont val="Arial"/>
        <color rgb="FFFF9900"/>
        <sz val="9.0"/>
      </rPr>
      <t xml:space="preserve">la avergonzanza </t>
    </r>
    <r>
      <rPr>
        <rFont val="Arial"/>
        <color rgb="FF000000"/>
        <sz val="9.0"/>
      </rPr>
      <t>del menor. Algunos expertos recomiendan que los padres pidan permiso a sus hijos antes de compartir fotos de ellos y que consideren las posibles consecuencias a largo plazo.</t>
    </r>
  </si>
  <si>
    <t xml:space="preserve"> model key</t>
  </si>
  <si>
    <t>prompt key</t>
  </si>
  <si>
    <t>PROMPTS</t>
  </si>
  <si>
    <t>Resume el siguiente texto.\n\n{text}</t>
  </si>
  <si>
    <t>Piensa bien cuál es el contenido más relevante en el siguiente texto y resúmelo usando el contenido más relevante.\n\n{text}</t>
  </si>
  <si>
    <t>Resume el siguiente texto usando el método de las 5W1H (qué, quién, cuándo, dónde, por qué, cómo).\n\n{text}</t>
  </si>
  <si>
    <t>{text}\n\ntldr:</t>
  </si>
  <si>
    <t>HUMAN SUMMARIES</t>
  </si>
  <si>
    <t>Human-generated XLSum-like summary (i.e., the heading of the article)</t>
  </si>
  <si>
    <t>Summary generated manually by Jeremy</t>
  </si>
  <si>
    <t>Summary generated manually by Begoña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</si>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</sst>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u/>
      <color rgb="FF0000FF"/>
    </font>
    <font>
      <color theme="1"/>
      <name val="Arial"/>
    </font>
    <font>
      <sz val="9.0"/>
      <color rgb="FF4285F4"/>
      <name val="Arial"/>
      <scheme val="minor"/>
    </font>
    <font>
      <b/>
      <sz val="9.0"/>
      <color rgb="FF000000"/>
      <name val="Arial"/>
      <scheme val="minor"/>
    </font>
    <font>
      <b/>
      <sz val="9.0"/>
      <color theme="1"/>
      <name val="Arial"/>
    </font>
    <font>
      <b/>
      <u/>
      <color rgb="FF0000FF"/>
    </font>
    <font>
      <sz val="9.0"/>
      <color rgb="FF000000"/>
      <name val="Arial"/>
      <scheme val="minor"/>
    </font>
    <font>
      <b/>
      <u/>
      <color rgb="FF0000FF"/>
    </font>
    <font>
      <u/>
      <sz val="9.0"/>
      <color rgb="FF000000"/>
      <name val="&quot;Google Sans&quot;"/>
    </font>
    <font>
      <color rgb="FFFF0000"/>
      <name val="Arial"/>
      <scheme val="minor"/>
    </font>
    <font>
      <b/>
      <color theme="1"/>
      <name val="Arial"/>
    </font>
    <font>
      <u/>
      <color rgb="FF1155CC"/>
      <name val="Arial"/>
    </font>
    <font>
      <i/>
      <color theme="1"/>
      <name val="Arial"/>
      <scheme val="minor"/>
    </font>
    <font>
      <b/>
      <color rgb="FFFFFFFF"/>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110">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EFAF9"/>
        <bgColor rgb="FFFEFAF9"/>
      </patternFill>
    </fill>
    <fill>
      <patternFill patternType="solid">
        <fgColor rgb="FFFDF2F0"/>
        <bgColor rgb="FFFDF2F0"/>
      </patternFill>
    </fill>
    <fill>
      <patternFill patternType="solid">
        <fgColor rgb="FFFDF4F3"/>
        <bgColor rgb="FFFDF4F3"/>
      </patternFill>
    </fill>
    <fill>
      <patternFill patternType="solid">
        <fgColor rgb="FFFCEEED"/>
        <bgColor rgb="FFFCEEED"/>
      </patternFill>
    </fill>
    <fill>
      <patternFill patternType="solid">
        <fgColor rgb="FFF9DCD9"/>
        <bgColor rgb="FFF9DCD9"/>
      </patternFill>
    </fill>
    <fill>
      <patternFill patternType="solid">
        <fgColor rgb="FFFEF9F8"/>
        <bgColor rgb="FFFEF9F8"/>
      </patternFill>
    </fill>
    <fill>
      <patternFill patternType="solid">
        <fgColor rgb="FFFCEBE9"/>
        <bgColor rgb="FFFCEBE9"/>
      </patternFill>
    </fill>
    <fill>
      <patternFill patternType="solid">
        <fgColor rgb="FFFDF3F3"/>
        <bgColor rgb="FFFDF3F3"/>
      </patternFill>
    </fill>
    <fill>
      <patternFill patternType="solid">
        <fgColor rgb="FFFAE4E2"/>
        <bgColor rgb="FFFAE4E2"/>
      </patternFill>
    </fill>
    <fill>
      <patternFill patternType="solid">
        <fgColor rgb="FFFCEFEE"/>
        <bgColor rgb="FFFCEFEE"/>
      </patternFill>
    </fill>
    <fill>
      <patternFill patternType="solid">
        <fgColor rgb="FFFBE5E3"/>
        <bgColor rgb="FFFBE5E3"/>
      </patternFill>
    </fill>
    <fill>
      <patternFill patternType="solid">
        <fgColor rgb="FFFDF0EF"/>
        <bgColor rgb="FFFDF0EF"/>
      </patternFill>
    </fill>
    <fill>
      <patternFill patternType="solid">
        <fgColor rgb="FFF4C2BE"/>
        <bgColor rgb="FFF4C2BE"/>
      </patternFill>
    </fill>
    <fill>
      <patternFill patternType="solid">
        <fgColor rgb="FFFAE0DE"/>
        <bgColor rgb="FFFAE0DE"/>
      </patternFill>
    </fill>
    <fill>
      <patternFill patternType="solid">
        <fgColor rgb="FFF8D7D4"/>
        <bgColor rgb="FFF8D7D4"/>
      </patternFill>
    </fill>
    <fill>
      <patternFill patternType="solid">
        <fgColor rgb="FFFEF6F5"/>
        <bgColor rgb="FFFEF6F5"/>
      </patternFill>
    </fill>
    <fill>
      <patternFill patternType="solid">
        <fgColor rgb="FFFAE1DE"/>
        <bgColor rgb="FFFAE1DE"/>
      </patternFill>
    </fill>
    <fill>
      <patternFill patternType="solid">
        <fgColor rgb="FFFADFDD"/>
        <bgColor rgb="FFFADFDD"/>
      </patternFill>
    </fill>
    <fill>
      <patternFill patternType="solid">
        <fgColor rgb="FFFDF1F0"/>
        <bgColor rgb="FFFDF1F0"/>
      </patternFill>
    </fill>
    <fill>
      <patternFill patternType="solid">
        <fgColor rgb="FFFDF3F2"/>
        <bgColor rgb="FFFDF3F2"/>
      </patternFill>
    </fill>
    <fill>
      <patternFill patternType="solid">
        <fgColor rgb="FFF0AFAA"/>
        <bgColor rgb="FFF0AFAA"/>
      </patternFill>
    </fill>
    <fill>
      <patternFill patternType="solid">
        <fgColor rgb="FFF0AEA9"/>
        <bgColor rgb="FFF0AEA9"/>
      </patternFill>
    </fill>
    <fill>
      <patternFill patternType="solid">
        <fgColor rgb="FFF3BDB8"/>
        <bgColor rgb="FFF3BDB8"/>
      </patternFill>
    </fill>
    <fill>
      <patternFill patternType="solid">
        <fgColor rgb="FFFCEDEC"/>
        <bgColor rgb="FFFCEDEC"/>
      </patternFill>
    </fill>
    <fill>
      <patternFill patternType="solid">
        <fgColor rgb="FFEFABA6"/>
        <bgColor rgb="FFEFABA6"/>
      </patternFill>
    </fill>
    <fill>
      <patternFill patternType="solid">
        <fgColor rgb="FFF8D6D3"/>
        <bgColor rgb="FFF8D6D3"/>
      </patternFill>
    </fill>
    <fill>
      <patternFill patternType="solid">
        <fgColor rgb="FFF0AEA8"/>
        <bgColor rgb="FFF0AEA8"/>
      </patternFill>
    </fill>
    <fill>
      <patternFill patternType="solid">
        <fgColor rgb="FFFBE8E6"/>
        <bgColor rgb="FFFBE8E6"/>
      </patternFill>
    </fill>
    <fill>
      <patternFill patternType="solid">
        <fgColor rgb="FFEA9088"/>
        <bgColor rgb="FFEA9088"/>
      </patternFill>
    </fill>
    <fill>
      <patternFill patternType="solid">
        <fgColor rgb="FFF6D0CD"/>
        <bgColor rgb="FFF6D0CD"/>
      </patternFill>
    </fill>
    <fill>
      <patternFill patternType="solid">
        <fgColor rgb="FFF1B4AF"/>
        <bgColor rgb="FFF1B4AF"/>
      </patternFill>
    </fill>
    <fill>
      <patternFill patternType="solid">
        <fgColor rgb="FFFAE5E3"/>
        <bgColor rgb="FFFAE5E3"/>
      </patternFill>
    </fill>
    <fill>
      <patternFill patternType="solid">
        <fgColor rgb="FFEC9A93"/>
        <bgColor rgb="FFEC9A93"/>
      </patternFill>
    </fill>
    <fill>
      <patternFill patternType="solid">
        <fgColor rgb="FFF8D8D5"/>
        <bgColor rgb="FFF8D8D5"/>
      </patternFill>
    </fill>
    <fill>
      <patternFill patternType="solid">
        <fgColor rgb="FFFAE2E0"/>
        <bgColor rgb="FFFAE2E0"/>
      </patternFill>
    </fill>
    <fill>
      <patternFill patternType="solid">
        <fgColor rgb="FFEA9999"/>
        <bgColor rgb="FFEA9999"/>
      </patternFill>
    </fill>
    <fill>
      <patternFill patternType="solid">
        <fgColor rgb="FFFEF5F5"/>
        <bgColor rgb="FFFEF5F5"/>
      </patternFill>
    </fill>
    <fill>
      <patternFill patternType="solid">
        <fgColor rgb="FFFEF8F8"/>
        <bgColor rgb="FFFEF8F8"/>
      </patternFill>
    </fill>
    <fill>
      <patternFill patternType="solid">
        <fgColor rgb="FFFBE9E8"/>
        <bgColor rgb="FFFBE9E8"/>
      </patternFill>
    </fill>
    <fill>
      <patternFill patternType="solid">
        <fgColor rgb="FFF9E0DE"/>
        <bgColor rgb="FFF9E0DE"/>
      </patternFill>
    </fill>
    <fill>
      <patternFill patternType="solid">
        <fgColor rgb="FFF2BBB6"/>
        <bgColor rgb="FFF2BBB6"/>
      </patternFill>
    </fill>
    <fill>
      <patternFill patternType="solid">
        <fgColor rgb="FFF6CFCB"/>
        <bgColor rgb="FFF6CFCB"/>
      </patternFill>
    </fill>
    <fill>
      <patternFill patternType="solid">
        <fgColor rgb="FFF4C4C0"/>
        <bgColor rgb="FFF4C4C0"/>
      </patternFill>
    </fill>
    <fill>
      <patternFill patternType="solid">
        <fgColor rgb="FFF5CBC7"/>
        <bgColor rgb="FFF5CBC7"/>
      </patternFill>
    </fill>
    <fill>
      <patternFill patternType="solid">
        <fgColor rgb="FFF8DBD8"/>
        <bgColor rgb="FFF8DBD8"/>
      </patternFill>
    </fill>
    <fill>
      <patternFill patternType="solid">
        <fgColor rgb="FFFBE6E4"/>
        <bgColor rgb="FFFBE6E4"/>
      </patternFill>
    </fill>
    <fill>
      <patternFill patternType="solid">
        <fgColor rgb="FFFBE8E7"/>
        <bgColor rgb="FFFBE8E7"/>
      </patternFill>
    </fill>
    <fill>
      <patternFill patternType="solid">
        <fgColor rgb="FFFBE4E2"/>
        <bgColor rgb="FFFBE4E2"/>
      </patternFill>
    </fill>
    <fill>
      <patternFill patternType="solid">
        <fgColor rgb="FFFCECEA"/>
        <bgColor rgb="FFFCECEA"/>
      </patternFill>
    </fill>
    <fill>
      <patternFill patternType="solid">
        <fgColor rgb="FFFCEBEA"/>
        <bgColor rgb="FFFCEBEA"/>
      </patternFill>
    </fill>
    <fill>
      <patternFill patternType="solid">
        <fgColor rgb="FFFEF7F6"/>
        <bgColor rgb="FFFEF7F6"/>
      </patternFill>
    </fill>
    <fill>
      <patternFill patternType="solid">
        <fgColor rgb="FFFEF5F4"/>
        <bgColor rgb="FFFEF5F4"/>
      </patternFill>
    </fill>
    <fill>
      <patternFill patternType="solid">
        <fgColor rgb="FFF9DDDB"/>
        <bgColor rgb="FFF9DDDB"/>
      </patternFill>
    </fill>
    <fill>
      <patternFill patternType="solid">
        <fgColor rgb="FFF6CAC6"/>
        <bgColor rgb="FFF6CAC6"/>
      </patternFill>
    </fill>
    <fill>
      <patternFill patternType="solid">
        <fgColor rgb="FFED9D96"/>
        <bgColor rgb="FFED9D96"/>
      </patternFill>
    </fill>
    <fill>
      <patternFill patternType="solid">
        <fgColor rgb="FFF7CFCB"/>
        <bgColor rgb="FFF7CFCB"/>
      </patternFill>
    </fill>
    <fill>
      <patternFill patternType="solid">
        <fgColor rgb="FFFCEFED"/>
        <bgColor rgb="FFFCEFED"/>
      </patternFill>
    </fill>
    <fill>
      <patternFill patternType="solid">
        <fgColor rgb="FFFCEDEB"/>
        <bgColor rgb="FFFCEDEB"/>
      </patternFill>
    </fill>
    <fill>
      <patternFill patternType="solid">
        <fgColor rgb="FFFBE7E6"/>
        <bgColor rgb="FFFBE7E6"/>
      </patternFill>
    </fill>
    <fill>
      <patternFill patternType="solid">
        <fgColor rgb="FFFBE7E5"/>
        <bgColor rgb="FFFBE7E5"/>
      </patternFill>
    </fill>
    <fill>
      <patternFill patternType="solid">
        <fgColor rgb="FFFCECEB"/>
        <bgColor rgb="FFFCECEB"/>
      </patternFill>
    </fill>
    <fill>
      <patternFill patternType="solid">
        <fgColor rgb="FFFDF2F1"/>
        <bgColor rgb="FFFDF2F1"/>
      </patternFill>
    </fill>
    <fill>
      <patternFill patternType="solid">
        <fgColor rgb="FFFEF6F6"/>
        <bgColor rgb="FFFEF6F6"/>
      </patternFill>
    </fill>
    <fill>
      <patternFill patternType="solid">
        <fgColor rgb="FFFDF5F4"/>
        <bgColor rgb="FFFDF5F4"/>
      </patternFill>
    </fill>
    <fill>
      <patternFill patternType="solid">
        <fgColor rgb="FFF5C9C5"/>
        <bgColor rgb="FFF5C9C5"/>
      </patternFill>
    </fill>
    <fill>
      <patternFill patternType="solid">
        <fgColor rgb="FFFDF0EE"/>
        <bgColor rgb="FFFDF0EE"/>
      </patternFill>
    </fill>
    <fill>
      <patternFill patternType="solid">
        <fgColor rgb="FFF9DCDA"/>
        <bgColor rgb="FFF9DCDA"/>
      </patternFill>
    </fill>
    <fill>
      <patternFill patternType="solid">
        <fgColor rgb="FFF9DDDA"/>
        <bgColor rgb="FFF9DDDA"/>
      </patternFill>
    </fill>
    <fill>
      <patternFill patternType="solid">
        <fgColor rgb="FFF4C4BF"/>
        <bgColor rgb="FFF4C4BF"/>
      </patternFill>
    </fill>
    <fill>
      <patternFill patternType="solid">
        <fgColor rgb="FFEA9089"/>
        <bgColor rgb="FFEA9089"/>
      </patternFill>
    </fill>
    <fill>
      <patternFill patternType="solid">
        <fgColor rgb="FFF9DAD7"/>
        <bgColor rgb="FFF9DAD7"/>
      </patternFill>
    </fill>
    <fill>
      <patternFill patternType="solid">
        <fgColor rgb="FFFFFAFA"/>
        <bgColor rgb="FFFFFAFA"/>
      </patternFill>
    </fill>
    <fill>
      <patternFill patternType="solid">
        <fgColor rgb="FFF8D5D1"/>
        <bgColor rgb="FFF8D5D1"/>
      </patternFill>
    </fill>
    <fill>
      <patternFill patternType="solid">
        <fgColor rgb="FFF8D9D6"/>
        <bgColor rgb="FFF8D9D6"/>
      </patternFill>
    </fill>
    <fill>
      <patternFill patternType="solid">
        <fgColor rgb="FFFEF9F9"/>
        <bgColor rgb="FFFEF9F9"/>
      </patternFill>
    </fill>
    <fill>
      <patternFill patternType="solid">
        <fgColor rgb="FFFBE9E7"/>
        <bgColor rgb="FFFBE9E7"/>
      </patternFill>
    </fill>
    <fill>
      <patternFill patternType="solid">
        <fgColor rgb="FFFDEFEE"/>
        <bgColor rgb="FFFDEFEE"/>
      </patternFill>
    </fill>
    <fill>
      <patternFill patternType="solid">
        <fgColor rgb="FFFCEEEC"/>
        <bgColor rgb="FFFCEEEC"/>
      </patternFill>
    </fill>
    <fill>
      <patternFill patternType="solid">
        <fgColor rgb="FFF7D2CF"/>
        <bgColor rgb="FFF7D2CF"/>
      </patternFill>
    </fill>
    <fill>
      <patternFill patternType="solid">
        <fgColor rgb="FFF9DBD8"/>
        <bgColor rgb="FFF9DBD8"/>
      </patternFill>
    </fill>
    <fill>
      <patternFill patternType="solid">
        <fgColor rgb="FFFBE6E5"/>
        <bgColor rgb="FFFBE6E5"/>
      </patternFill>
    </fill>
    <fill>
      <patternFill patternType="solid">
        <fgColor rgb="FFF3BBB6"/>
        <bgColor rgb="FFF3BBB6"/>
      </patternFill>
    </fill>
    <fill>
      <patternFill patternType="solid">
        <fgColor rgb="FFF2B8B3"/>
        <bgColor rgb="FFF2B8B3"/>
      </patternFill>
    </fill>
    <fill>
      <patternFill patternType="solid">
        <fgColor rgb="FFEFA9A3"/>
        <bgColor rgb="FFEFA9A3"/>
      </patternFill>
    </fill>
    <fill>
      <patternFill patternType="solid">
        <fgColor rgb="FFF8D5D2"/>
        <bgColor rgb="FFF8D5D2"/>
      </patternFill>
    </fill>
    <fill>
      <patternFill patternType="solid">
        <fgColor rgb="FFF8DAD7"/>
        <bgColor rgb="FFF8DAD7"/>
      </patternFill>
    </fill>
    <fill>
      <patternFill patternType="solid">
        <fgColor rgb="FFFAE1DF"/>
        <bgColor rgb="FFFAE1DF"/>
      </patternFill>
    </fill>
    <fill>
      <patternFill patternType="solid">
        <fgColor rgb="FFFEF7F7"/>
        <bgColor rgb="FFFEF7F7"/>
      </patternFill>
    </fill>
    <fill>
      <patternFill patternType="solid">
        <fgColor rgb="FFFAE3E0"/>
        <bgColor rgb="FFFAE3E0"/>
      </patternFill>
    </fill>
    <fill>
      <patternFill patternType="solid">
        <fgColor rgb="FFFEF8F7"/>
        <bgColor rgb="FFFEF8F7"/>
      </patternFill>
    </fill>
    <fill>
      <patternFill patternType="solid">
        <fgColor rgb="FFFDF1EF"/>
        <bgColor rgb="FFFDF1EF"/>
      </patternFill>
    </fill>
    <fill>
      <patternFill patternType="solid">
        <fgColor rgb="FFF7D3CF"/>
        <bgColor rgb="FFF7D3CF"/>
      </patternFill>
    </fill>
    <fill>
      <patternFill patternType="solid">
        <fgColor rgb="FFF6CECB"/>
        <bgColor rgb="FFF6CECB"/>
      </patternFill>
    </fill>
    <fill>
      <patternFill patternType="solid">
        <fgColor rgb="FFFAE2DF"/>
        <bgColor rgb="FFFAE2DF"/>
      </patternFill>
    </fill>
    <fill>
      <patternFill patternType="solid">
        <fgColor rgb="FFF3BAB5"/>
        <bgColor rgb="FFF3BAB5"/>
      </patternFill>
    </fill>
    <fill>
      <patternFill patternType="solid">
        <fgColor rgb="FFE98981"/>
        <bgColor rgb="FFE98981"/>
      </patternFill>
    </fill>
    <fill>
      <patternFill patternType="solid">
        <fgColor rgb="FFFCEAE8"/>
        <bgColor rgb="FFFCEAE8"/>
      </patternFill>
    </fill>
    <fill>
      <patternFill patternType="solid">
        <fgColor rgb="FFF9DEDB"/>
        <bgColor rgb="FFF9DEDB"/>
      </patternFill>
    </fill>
    <fill>
      <patternFill patternType="solid">
        <fgColor rgb="FFFFFBFA"/>
        <bgColor rgb="FFFFFBFA"/>
      </patternFill>
    </fill>
    <fill>
      <patternFill patternType="solid">
        <fgColor rgb="FFFFFCFC"/>
        <bgColor rgb="FFFFFCFC"/>
      </patternFill>
    </fill>
    <fill>
      <patternFill patternType="solid">
        <fgColor rgb="FFFFFEFE"/>
        <bgColor rgb="FFFFFEFE"/>
      </patternFill>
    </fill>
    <fill>
      <patternFill patternType="solid">
        <fgColor rgb="FFFAE0DD"/>
        <bgColor rgb="FFFAE0DD"/>
      </patternFill>
    </fill>
    <fill>
      <patternFill patternType="solid">
        <fgColor rgb="FFFBEAE8"/>
        <bgColor rgb="FFFBEAE8"/>
      </patternFill>
    </fill>
    <fill>
      <patternFill patternType="solid">
        <fgColor rgb="FFED9B94"/>
        <bgColor rgb="FFED9B94"/>
      </patternFill>
    </fill>
    <fill>
      <patternFill patternType="solid">
        <fgColor rgb="FFFFFDFD"/>
        <bgColor rgb="FFFFFDFD"/>
      </patternFill>
    </fill>
  </fills>
  <borders count="16">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border>
    <border>
      <right style="thick">
        <color rgb="FF000000"/>
      </right>
    </border>
    <border>
      <bottom style="double">
        <color rgb="FF000000"/>
      </bottom>
    </border>
    <border>
      <top style="double">
        <color rgb="FF000000"/>
      </top>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0" xfId="0" applyAlignment="1" applyFont="1">
      <alignment readingOrder="0"/>
    </xf>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horizontal="center" readingOrder="0"/>
    </xf>
    <xf borderId="5" fillId="0" fontId="2" numFmtId="0" xfId="0" applyBorder="1" applyFont="1"/>
    <xf borderId="5" fillId="0" fontId="2" numFmtId="9" xfId="0" applyBorder="1" applyFont="1" applyNumberFormat="1"/>
    <xf borderId="5" fillId="0" fontId="2" numFmtId="4" xfId="0" applyBorder="1" applyFont="1" applyNumberFormat="1"/>
    <xf borderId="6" fillId="0" fontId="2" numFmtId="0" xfId="0" applyAlignment="1" applyBorder="1" applyFont="1">
      <alignment readingOrder="0"/>
    </xf>
    <xf borderId="7" fillId="0" fontId="6" numFmtId="0" xfId="0" applyAlignment="1" applyBorder="1" applyFont="1">
      <alignment horizontal="right"/>
    </xf>
    <xf borderId="8" fillId="0" fontId="2" numFmtId="0" xfId="0" applyAlignment="1" applyBorder="1" applyFont="1">
      <alignment readingOrder="0"/>
    </xf>
    <xf borderId="9" fillId="0" fontId="7" numFmtId="0" xfId="0" applyAlignment="1" applyBorder="1" applyFont="1">
      <alignment horizontal="right"/>
    </xf>
    <xf borderId="10" fillId="0" fontId="2" numFmtId="0" xfId="0" applyAlignment="1" applyBorder="1" applyFont="1">
      <alignment horizontal="center" readingOrder="0"/>
    </xf>
    <xf borderId="10" fillId="0" fontId="2" numFmtId="0" xfId="0" applyBorder="1" applyFont="1"/>
    <xf borderId="10" fillId="0" fontId="2" numFmtId="9" xfId="0" applyBorder="1" applyFont="1" applyNumberFormat="1"/>
    <xf borderId="10" fillId="0" fontId="2" numFmtId="4" xfId="0" applyBorder="1" applyFont="1" applyNumberFormat="1"/>
    <xf borderId="11" fillId="0" fontId="2" numFmtId="0" xfId="0" applyAlignment="1" applyBorder="1" applyFont="1">
      <alignment readingOrder="0"/>
    </xf>
    <xf borderId="7" fillId="0" fontId="2" numFmtId="0" xfId="0" applyAlignment="1" applyBorder="1" applyFont="1">
      <alignment horizontal="center" readingOrder="0"/>
    </xf>
    <xf borderId="6" fillId="0" fontId="8" numFmtId="0" xfId="0" applyAlignment="1" applyBorder="1" applyFont="1">
      <alignment horizontal="center" vertical="bottom"/>
    </xf>
    <xf borderId="8" fillId="0" fontId="8" numFmtId="0" xfId="0" applyAlignment="1" applyBorder="1" applyFont="1">
      <alignment horizontal="center" vertical="bottom"/>
    </xf>
    <xf borderId="11" fillId="0" fontId="8" numFmtId="0" xfId="0" applyAlignment="1" applyBorder="1" applyFont="1">
      <alignment horizontal="center" vertical="bottom"/>
    </xf>
    <xf borderId="4" fillId="0" fontId="2" numFmtId="0" xfId="0" applyBorder="1" applyFont="1"/>
    <xf borderId="5" fillId="0" fontId="2" numFmtId="0" xfId="0" applyAlignment="1" applyBorder="1" applyFont="1">
      <alignment horizontal="center" readingOrder="0" vertical="top"/>
    </xf>
    <xf borderId="5" fillId="0" fontId="2" numFmtId="2" xfId="0" applyBorder="1" applyFont="1" applyNumberFormat="1"/>
    <xf borderId="7" fillId="0" fontId="2" numFmtId="0" xfId="0" applyBorder="1" applyFont="1"/>
    <xf borderId="9" fillId="0" fontId="2" numFmtId="0" xfId="0" applyBorder="1" applyFont="1"/>
    <xf borderId="10" fillId="0" fontId="2" numFmtId="0" xfId="0" applyAlignment="1" applyBorder="1" applyFont="1">
      <alignment horizontal="center" readingOrder="0" vertical="top"/>
    </xf>
    <xf borderId="10"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6" fillId="0" fontId="2" numFmtId="2" xfId="0" applyBorder="1" applyFont="1" applyNumberFormat="1"/>
    <xf borderId="8" fillId="0" fontId="2" numFmtId="2" xfId="0" applyBorder="1" applyFont="1" applyNumberFormat="1"/>
    <xf borderId="11" fillId="0" fontId="2" numFmtId="2" xfId="0" applyBorder="1" applyFont="1" applyNumberFormat="1"/>
    <xf borderId="0" fillId="0" fontId="9" numFmtId="0" xfId="0" applyFont="1"/>
    <xf borderId="0" fillId="0" fontId="10" numFmtId="0" xfId="0" applyAlignment="1" applyFont="1">
      <alignment horizontal="center" readingOrder="0" shrinkToFit="0" vertical="top" wrapText="1"/>
    </xf>
    <xf borderId="0" fillId="0" fontId="11" numFmtId="0" xfId="0" applyAlignment="1" applyFont="1">
      <alignment horizontal="center" shrinkToFit="0" vertical="top" wrapText="1"/>
    </xf>
    <xf borderId="0" fillId="0" fontId="1" numFmtId="0" xfId="0" applyAlignment="1" applyFont="1">
      <alignment horizontal="center" vertical="top"/>
    </xf>
    <xf borderId="0" fillId="0" fontId="12"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3" numFmtId="0" xfId="0" applyAlignment="1" applyFont="1">
      <alignment readingOrder="0" shrinkToFit="0" vertical="top" wrapText="1"/>
    </xf>
    <xf borderId="0" fillId="3" fontId="8" numFmtId="9" xfId="0" applyAlignment="1" applyFill="1" applyFont="1" applyNumberFormat="1">
      <alignment horizontal="right" vertical="top"/>
    </xf>
    <xf borderId="0" fillId="0" fontId="2" numFmtId="0" xfId="0" applyAlignment="1" applyFont="1">
      <alignment vertical="top"/>
    </xf>
    <xf borderId="0" fillId="4" fontId="8" numFmtId="9" xfId="0" applyAlignment="1" applyFill="1" applyFont="1" applyNumberFormat="1">
      <alignment horizontal="right" vertical="top"/>
    </xf>
    <xf borderId="0" fillId="0" fontId="2" numFmtId="0" xfId="0" applyAlignment="1" applyFont="1">
      <alignment horizontal="center" vertical="top"/>
    </xf>
    <xf borderId="0" fillId="0" fontId="13" numFmtId="0" xfId="0" applyAlignment="1" applyFont="1">
      <alignment shrinkToFit="0" vertical="top" wrapText="1"/>
    </xf>
    <xf borderId="14" fillId="0" fontId="8" numFmtId="0" xfId="0" applyAlignment="1" applyBorder="1" applyFont="1">
      <alignment vertical="top"/>
    </xf>
    <xf borderId="15" fillId="0" fontId="14" numFmtId="0" xfId="0" applyAlignment="1" applyBorder="1" applyFont="1">
      <alignment horizontal="center" readingOrder="0" textRotation="90" vertical="center"/>
    </xf>
    <xf borderId="15" fillId="0" fontId="2" numFmtId="0" xfId="0" applyAlignment="1" applyBorder="1" applyFont="1">
      <alignment readingOrder="0" shrinkToFit="0" vertical="top" wrapText="1"/>
    </xf>
    <xf borderId="15" fillId="0" fontId="2" numFmtId="0" xfId="0" applyAlignment="1" applyBorder="1" applyFont="1">
      <alignment horizontal="center" readingOrder="0" vertical="top"/>
    </xf>
    <xf borderId="15" fillId="0" fontId="13" numFmtId="0" xfId="0" applyAlignment="1" applyBorder="1" applyFont="1">
      <alignment readingOrder="0" shrinkToFit="0" vertical="top" wrapText="1"/>
    </xf>
    <xf borderId="0" fillId="5" fontId="8" numFmtId="9" xfId="0" applyAlignment="1" applyFill="1" applyFont="1" applyNumberFormat="1">
      <alignment horizontal="right" vertical="top"/>
    </xf>
    <xf borderId="15" fillId="0" fontId="2" numFmtId="0" xfId="0" applyAlignment="1" applyBorder="1" applyFont="1">
      <alignment vertical="top"/>
    </xf>
    <xf borderId="0" fillId="0" fontId="13" numFmtId="0" xfId="0" applyAlignment="1" applyFont="1">
      <alignment readingOrder="0" shrinkToFit="0" vertical="top" wrapText="1"/>
    </xf>
    <xf borderId="0" fillId="6" fontId="8" numFmtId="9" xfId="0" applyAlignment="1" applyFill="1" applyFont="1" applyNumberFormat="1">
      <alignment horizontal="right" vertical="top"/>
    </xf>
    <xf borderId="0" fillId="7" fontId="8" numFmtId="9" xfId="0" applyAlignment="1" applyFill="1" applyFont="1" applyNumberFormat="1">
      <alignment horizontal="right" vertical="top"/>
    </xf>
    <xf borderId="0" fillId="8" fontId="8" numFmtId="9" xfId="0" applyAlignment="1" applyFill="1" applyFont="1" applyNumberFormat="1">
      <alignment horizontal="right" vertical="top"/>
    </xf>
    <xf borderId="0" fillId="9" fontId="8" numFmtId="9" xfId="0" applyAlignment="1" applyFill="1" applyFont="1" applyNumberFormat="1">
      <alignment horizontal="right" vertical="top"/>
    </xf>
    <xf borderId="0" fillId="10" fontId="8" numFmtId="9" xfId="0" applyAlignment="1" applyFill="1" applyFont="1" applyNumberFormat="1">
      <alignment horizontal="right" vertical="top"/>
    </xf>
    <xf borderId="0" fillId="11" fontId="8" numFmtId="9" xfId="0" applyAlignment="1" applyFill="1" applyFont="1" applyNumberFormat="1">
      <alignment horizontal="right" vertical="top"/>
    </xf>
    <xf borderId="0" fillId="12" fontId="8" numFmtId="9" xfId="0" applyAlignment="1" applyFill="1" applyFont="1" applyNumberFormat="1">
      <alignment horizontal="right" vertical="top"/>
    </xf>
    <xf borderId="0" fillId="13" fontId="8" numFmtId="9" xfId="0" applyAlignment="1" applyFill="1" applyFont="1" applyNumberFormat="1">
      <alignment horizontal="right" vertical="top"/>
    </xf>
    <xf borderId="0" fillId="14" fontId="8" numFmtId="9" xfId="0" applyAlignment="1" applyFill="1" applyFont="1" applyNumberFormat="1">
      <alignment horizontal="right" vertical="top"/>
    </xf>
    <xf borderId="0" fillId="15" fontId="8" numFmtId="9" xfId="0" applyAlignment="1" applyFill="1" applyFont="1" applyNumberFormat="1">
      <alignment horizontal="right" vertical="top"/>
    </xf>
    <xf borderId="0" fillId="16" fontId="8" numFmtId="9" xfId="0" applyAlignment="1" applyFill="1" applyFont="1" applyNumberFormat="1">
      <alignment horizontal="right" vertical="top"/>
    </xf>
    <xf borderId="0" fillId="0" fontId="8" numFmtId="0" xfId="0" applyAlignment="1" applyFont="1">
      <alignment vertical="top"/>
    </xf>
    <xf borderId="0" fillId="17" fontId="8" numFmtId="9" xfId="0" applyAlignment="1" applyFill="1" applyFont="1" applyNumberFormat="1">
      <alignment horizontal="right" vertical="top"/>
    </xf>
    <xf borderId="0" fillId="18" fontId="8" numFmtId="9" xfId="0" applyAlignment="1" applyFill="1" applyFont="1" applyNumberFormat="1">
      <alignment horizontal="right" vertical="top"/>
    </xf>
    <xf borderId="0" fillId="0" fontId="1" numFmtId="0" xfId="0" applyAlignment="1" applyFont="1">
      <alignment horizontal="center" readingOrder="0" shrinkToFit="0" textRotation="90" vertical="center" wrapText="1"/>
    </xf>
    <xf borderId="0" fillId="19" fontId="8" numFmtId="9" xfId="0" applyAlignment="1" applyFill="1" applyFont="1" applyNumberFormat="1">
      <alignment horizontal="right" vertical="top"/>
    </xf>
    <xf borderId="0" fillId="20" fontId="8" numFmtId="9" xfId="0" applyAlignment="1" applyFill="1" applyFont="1" applyNumberFormat="1">
      <alignment horizontal="right" vertical="top"/>
    </xf>
    <xf borderId="0" fillId="0" fontId="15" numFmtId="0" xfId="0" applyAlignment="1" applyFont="1">
      <alignment readingOrder="0"/>
    </xf>
    <xf borderId="0" fillId="21" fontId="8" numFmtId="9" xfId="0" applyAlignment="1" applyFill="1" applyFont="1" applyNumberFormat="1">
      <alignment horizontal="right" vertical="top"/>
    </xf>
    <xf borderId="0" fillId="0" fontId="1" numFmtId="0" xfId="0" applyAlignment="1" applyFont="1">
      <alignment horizontal="center" readingOrder="0" textRotation="90" vertical="center"/>
    </xf>
    <xf borderId="0" fillId="22" fontId="8" numFmtId="9" xfId="0" applyAlignment="1" applyFill="1" applyFont="1" applyNumberFormat="1">
      <alignment horizontal="right" vertical="top"/>
    </xf>
    <xf borderId="0" fillId="23" fontId="8" numFmtId="9" xfId="0" applyAlignment="1" applyFill="1" applyFont="1" applyNumberFormat="1">
      <alignment horizontal="right" vertical="top"/>
    </xf>
    <xf borderId="0" fillId="24" fontId="8" numFmtId="9" xfId="0" applyAlignment="1" applyFill="1" applyFont="1" applyNumberFormat="1">
      <alignment horizontal="right" vertical="top"/>
    </xf>
    <xf borderId="0" fillId="25" fontId="8" numFmtId="9" xfId="0" applyAlignment="1" applyFill="1" applyFont="1" applyNumberFormat="1">
      <alignment horizontal="right" vertical="top"/>
    </xf>
    <xf borderId="0" fillId="26" fontId="8" numFmtId="9" xfId="0" applyAlignment="1" applyFill="1" applyFont="1" applyNumberFormat="1">
      <alignment horizontal="right" vertical="top"/>
    </xf>
    <xf borderId="0" fillId="27" fontId="8" numFmtId="9" xfId="0" applyAlignment="1" applyFill="1" applyFont="1" applyNumberFormat="1">
      <alignment horizontal="right" vertical="top"/>
    </xf>
    <xf borderId="0" fillId="28" fontId="8" numFmtId="9" xfId="0" applyAlignment="1" applyFill="1" applyFont="1" applyNumberFormat="1">
      <alignment horizontal="right" vertical="top"/>
    </xf>
    <xf borderId="0" fillId="29" fontId="8" numFmtId="9" xfId="0" applyAlignment="1" applyFill="1" applyFont="1" applyNumberFormat="1">
      <alignment horizontal="right" vertical="top"/>
    </xf>
    <xf borderId="0" fillId="30" fontId="8" numFmtId="9" xfId="0" applyAlignment="1" applyFill="1" applyFont="1" applyNumberFormat="1">
      <alignment horizontal="right" vertical="top"/>
    </xf>
    <xf borderId="0" fillId="31" fontId="8" numFmtId="9" xfId="0" applyAlignment="1" applyFill="1" applyFont="1" applyNumberFormat="1">
      <alignment horizontal="right" vertical="top"/>
    </xf>
    <xf borderId="0" fillId="32" fontId="8" numFmtId="9" xfId="0" applyAlignment="1" applyFill="1" applyFont="1" applyNumberFormat="1">
      <alignment horizontal="right" vertical="top"/>
    </xf>
    <xf borderId="0" fillId="33" fontId="8" numFmtId="9" xfId="0" applyAlignment="1" applyFill="1" applyFont="1" applyNumberFormat="1">
      <alignment horizontal="right" vertical="top"/>
    </xf>
    <xf borderId="0" fillId="34" fontId="8" numFmtId="9" xfId="0" applyAlignment="1" applyFill="1" applyFont="1" applyNumberFormat="1">
      <alignment horizontal="right" vertical="top"/>
    </xf>
    <xf borderId="0" fillId="35" fontId="8" numFmtId="9" xfId="0" applyAlignment="1" applyFill="1" applyFont="1" applyNumberFormat="1">
      <alignment horizontal="right" vertical="top"/>
    </xf>
    <xf borderId="0" fillId="36" fontId="8" numFmtId="9" xfId="0" applyAlignment="1" applyFill="1" applyFont="1" applyNumberFormat="1">
      <alignment horizontal="right" vertical="top"/>
    </xf>
    <xf borderId="0" fillId="0" fontId="13" numFmtId="0" xfId="0" applyAlignment="1" applyFont="1">
      <alignment horizontal="left" readingOrder="0" shrinkToFit="0" vertical="top" wrapText="1"/>
    </xf>
    <xf borderId="0" fillId="37" fontId="8" numFmtId="9" xfId="0" applyAlignment="1" applyFill="1" applyFont="1" applyNumberFormat="1">
      <alignment horizontal="right" vertical="top"/>
    </xf>
    <xf borderId="0" fillId="38" fontId="8" numFmtId="9" xfId="0" applyAlignment="1" applyFill="1" applyFont="1" applyNumberFormat="1">
      <alignment horizontal="right" vertical="top"/>
    </xf>
    <xf borderId="0" fillId="39" fontId="8" numFmtId="9" xfId="0" applyAlignment="1" applyFill="1" applyFont="1" applyNumberFormat="1">
      <alignment horizontal="right" vertical="top"/>
    </xf>
    <xf borderId="0" fillId="40" fontId="13" numFmtId="0" xfId="0" applyAlignment="1" applyFill="1" applyFont="1">
      <alignment readingOrder="0" shrinkToFit="0" vertical="top" wrapText="1"/>
    </xf>
    <xf borderId="0" fillId="41" fontId="8" numFmtId="9" xfId="0" applyAlignment="1" applyFill="1" applyFont="1" applyNumberFormat="1">
      <alignment horizontal="right" vertical="top"/>
    </xf>
    <xf borderId="0" fillId="42" fontId="8" numFmtId="9" xfId="0" applyAlignment="1" applyFill="1" applyFont="1" applyNumberFormat="1">
      <alignment horizontal="right" vertical="top"/>
    </xf>
    <xf borderId="0" fillId="43" fontId="8" numFmtId="9" xfId="0" applyAlignment="1" applyFill="1" applyFont="1" applyNumberFormat="1">
      <alignment horizontal="right" vertical="top"/>
    </xf>
    <xf borderId="0" fillId="44" fontId="8" numFmtId="9" xfId="0" applyAlignment="1" applyFill="1" applyFont="1" applyNumberFormat="1">
      <alignment horizontal="right" vertical="top"/>
    </xf>
    <xf borderId="0" fillId="45" fontId="8" numFmtId="9" xfId="0" applyAlignment="1" applyFill="1" applyFont="1" applyNumberFormat="1">
      <alignment horizontal="right" vertical="top"/>
    </xf>
    <xf borderId="0" fillId="46" fontId="8" numFmtId="9" xfId="0" applyAlignment="1" applyFill="1" applyFont="1" applyNumberFormat="1">
      <alignment horizontal="right" vertical="top"/>
    </xf>
    <xf borderId="0" fillId="47" fontId="8" numFmtId="9" xfId="0" applyAlignment="1" applyFill="1" applyFont="1" applyNumberFormat="1">
      <alignment horizontal="right" vertical="top"/>
    </xf>
    <xf borderId="0" fillId="48" fontId="8" numFmtId="9" xfId="0" applyAlignment="1" applyFill="1" applyFont="1" applyNumberFormat="1">
      <alignment horizontal="right" vertical="top"/>
    </xf>
    <xf borderId="0" fillId="49" fontId="8" numFmtId="9" xfId="0" applyAlignment="1" applyFill="1" applyFont="1" applyNumberFormat="1">
      <alignment horizontal="right" vertical="top"/>
    </xf>
    <xf borderId="0" fillId="0" fontId="16" numFmtId="0" xfId="0" applyAlignment="1" applyFont="1">
      <alignment horizontal="center" readingOrder="0" vertical="top"/>
    </xf>
    <xf borderId="0" fillId="0" fontId="17" numFmtId="0" xfId="0" applyAlignment="1" applyFont="1">
      <alignment horizontal="center" vertical="bottom"/>
    </xf>
    <xf borderId="0" fillId="0" fontId="17" numFmtId="0" xfId="0" applyAlignment="1" applyFont="1">
      <alignment horizontal="center" vertical="top"/>
    </xf>
    <xf borderId="0" fillId="0" fontId="18" numFmtId="0" xfId="0" applyAlignment="1" applyFont="1">
      <alignment horizontal="right" vertical="bottom"/>
    </xf>
    <xf borderId="0" fillId="0" fontId="8" numFmtId="0" xfId="0" applyAlignment="1" applyFont="1">
      <alignment horizontal="center" vertical="bottom"/>
    </xf>
    <xf borderId="0" fillId="0" fontId="8" numFmtId="0" xfId="0" applyAlignment="1" applyFont="1">
      <alignment horizontal="center" vertical="top"/>
    </xf>
    <xf borderId="0" fillId="50" fontId="8" numFmtId="9" xfId="0" applyAlignment="1" applyFill="1" applyFont="1" applyNumberFormat="1">
      <alignment horizontal="center" vertical="bottom"/>
    </xf>
    <xf borderId="0" fillId="0" fontId="19" numFmtId="0" xfId="0" applyAlignment="1" applyFont="1">
      <alignment horizontal="center" readingOrder="0"/>
    </xf>
    <xf borderId="0" fillId="51" fontId="8" numFmtId="9" xfId="0" applyAlignment="1" applyFill="1" applyFont="1" applyNumberFormat="1">
      <alignment horizontal="center" vertical="bottom"/>
    </xf>
    <xf borderId="0" fillId="52" fontId="8" numFmtId="9" xfId="0" applyAlignment="1" applyFill="1" applyFont="1" applyNumberFormat="1">
      <alignment horizontal="center" vertical="bottom"/>
    </xf>
    <xf borderId="0" fillId="53" fontId="8" numFmtId="9" xfId="0" applyAlignment="1" applyFill="1" applyFont="1" applyNumberFormat="1">
      <alignment horizontal="center" vertical="bottom"/>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vertical="top"/>
    </xf>
    <xf borderId="0" fillId="54" fontId="8" numFmtId="9" xfId="0" applyAlignment="1" applyFill="1" applyFont="1" applyNumberFormat="1">
      <alignment horizontal="center" vertical="bottom"/>
    </xf>
    <xf borderId="0" fillId="23" fontId="8" numFmtId="9" xfId="0" applyAlignment="1" applyFont="1" applyNumberFormat="1">
      <alignment horizontal="center" vertical="bottom"/>
    </xf>
    <xf borderId="0" fillId="7" fontId="8" numFmtId="9" xfId="0" applyAlignment="1" applyFont="1" applyNumberFormat="1">
      <alignment horizontal="center" vertical="bottom"/>
    </xf>
    <xf borderId="0" fillId="24" fontId="8" numFmtId="9" xfId="0" applyAlignment="1" applyFont="1" applyNumberFormat="1">
      <alignment horizontal="center" vertical="bottom"/>
    </xf>
    <xf borderId="0" fillId="41" fontId="8" numFmtId="9" xfId="0" applyAlignment="1" applyFont="1" applyNumberFormat="1">
      <alignment horizontal="center" vertical="bottom"/>
    </xf>
    <xf borderId="0" fillId="13" fontId="8" numFmtId="9" xfId="0" applyAlignment="1" applyFont="1" applyNumberFormat="1">
      <alignment horizontal="center" vertical="bottom"/>
    </xf>
    <xf borderId="0" fillId="15" fontId="8" numFmtId="9" xfId="0" applyAlignment="1" applyFont="1" applyNumberFormat="1">
      <alignment horizontal="center" vertical="bottom"/>
    </xf>
    <xf borderId="0" fillId="39" fontId="8" numFmtId="9" xfId="0" applyAlignment="1" applyFont="1" applyNumberFormat="1">
      <alignment horizontal="center" vertical="bottom"/>
    </xf>
    <xf borderId="0" fillId="55" fontId="8" numFmtId="9" xfId="0" applyAlignment="1" applyFill="1" applyFont="1" applyNumberFormat="1">
      <alignment horizontal="center" vertical="bottom"/>
    </xf>
    <xf borderId="0" fillId="56" fontId="8" numFmtId="9" xfId="0" applyAlignment="1" applyFill="1" applyFont="1" applyNumberFormat="1">
      <alignment horizontal="center" vertical="bottom"/>
    </xf>
    <xf borderId="0" fillId="57" fontId="8" numFmtId="9" xfId="0" applyAlignment="1" applyFill="1" applyFont="1" applyNumberFormat="1">
      <alignment horizontal="center" vertical="bottom"/>
    </xf>
    <xf borderId="0" fillId="58" fontId="8" numFmtId="9" xfId="0" applyAlignment="1" applyFill="1" applyFont="1" applyNumberFormat="1">
      <alignment horizontal="center" vertical="bottom"/>
    </xf>
    <xf borderId="0" fillId="17" fontId="8" numFmtId="9" xfId="0" applyAlignment="1" applyFont="1" applyNumberFormat="1">
      <alignment horizontal="center" vertical="bottom"/>
    </xf>
    <xf borderId="0" fillId="59" fontId="8" numFmtId="9" xfId="0" applyAlignment="1" applyFill="1" applyFont="1" applyNumberFormat="1">
      <alignment horizontal="center" vertical="bottom"/>
    </xf>
    <xf borderId="0" fillId="60" fontId="8" numFmtId="9" xfId="0" applyAlignment="1" applyFill="1" applyFont="1" applyNumberFormat="1">
      <alignment horizontal="center" vertical="bottom"/>
    </xf>
    <xf borderId="0" fillId="14" fontId="8" numFmtId="9" xfId="0" applyAlignment="1" applyFont="1" applyNumberFormat="1">
      <alignment horizontal="center" vertical="bottom"/>
    </xf>
    <xf borderId="0" fillId="61" fontId="8" numFmtId="9" xfId="0" applyAlignment="1" applyFill="1" applyFont="1" applyNumberFormat="1">
      <alignment horizontal="center" vertical="bottom"/>
    </xf>
    <xf borderId="0" fillId="11" fontId="8" numFmtId="9" xfId="0" applyAlignment="1" applyFont="1" applyNumberFormat="1">
      <alignment horizontal="center" vertical="bottom"/>
    </xf>
    <xf borderId="0" fillId="62" fontId="8" numFmtId="9" xfId="0" applyAlignment="1" applyFill="1" applyFont="1" applyNumberFormat="1">
      <alignment horizontal="center" vertical="bottom"/>
    </xf>
    <xf borderId="0" fillId="63" fontId="8" numFmtId="9" xfId="0" applyAlignment="1" applyFill="1" applyFont="1" applyNumberFormat="1">
      <alignment horizontal="center" vertical="bottom"/>
    </xf>
    <xf borderId="0" fillId="64" fontId="8" numFmtId="9" xfId="0" applyAlignment="1" applyFill="1" applyFont="1" applyNumberFormat="1">
      <alignment horizontal="center" vertical="bottom"/>
    </xf>
    <xf borderId="0" fillId="65" fontId="8" numFmtId="9" xfId="0" applyAlignment="1" applyFill="1" applyFont="1" applyNumberFormat="1">
      <alignment horizontal="center" vertical="bottom"/>
    </xf>
    <xf borderId="0" fillId="66" fontId="8" numFmtId="9" xfId="0" applyAlignment="1" applyFill="1" applyFont="1" applyNumberFormat="1">
      <alignment horizontal="center" vertical="bottom"/>
    </xf>
    <xf borderId="0" fillId="67" fontId="8" numFmtId="9" xfId="0" applyAlignment="1" applyFill="1" applyFont="1" applyNumberFormat="1">
      <alignment horizontal="center" vertical="bottom"/>
    </xf>
    <xf borderId="0" fillId="68" fontId="8" numFmtId="9" xfId="0" applyAlignment="1" applyFill="1" applyFont="1" applyNumberFormat="1">
      <alignment horizontal="center" vertical="bottom"/>
    </xf>
    <xf borderId="0" fillId="18" fontId="8" numFmtId="9" xfId="0" applyAlignment="1" applyFont="1" applyNumberFormat="1">
      <alignment horizontal="center" vertical="bottom"/>
    </xf>
    <xf borderId="0" fillId="42" fontId="8" numFmtId="9" xfId="0" applyAlignment="1" applyFont="1" applyNumberFormat="1">
      <alignment horizontal="center" vertical="bottom"/>
    </xf>
    <xf borderId="0" fillId="9" fontId="8" numFmtId="9" xfId="0" applyAlignment="1" applyFont="1" applyNumberFormat="1">
      <alignment horizontal="center" vertical="bottom"/>
    </xf>
    <xf borderId="0" fillId="69" fontId="8" numFmtId="9" xfId="0" applyAlignment="1" applyFill="1" applyFont="1" applyNumberFormat="1">
      <alignment horizontal="center" vertical="bottom"/>
    </xf>
    <xf borderId="0" fillId="8" fontId="8" numFmtId="9" xfId="0" applyAlignment="1" applyFont="1" applyNumberFormat="1">
      <alignment horizontal="center" vertical="bottom"/>
    </xf>
    <xf borderId="0" fillId="70" fontId="8" numFmtId="9" xfId="0" applyAlignment="1" applyFill="1" applyFont="1" applyNumberFormat="1">
      <alignment horizontal="center" vertical="bottom"/>
    </xf>
    <xf borderId="0" fillId="71" fontId="8" numFmtId="9" xfId="0" applyAlignment="1" applyFill="1" applyFont="1" applyNumberFormat="1">
      <alignment horizontal="center" vertical="bottom"/>
    </xf>
    <xf borderId="0" fillId="72" fontId="8" numFmtId="9" xfId="0" applyAlignment="1" applyFill="1" applyFont="1" applyNumberFormat="1">
      <alignment horizontal="center" vertical="bottom"/>
    </xf>
    <xf borderId="0" fillId="28" fontId="8" numFmtId="9" xfId="0" applyAlignment="1" applyFont="1" applyNumberFormat="1">
      <alignment horizontal="center" vertical="bottom"/>
    </xf>
    <xf borderId="0" fillId="27" fontId="8" numFmtId="9" xfId="0" applyAlignment="1" applyFont="1" applyNumberFormat="1">
      <alignment horizontal="center" vertical="bottom"/>
    </xf>
    <xf borderId="0" fillId="73" fontId="8" numFmtId="9" xfId="0" applyAlignment="1" applyFill="1" applyFont="1" applyNumberFormat="1">
      <alignment horizontal="center" vertical="bottom"/>
    </xf>
    <xf borderId="0" fillId="74" fontId="8" numFmtId="9" xfId="0" applyAlignment="1" applyFill="1" applyFont="1" applyNumberFormat="1">
      <alignment horizontal="center" vertical="bottom"/>
    </xf>
    <xf borderId="0" fillId="75" fontId="8" numFmtId="9" xfId="0" applyAlignment="1" applyFill="1" applyFont="1" applyNumberFormat="1">
      <alignment horizontal="center" vertical="bottom"/>
    </xf>
    <xf borderId="0" fillId="76" fontId="8" numFmtId="9" xfId="0" applyAlignment="1" applyFill="1" applyFont="1" applyNumberFormat="1">
      <alignment horizontal="center" vertical="bottom"/>
    </xf>
    <xf borderId="0" fillId="77" fontId="8" numFmtId="9" xfId="0" applyAlignment="1" applyFill="1" applyFont="1" applyNumberFormat="1">
      <alignment horizontal="center" vertical="bottom"/>
    </xf>
    <xf borderId="0" fillId="22" fontId="8" numFmtId="9" xfId="0" applyAlignment="1" applyFont="1" applyNumberFormat="1">
      <alignment horizontal="center" vertical="bottom"/>
    </xf>
    <xf borderId="0" fillId="78" fontId="8" numFmtId="9" xfId="0" applyAlignment="1" applyFill="1" applyFont="1" applyNumberFormat="1">
      <alignment horizontal="center" vertical="bottom"/>
    </xf>
    <xf borderId="0" fillId="16" fontId="8" numFmtId="9" xfId="0" applyAlignment="1" applyFont="1" applyNumberFormat="1">
      <alignment horizontal="center" vertical="bottom"/>
    </xf>
    <xf borderId="0" fillId="79" fontId="8" numFmtId="9" xfId="0" applyAlignment="1" applyFill="1" applyFont="1" applyNumberFormat="1">
      <alignment horizontal="center" vertical="bottom"/>
    </xf>
    <xf borderId="0" fillId="80" fontId="8" numFmtId="9" xfId="0" applyAlignment="1" applyFill="1" applyFont="1" applyNumberFormat="1">
      <alignment horizontal="center" vertical="bottom"/>
    </xf>
    <xf borderId="0" fillId="81" fontId="8" numFmtId="9" xfId="0" applyAlignment="1" applyFill="1" applyFont="1" applyNumberFormat="1">
      <alignment horizontal="center" vertical="bottom"/>
    </xf>
    <xf borderId="0" fillId="43" fontId="8" numFmtId="9" xfId="0" applyAlignment="1" applyFont="1" applyNumberFormat="1">
      <alignment horizontal="center" vertical="bottom"/>
    </xf>
    <xf borderId="0" fillId="82" fontId="8" numFmtId="9" xfId="0" applyAlignment="1" applyFill="1" applyFont="1" applyNumberFormat="1">
      <alignment horizontal="center" vertical="bottom"/>
    </xf>
    <xf borderId="0" fillId="20" fontId="8" numFmtId="9" xfId="0" applyAlignment="1" applyFont="1" applyNumberFormat="1">
      <alignment horizontal="center" vertical="bottom"/>
    </xf>
    <xf borderId="0" fillId="83" fontId="8" numFmtId="9" xfId="0" applyAlignment="1" applyFill="1" applyFont="1" applyNumberFormat="1">
      <alignment horizontal="center" vertical="bottom"/>
    </xf>
    <xf borderId="0" fillId="84" fontId="8" numFmtId="9" xfId="0" applyAlignment="1" applyFill="1" applyFont="1" applyNumberFormat="1">
      <alignment horizontal="center" vertical="bottom"/>
    </xf>
    <xf borderId="0" fillId="85" fontId="8" numFmtId="9" xfId="0" applyAlignment="1" applyFill="1" applyFont="1" applyNumberFormat="1">
      <alignment horizontal="center" vertical="bottom"/>
    </xf>
    <xf borderId="0" fillId="86" fontId="8" numFmtId="9" xfId="0" applyAlignment="1" applyFill="1" applyFont="1" applyNumberFormat="1">
      <alignment horizontal="center" vertical="bottom"/>
    </xf>
    <xf borderId="0" fillId="87" fontId="8" numFmtId="9" xfId="0" applyAlignment="1" applyFill="1" applyFont="1" applyNumberFormat="1">
      <alignment horizontal="center" vertical="bottom"/>
    </xf>
    <xf borderId="0" fillId="88" fontId="8" numFmtId="9" xfId="0" applyAlignment="1" applyFill="1" applyFont="1" applyNumberFormat="1">
      <alignment horizontal="center" vertical="bottom"/>
    </xf>
    <xf borderId="0" fillId="89" fontId="8" numFmtId="9" xfId="0" applyAlignment="1" applyFill="1" applyFont="1" applyNumberFormat="1">
      <alignment horizontal="center" vertical="bottom"/>
    </xf>
    <xf borderId="0" fillId="30" fontId="8" numFmtId="9" xfId="0" applyAlignment="1" applyFont="1" applyNumberFormat="1">
      <alignment horizontal="center" vertical="bottom"/>
    </xf>
    <xf borderId="0" fillId="90" fontId="8" numFmtId="9" xfId="0" applyAlignment="1" applyFill="1" applyFont="1" applyNumberFormat="1">
      <alignment horizontal="center" vertical="bottom"/>
    </xf>
    <xf borderId="0" fillId="91" fontId="8" numFmtId="9" xfId="0" applyAlignment="1" applyFill="1" applyFont="1" applyNumberFormat="1">
      <alignment horizontal="center" vertical="bottom"/>
    </xf>
    <xf borderId="0" fillId="92" fontId="8" numFmtId="9" xfId="0" applyAlignment="1" applyFill="1" applyFont="1" applyNumberFormat="1">
      <alignment horizontal="center" vertical="bottom"/>
    </xf>
    <xf borderId="0" fillId="93" fontId="8" numFmtId="9" xfId="0" applyAlignment="1" applyFill="1" applyFont="1" applyNumberFormat="1">
      <alignment horizontal="center" vertical="bottom"/>
    </xf>
    <xf borderId="0" fillId="0" fontId="8" numFmtId="0" xfId="0" applyAlignment="1" applyFont="1">
      <alignment horizontal="center" vertical="bottom"/>
    </xf>
    <xf borderId="0" fillId="0" fontId="8" numFmtId="0" xfId="0" applyAlignment="1" applyFont="1">
      <alignment horizontal="center" vertical="top"/>
    </xf>
    <xf borderId="0" fillId="32" fontId="8" numFmtId="9" xfId="0" applyAlignment="1" applyFont="1" applyNumberFormat="1">
      <alignment horizontal="center" vertical="bottom"/>
    </xf>
    <xf borderId="0" fillId="94" fontId="8" numFmtId="9" xfId="0" applyAlignment="1" applyFill="1" applyFont="1" applyNumberFormat="1">
      <alignment horizontal="center" vertical="bottom"/>
    </xf>
    <xf borderId="0" fillId="95" fontId="8" numFmtId="9" xfId="0" applyAlignment="1" applyFill="1" applyFont="1" applyNumberFormat="1">
      <alignment horizontal="center" vertical="bottom"/>
    </xf>
    <xf borderId="0" fillId="6" fontId="8" numFmtId="9" xfId="0" applyAlignment="1" applyFont="1" applyNumberFormat="1">
      <alignment horizontal="center" vertical="bottom"/>
    </xf>
    <xf borderId="0" fillId="96" fontId="8" numFmtId="9" xfId="0" applyAlignment="1" applyFill="1" applyFont="1" applyNumberFormat="1">
      <alignment horizontal="center" vertical="bottom"/>
    </xf>
    <xf borderId="0" fillId="97" fontId="8" numFmtId="9" xfId="0" applyAlignment="1" applyFill="1" applyFont="1" applyNumberFormat="1">
      <alignment horizontal="center" vertical="bottom"/>
    </xf>
    <xf borderId="0" fillId="98" fontId="8" numFmtId="9" xfId="0" applyAlignment="1" applyFill="1" applyFont="1" applyNumberFormat="1">
      <alignment horizontal="center" vertical="bottom"/>
    </xf>
    <xf borderId="0" fillId="99" fontId="8" numFmtId="9" xfId="0" applyAlignment="1" applyFill="1" applyFont="1" applyNumberFormat="1">
      <alignment horizontal="center" vertical="bottom"/>
    </xf>
    <xf borderId="0" fillId="100" fontId="8" numFmtId="9" xfId="0" applyAlignment="1" applyFill="1" applyFont="1" applyNumberFormat="1">
      <alignment horizontal="center" vertical="bottom"/>
    </xf>
    <xf borderId="0" fillId="101" fontId="8" numFmtId="9" xfId="0" applyAlignment="1" applyFill="1" applyFont="1" applyNumberFormat="1">
      <alignment horizontal="center" vertical="bottom"/>
    </xf>
    <xf borderId="0" fillId="19" fontId="8" numFmtId="9" xfId="0" applyAlignment="1" applyFont="1" applyNumberFormat="1">
      <alignment horizontal="center" vertical="bottom"/>
    </xf>
    <xf borderId="0" fillId="102" fontId="8" numFmtId="9" xfId="0" applyAlignment="1" applyFill="1" applyFont="1" applyNumberFormat="1">
      <alignment horizontal="center" vertical="bottom"/>
    </xf>
    <xf borderId="0" fillId="103" fontId="8" numFmtId="9" xfId="0" applyAlignment="1" applyFill="1" applyFont="1" applyNumberFormat="1">
      <alignment horizontal="center" vertical="bottom"/>
    </xf>
    <xf borderId="0" fillId="104" fontId="8" numFmtId="9" xfId="0" applyAlignment="1" applyFill="1" applyFont="1" applyNumberFormat="1">
      <alignment horizontal="center" vertical="bottom"/>
    </xf>
    <xf borderId="0" fillId="105" fontId="8" numFmtId="9" xfId="0" applyAlignment="1" applyFill="1" applyFont="1" applyNumberFormat="1">
      <alignment horizontal="center" vertical="bottom"/>
    </xf>
    <xf borderId="0" fillId="3" fontId="8" numFmtId="9" xfId="0" applyAlignment="1" applyFont="1" applyNumberFormat="1">
      <alignment horizontal="center" vertical="bottom"/>
    </xf>
    <xf borderId="0" fillId="106" fontId="8" numFmtId="9" xfId="0" applyAlignment="1" applyFill="1" applyFont="1" applyNumberFormat="1">
      <alignment horizontal="center" vertical="bottom"/>
    </xf>
    <xf borderId="0" fillId="107" fontId="8" numFmtId="9" xfId="0" applyAlignment="1" applyFill="1" applyFont="1" applyNumberFormat="1">
      <alignment horizontal="center" vertical="bottom"/>
    </xf>
    <xf borderId="0" fillId="108" fontId="8" numFmtId="9" xfId="0" applyAlignment="1" applyFill="1" applyFont="1" applyNumberFormat="1">
      <alignment horizontal="center" vertical="bottom"/>
    </xf>
    <xf borderId="0" fillId="109" fontId="8" numFmtId="9" xfId="0" applyAlignment="1" applyFill="1" applyFont="1" applyNumberFormat="1">
      <alignment horizontal="center" vertical="bottom"/>
    </xf>
    <xf borderId="0" fillId="10" fontId="8" numFmtId="9" xfId="0" applyAlignment="1" applyFont="1" applyNumberFormat="1">
      <alignment horizontal="center" vertical="bottom"/>
    </xf>
    <xf borderId="0" fillId="2" fontId="20" numFmtId="0" xfId="0" applyAlignment="1" applyFont="1">
      <alignment vertical="top"/>
    </xf>
    <xf borderId="0" fillId="2" fontId="8" numFmtId="0" xfId="0" applyAlignment="1" applyFont="1">
      <alignment vertical="bottom"/>
    </xf>
    <xf borderId="0" fillId="0" fontId="17" numFmtId="0" xfId="0" applyAlignment="1" applyFont="1">
      <alignment horizontal="center" vertical="top"/>
    </xf>
    <xf borderId="0" fillId="0" fontId="8" numFmtId="0" xfId="0" applyAlignment="1" applyFont="1">
      <alignment readingOrder="0" shrinkToFit="0" vertical="bottom" wrapText="0"/>
    </xf>
    <xf borderId="0" fillId="0" fontId="8" numFmtId="0" xfId="0" applyAlignment="1" applyFont="1">
      <alignment readingOrder="0" vertical="bottom"/>
    </xf>
    <xf borderId="0" fillId="2" fontId="20" numFmtId="0" xfId="0" applyAlignment="1" applyFont="1">
      <alignment shrinkToFit="0" vertical="top" wrapText="0"/>
    </xf>
    <xf borderId="0" fillId="0" fontId="8" numFmtId="0" xfId="0" applyAlignment="1" applyFont="1">
      <alignment shrinkToFit="0" vertical="bottom" wrapText="0"/>
    </xf>
    <xf borderId="0" fillId="0" fontId="17" numFmtId="0" xfId="0" applyAlignment="1" applyFont="1">
      <alignment horizontal="center" vertical="bottom"/>
    </xf>
    <xf borderId="0" fillId="0" fontId="21"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3.vml"/><Relationship Id="rId12"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4.vml"/><Relationship Id="rId12"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5.vml"/><Relationship Id="rId12"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6.vml"/><Relationship Id="rId12"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7.vml"/><Relationship Id="rId12"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7.75"/>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IFERROR(__xludf.DUMMYFUNCTION("AVERAGE(FILTER('__flatlist__'!D$2:D1014,('__flatlist__'!$B$2:$B1014=$B2),('__flatlist__'!$C$2:$C1014=$C2)))"),0.03323975713301005)</f>
        <v>0.03323975713</v>
      </c>
      <c r="E2" s="9">
        <f>IFERROR(__xludf.DUMMYFUNCTION("AVERAGE(FILTER('__flatlist__'!E$2:E1014,('__flatlist__'!$B$2:$B1014=$B2),('__flatlist__'!$C$2:$C1014=$C2)))"),4.8)</f>
        <v>4.8</v>
      </c>
      <c r="F2" s="9">
        <f>IFERROR(__xludf.DUMMYFUNCTION("AVERAGE(FILTER('__flatlist__'!F$2:F1014,('__flatlist__'!$B$2:$B1014=$B2),('__flatlist__'!$C$2:$C1014=$C2)))"),5.0)</f>
        <v>5</v>
      </c>
      <c r="G2" s="9">
        <f>IFERROR(__xludf.DUMMYFUNCTION("AVERAGE(FILTER('__flatlist__'!G$2:G1014,('__flatlist__'!$B$2:$B1014=$B2),('__flatlist__'!$C$2:$C1014=$C2)))"),5.0)</f>
        <v>5</v>
      </c>
      <c r="H2" s="9">
        <f>IFERROR(__xludf.DUMMYFUNCTION("AVERAGE(FILTER('__flatlist__'!H$2:H1014,('__flatlist__'!$B$2:$B1014=$B2),('__flatlist__'!$C$2:$C1014=$C2)))"),4.6)</f>
        <v>4.6</v>
      </c>
      <c r="I2" s="9">
        <f>IFERROR(__xludf.DUMMYFUNCTION("AVERAGE(FILTER('__flatlist__'!I$2:I1014,('__flatlist__'!$B$2:$B1014=$B2),('__flatlist__'!$C$2:$C1014=$C2)))"),1.9)</f>
        <v>1.9</v>
      </c>
      <c r="J2" s="9">
        <f t="shared" ref="J2:J25" si="1">AVERAGE(E2:I2)</f>
        <v>4.26</v>
      </c>
      <c r="K2" s="10"/>
      <c r="M2" s="2" t="s">
        <v>11</v>
      </c>
      <c r="N2" s="11">
        <f>correl('__flatlist__'!D:D,'__flatlist__'!E:E)</f>
        <v>-0.1881328828</v>
      </c>
      <c r="O2" s="11"/>
      <c r="P2" s="11"/>
      <c r="Q2" s="11"/>
      <c r="R2" s="11"/>
    </row>
    <row r="3">
      <c r="A3" s="6"/>
      <c r="B3" s="6" t="s">
        <v>15</v>
      </c>
      <c r="C3" s="7" t="s">
        <v>17</v>
      </c>
      <c r="D3" s="8">
        <f>IFERROR(__xludf.DUMMYFUNCTION("AVERAGE(FILTER('__flatlist__'!D$2:D1014,('__flatlist__'!$B$2:$B1014=$B3),('__flatlist__'!$C$2:$C1014=$C3)))"),0.12799560165230034)</f>
        <v>0.1279956017</v>
      </c>
      <c r="E3" s="9" t="str">
        <f>IFERROR(__xludf.DUMMYFUNCTION("AVERAGE(FILTER('__flatlist__'!E$2:E1014,('__flatlist__'!$B$2:$B1014=$B3),('__flatlist__'!$C$2:$C1014=$C3)))"),"#DIV/0!")</f>
        <v>#DIV/0!</v>
      </c>
      <c r="F3" s="9" t="str">
        <f>IFERROR(__xludf.DUMMYFUNCTION("AVERAGE(FILTER('__flatlist__'!F$2:F1014,('__flatlist__'!$B$2:$B1014=$B3),('__flatlist__'!$C$2:$C1014=$C3)))"),"#DIV/0!")</f>
        <v>#DIV/0!</v>
      </c>
      <c r="G3" s="9" t="str">
        <f>IFERROR(__xludf.DUMMYFUNCTION("AVERAGE(FILTER('__flatlist__'!G$2:G1014,('__flatlist__'!$B$2:$B1014=$B3),('__flatlist__'!$C$2:$C1014=$C3)))"),"#DIV/0!")</f>
        <v>#DIV/0!</v>
      </c>
      <c r="H3" s="9" t="str">
        <f>IFERROR(__xludf.DUMMYFUNCTION("AVERAGE(FILTER('__flatlist__'!H$2:H1014,('__flatlist__'!$B$2:$B1014=$B3),('__flatlist__'!$C$2:$C1014=$C3)))"),"#DIV/0!")</f>
        <v>#DIV/0!</v>
      </c>
      <c r="I3" s="9" t="str">
        <f>IFERROR(__xludf.DUMMYFUNCTION("AVERAGE(FILTER('__flatlist__'!I$2:I1014,('__flatlist__'!$B$2:$B1014=$B3),('__flatlist__'!$C$2:$C1014=$C3)))"),"#DIV/0!")</f>
        <v>#DIV/0!</v>
      </c>
      <c r="J3" s="12" t="str">
        <f t="shared" si="1"/>
        <v>#DIV/0!</v>
      </c>
      <c r="M3" s="1" t="s">
        <v>12</v>
      </c>
      <c r="N3" s="11">
        <f>correl('__flatlist__'!D:D,'__flatlist__'!F:F)</f>
        <v>-0.1418632739</v>
      </c>
      <c r="O3" s="11">
        <f>correl('__flatlist__'!E:E,'__flatlist__'!F:F)</f>
        <v>0.2703210278</v>
      </c>
      <c r="P3" s="11"/>
      <c r="Q3" s="11"/>
      <c r="R3" s="11"/>
    </row>
    <row r="4">
      <c r="A4" s="6"/>
      <c r="B4" s="6" t="s">
        <v>15</v>
      </c>
      <c r="C4" s="7" t="s">
        <v>18</v>
      </c>
      <c r="D4" s="8">
        <f>IFERROR(__xludf.DUMMYFUNCTION("AVERAGE(FILTER('__flatlist__'!D$2:D1014,('__flatlist__'!$B$2:$B1014=$B4),('__flatlist__'!$C$2:$C1014=$C4)))"),0.27533768107763634)</f>
        <v>0.2753376811</v>
      </c>
      <c r="E4" s="9">
        <f>IFERROR(__xludf.DUMMYFUNCTION("AVERAGE(FILTER('__flatlist__'!E$2:E1014,('__flatlist__'!$B$2:$B1014=$B4),('__flatlist__'!$C$2:$C1014=$C4)))"),5.0)</f>
        <v>5</v>
      </c>
      <c r="F4" s="9">
        <f>IFERROR(__xludf.DUMMYFUNCTION("AVERAGE(FILTER('__flatlist__'!F$2:F1014,('__flatlist__'!$B$2:$B1014=$B4),('__flatlist__'!$C$2:$C1014=$C4)))"),5.0)</f>
        <v>5</v>
      </c>
      <c r="G4" s="9">
        <f>IFERROR(__xludf.DUMMYFUNCTION("AVERAGE(FILTER('__flatlist__'!G$2:G1014,('__flatlist__'!$B$2:$B1014=$B4),('__flatlist__'!$C$2:$C1014=$C4)))"),5.0)</f>
        <v>5</v>
      </c>
      <c r="H4" s="9">
        <f>IFERROR(__xludf.DUMMYFUNCTION("AVERAGE(FILTER('__flatlist__'!H$2:H1014,('__flatlist__'!$B$2:$B1014=$B4),('__flatlist__'!$C$2:$C1014=$C4)))"),3.9)</f>
        <v>3.9</v>
      </c>
      <c r="I4" s="9">
        <f>IFERROR(__xludf.DUMMYFUNCTION("AVERAGE(FILTER('__flatlist__'!I$2:I1014,('__flatlist__'!$B$2:$B1014=$B4),('__flatlist__'!$C$2:$C1014=$C4)))"),4.9)</f>
        <v>4.9</v>
      </c>
      <c r="J4" s="9">
        <f t="shared" si="1"/>
        <v>4.76</v>
      </c>
      <c r="M4" s="1" t="s">
        <v>13</v>
      </c>
      <c r="N4" s="11">
        <f>correl('__flatlist__'!D:D,'__flatlist__'!G:G)</f>
        <v>0.005223653937</v>
      </c>
      <c r="O4" s="11">
        <f>correl('__flatlist__'!E:E,'__flatlist__'!G:G)</f>
        <v>0.02584840207</v>
      </c>
      <c r="P4" s="11">
        <f>correl('__flatlist__'!F:F,'__flatlist__'!G:G)</f>
        <v>0.009664152764</v>
      </c>
      <c r="Q4" s="11"/>
      <c r="R4" s="11"/>
    </row>
    <row r="5">
      <c r="A5" s="6"/>
      <c r="B5" s="6" t="s">
        <v>15</v>
      </c>
      <c r="C5" s="7" t="s">
        <v>19</v>
      </c>
      <c r="D5" s="8">
        <f>IFERROR(__xludf.DUMMYFUNCTION("AVERAGE(FILTER('__flatlist__'!D$2:D1014,('__flatlist__'!$B$2:$B1014=$B5),('__flatlist__'!$C$2:$C1014=$C5)))"),0.1328707669361498)</f>
        <v>0.1328707669</v>
      </c>
      <c r="E5" s="9">
        <f>IFERROR(__xludf.DUMMYFUNCTION("AVERAGE(FILTER('__flatlist__'!E$2:E1014,('__flatlist__'!$B$2:$B1014=$B5),('__flatlist__'!$C$2:$C1014=$C5)))"),5.0)</f>
        <v>5</v>
      </c>
      <c r="F5" s="9">
        <f>IFERROR(__xludf.DUMMYFUNCTION("AVERAGE(FILTER('__flatlist__'!F$2:F1014,('__flatlist__'!$B$2:$B1014=$B5),('__flatlist__'!$C$2:$C1014=$C5)))"),5.0)</f>
        <v>5</v>
      </c>
      <c r="G5" s="9">
        <f>IFERROR(__xludf.DUMMYFUNCTION("AVERAGE(FILTER('__flatlist__'!G$2:G1014,('__flatlist__'!$B$2:$B1014=$B5),('__flatlist__'!$C$2:$C1014=$C5)))"),5.0)</f>
        <v>5</v>
      </c>
      <c r="H5" s="9">
        <f>IFERROR(__xludf.DUMMYFUNCTION("AVERAGE(FILTER('__flatlist__'!H$2:H1014,('__flatlist__'!$B$2:$B1014=$B5),('__flatlist__'!$C$2:$C1014=$C5)))"),5.0)</f>
        <v>5</v>
      </c>
      <c r="I5" s="9">
        <f>IFERROR(__xludf.DUMMYFUNCTION("AVERAGE(FILTER('__flatlist__'!I$2:I1014,('__flatlist__'!$B$2:$B1014=$B5),('__flatlist__'!$C$2:$C1014=$C5)))"),4.5)</f>
        <v>4.5</v>
      </c>
      <c r="J5" s="9">
        <f t="shared" si="1"/>
        <v>4.9</v>
      </c>
      <c r="M5" s="1" t="s">
        <v>14</v>
      </c>
      <c r="N5" s="11">
        <f>correl('__flatlist__'!D:D,'__flatlist__'!H:H)</f>
        <v>-0.2815712592</v>
      </c>
      <c r="O5" s="11">
        <f>correl('__flatlist__'!E:E,'__flatlist__'!H:H)</f>
        <v>0.2520821828</v>
      </c>
      <c r="P5" s="11">
        <f>correl('__flatlist__'!F:F,'__flatlist__'!H:H)</f>
        <v>0.00661570689</v>
      </c>
      <c r="Q5" s="11">
        <f>correl('__flatlist__'!G:G,'__flatlist__'!H:H)</f>
        <v>0.003701781366</v>
      </c>
      <c r="R5" s="11"/>
    </row>
    <row r="6">
      <c r="A6" s="6"/>
      <c r="B6" s="6" t="s">
        <v>20</v>
      </c>
      <c r="C6" s="7" t="s">
        <v>8</v>
      </c>
      <c r="D6" s="8">
        <f>IFERROR(__xludf.DUMMYFUNCTION("AVERAGE(FILTER('__flatlist__'!D$2:D1014,('__flatlist__'!$B$2:$B1014=$B6),('__flatlist__'!$C$2:$C1014=$C6)))"),0.2270917377210063)</f>
        <v>0.2270917377</v>
      </c>
      <c r="E6" s="9">
        <f>IFERROR(__xludf.DUMMYFUNCTION("AVERAGE(FILTER('__flatlist__'!E$2:E1014,('__flatlist__'!$B$2:$B1014=$B6),('__flatlist__'!$C$2:$C1014=$C6)))"),2.8)</f>
        <v>2.8</v>
      </c>
      <c r="F6" s="9">
        <f>IFERROR(__xludf.DUMMYFUNCTION("AVERAGE(FILTER('__flatlist__'!F$2:F1014,('__flatlist__'!$B$2:$B1014=$B6),('__flatlist__'!$C$2:$C1014=$C6)))"),4.6)</f>
        <v>4.6</v>
      </c>
      <c r="G6" s="9">
        <f>IFERROR(__xludf.DUMMYFUNCTION("AVERAGE(FILTER('__flatlist__'!G$2:G1014,('__flatlist__'!$B$2:$B1014=$B6),('__flatlist__'!$C$2:$C1014=$C6)))"),5.0)</f>
        <v>5</v>
      </c>
      <c r="H6" s="9">
        <f>IFERROR(__xludf.DUMMYFUNCTION("AVERAGE(FILTER('__flatlist__'!H$2:H1014,('__flatlist__'!$B$2:$B1014=$B6),('__flatlist__'!$C$2:$C1014=$C6)))"),3.9)</f>
        <v>3.9</v>
      </c>
      <c r="I6" s="9">
        <f>IFERROR(__xludf.DUMMYFUNCTION("AVERAGE(FILTER('__flatlist__'!I$2:I1014,('__flatlist__'!$B$2:$B1014=$B6),('__flatlist__'!$C$2:$C1014=$C6)))"),4.5)</f>
        <v>4.5</v>
      </c>
      <c r="J6" s="9">
        <f t="shared" si="1"/>
        <v>4.16</v>
      </c>
      <c r="K6" s="12">
        <f t="shared" ref="K6:K25" si="2">rank(J6,$J$6:$J$25,FALSE)</f>
        <v>17</v>
      </c>
      <c r="M6" s="2" t="s">
        <v>8</v>
      </c>
      <c r="N6" s="11">
        <f>correl('__flatlist__'!D:D,'__flatlist__'!I:I)</f>
        <v>0.386004888</v>
      </c>
      <c r="O6" s="11">
        <f>correl('__flatlist__'!E:E,'__flatlist__'!I:I)</f>
        <v>-0.2691191449</v>
      </c>
      <c r="P6" s="11">
        <f>correl('__flatlist__'!F:F,'__flatlist__'!I:I)</f>
        <v>-0.04185418309</v>
      </c>
      <c r="Q6" s="11">
        <f>correl('__flatlist__'!G:G,'__flatlist__'!I:I)</f>
        <v>-0.03795944945</v>
      </c>
      <c r="R6" s="11">
        <f>correl('__flatlist__'!H:H,'__flatlist__'!I:I)</f>
        <v>-0.3038849543</v>
      </c>
    </row>
    <row r="7">
      <c r="A7" s="6"/>
      <c r="B7" s="6" t="s">
        <v>20</v>
      </c>
      <c r="C7" s="7" t="s">
        <v>21</v>
      </c>
      <c r="D7" s="8">
        <f>IFERROR(__xludf.DUMMYFUNCTION("AVERAGE(FILTER('__flatlist__'!D$2:D1014,('__flatlist__'!$B$2:$B1014=$B7),('__flatlist__'!$C$2:$C1014=$C7)))"),0.18471470764041642)</f>
        <v>0.1847147076</v>
      </c>
      <c r="E7" s="9">
        <f>IFERROR(__xludf.DUMMYFUNCTION("AVERAGE(FILTER('__flatlist__'!E$2:E1014,('__flatlist__'!$B$2:$B1014=$B7),('__flatlist__'!$C$2:$C1014=$C7)))"),2.7)</f>
        <v>2.7</v>
      </c>
      <c r="F7" s="9">
        <f>IFERROR(__xludf.DUMMYFUNCTION("AVERAGE(FILTER('__flatlist__'!F$2:F1014,('__flatlist__'!$B$2:$B1014=$B7),('__flatlist__'!$C$2:$C1014=$C7)))"),4.7)</f>
        <v>4.7</v>
      </c>
      <c r="G7" s="9">
        <f>IFERROR(__xludf.DUMMYFUNCTION("AVERAGE(FILTER('__flatlist__'!G$2:G1014,('__flatlist__'!$B$2:$B1014=$B7),('__flatlist__'!$C$2:$C1014=$C7)))"),5.0)</f>
        <v>5</v>
      </c>
      <c r="H7" s="9">
        <f>IFERROR(__xludf.DUMMYFUNCTION("AVERAGE(FILTER('__flatlist__'!H$2:H1014,('__flatlist__'!$B$2:$B1014=$B7),('__flatlist__'!$C$2:$C1014=$C7)))"),3.7)</f>
        <v>3.7</v>
      </c>
      <c r="I7" s="9">
        <f>IFERROR(__xludf.DUMMYFUNCTION("AVERAGE(FILTER('__flatlist__'!I$2:I1014,('__flatlist__'!$B$2:$B1014=$B7),('__flatlist__'!$C$2:$C1014=$C7)))"),5.0)</f>
        <v>5</v>
      </c>
      <c r="J7" s="9">
        <f t="shared" si="1"/>
        <v>4.22</v>
      </c>
      <c r="K7" s="12">
        <f t="shared" si="2"/>
        <v>13</v>
      </c>
    </row>
    <row r="8">
      <c r="A8" s="6"/>
      <c r="B8" s="6" t="s">
        <v>20</v>
      </c>
      <c r="C8" s="7" t="s">
        <v>22</v>
      </c>
      <c r="D8" s="8">
        <f>IFERROR(__xludf.DUMMYFUNCTION("AVERAGE(FILTER('__flatlist__'!D$2:D1014,('__flatlist__'!$B$2:$B1014=$B8),('__flatlist__'!$C$2:$C1014=$C8)))"),0.18058419914067994)</f>
        <v>0.1805841991</v>
      </c>
      <c r="E8" s="9">
        <f>IFERROR(__xludf.DUMMYFUNCTION("AVERAGE(FILTER('__flatlist__'!E$2:E1014,('__flatlist__'!$B$2:$B1014=$B8),('__flatlist__'!$C$2:$C1014=$C8)))"),3.2)</f>
        <v>3.2</v>
      </c>
      <c r="F8" s="9">
        <f>IFERROR(__xludf.DUMMYFUNCTION("AVERAGE(FILTER('__flatlist__'!F$2:F1014,('__flatlist__'!$B$2:$B1014=$B8),('__flatlist__'!$C$2:$C1014=$C8)))"),4.6)</f>
        <v>4.6</v>
      </c>
      <c r="G8" s="9">
        <f>IFERROR(__xludf.DUMMYFUNCTION("AVERAGE(FILTER('__flatlist__'!G$2:G1014,('__flatlist__'!$B$2:$B1014=$B8),('__flatlist__'!$C$2:$C1014=$C8)))"),5.0)</f>
        <v>5</v>
      </c>
      <c r="H8" s="9">
        <f>IFERROR(__xludf.DUMMYFUNCTION("AVERAGE(FILTER('__flatlist__'!H$2:H1014,('__flatlist__'!$B$2:$B1014=$B8),('__flatlist__'!$C$2:$C1014=$C8)))"),3.8)</f>
        <v>3.8</v>
      </c>
      <c r="I8" s="9">
        <f>IFERROR(__xludf.DUMMYFUNCTION("AVERAGE(FILTER('__flatlist__'!I$2:I1014,('__flatlist__'!$B$2:$B1014=$B8),('__flatlist__'!$C$2:$C1014=$C8)))"),4.8)</f>
        <v>4.8</v>
      </c>
      <c r="J8" s="9">
        <f t="shared" si="1"/>
        <v>4.28</v>
      </c>
      <c r="K8" s="12">
        <f t="shared" si="2"/>
        <v>11</v>
      </c>
    </row>
    <row r="9">
      <c r="A9" s="6"/>
      <c r="B9" s="6" t="s">
        <v>20</v>
      </c>
      <c r="C9" s="7" t="s">
        <v>23</v>
      </c>
      <c r="D9" s="8">
        <f>IFERROR(__xludf.DUMMYFUNCTION("AVERAGE(FILTER('__flatlist__'!D$2:D1014,('__flatlist__'!$B$2:$B1014=$B9),('__flatlist__'!$C$2:$C1014=$C9)))"),0.146190574908237)</f>
        <v>0.1461905749</v>
      </c>
      <c r="E9" s="9">
        <f>IFERROR(__xludf.DUMMYFUNCTION("AVERAGE(FILTER('__flatlist__'!E$2:E1014,('__flatlist__'!$B$2:$B1014=$B9),('__flatlist__'!$C$2:$C1014=$C9)))"),3.5)</f>
        <v>3.5</v>
      </c>
      <c r="F9" s="9">
        <f>IFERROR(__xludf.DUMMYFUNCTION("AVERAGE(FILTER('__flatlist__'!F$2:F1014,('__flatlist__'!$B$2:$B1014=$B9),('__flatlist__'!$C$2:$C1014=$C9)))"),4.7)</f>
        <v>4.7</v>
      </c>
      <c r="G9" s="9">
        <f>IFERROR(__xludf.DUMMYFUNCTION("AVERAGE(FILTER('__flatlist__'!G$2:G1014,('__flatlist__'!$B$2:$B1014=$B9),('__flatlist__'!$C$2:$C1014=$C9)))"),4.2)</f>
        <v>4.2</v>
      </c>
      <c r="H9" s="9">
        <f>IFERROR(__xludf.DUMMYFUNCTION("AVERAGE(FILTER('__flatlist__'!H$2:H1014,('__flatlist__'!$B$2:$B1014=$B9),('__flatlist__'!$C$2:$C1014=$C9)))"),3.9)</f>
        <v>3.9</v>
      </c>
      <c r="I9" s="9">
        <f>IFERROR(__xludf.DUMMYFUNCTION("AVERAGE(FILTER('__flatlist__'!I$2:I1014,('__flatlist__'!$B$2:$B1014=$B9),('__flatlist__'!$C$2:$C1014=$C9)))"),4.6)</f>
        <v>4.6</v>
      </c>
      <c r="J9" s="9">
        <f t="shared" si="1"/>
        <v>4.18</v>
      </c>
      <c r="K9" s="12">
        <f t="shared" si="2"/>
        <v>16</v>
      </c>
    </row>
    <row r="10">
      <c r="A10" s="6"/>
      <c r="B10" s="6" t="s">
        <v>24</v>
      </c>
      <c r="C10" s="7" t="s">
        <v>8</v>
      </c>
      <c r="D10" s="8">
        <f>IFERROR(__xludf.DUMMYFUNCTION("AVERAGE(FILTER('__flatlist__'!D$2:D1014,('__flatlist__'!$B$2:$B1014=$B10),('__flatlist__'!$C$2:$C1014=$C10)))"),0.29315687437454774)</f>
        <v>0.2931568744</v>
      </c>
      <c r="E10" s="9">
        <f>IFERROR(__xludf.DUMMYFUNCTION("AVERAGE(FILTER('__flatlist__'!E$2:E1014,('__flatlist__'!$B$2:$B1014=$B10),('__flatlist__'!$C$2:$C1014=$C10)))"),2.9)</f>
        <v>2.9</v>
      </c>
      <c r="F10" s="9">
        <f>IFERROR(__xludf.DUMMYFUNCTION("AVERAGE(FILTER('__flatlist__'!F$2:F1014,('__flatlist__'!$B$2:$B1014=$B10),('__flatlist__'!$C$2:$C1014=$C10)))"),4.5)</f>
        <v>4.5</v>
      </c>
      <c r="G10" s="9">
        <f>IFERROR(__xludf.DUMMYFUNCTION("AVERAGE(FILTER('__flatlist__'!G$2:G1014,('__flatlist__'!$B$2:$B1014=$B10),('__flatlist__'!$C$2:$C1014=$C10)))"),5.0)</f>
        <v>5</v>
      </c>
      <c r="H10" s="9">
        <f>IFERROR(__xludf.DUMMYFUNCTION("AVERAGE(FILTER('__flatlist__'!H$2:H1014,('__flatlist__'!$B$2:$B1014=$B10),('__flatlist__'!$C$2:$C1014=$C10)))"),3.6)</f>
        <v>3.6</v>
      </c>
      <c r="I10" s="9">
        <f>IFERROR(__xludf.DUMMYFUNCTION("AVERAGE(FILTER('__flatlist__'!I$2:I1014,('__flatlist__'!$B$2:$B1014=$B10),('__flatlist__'!$C$2:$C1014=$C10)))"),4.5)</f>
        <v>4.5</v>
      </c>
      <c r="J10" s="9">
        <f t="shared" si="1"/>
        <v>4.1</v>
      </c>
      <c r="K10" s="12">
        <f t="shared" si="2"/>
        <v>18</v>
      </c>
    </row>
    <row r="11">
      <c r="A11" s="6"/>
      <c r="B11" s="6" t="s">
        <v>24</v>
      </c>
      <c r="C11" s="7" t="s">
        <v>21</v>
      </c>
      <c r="D11" s="8">
        <f>IFERROR(__xludf.DUMMYFUNCTION("AVERAGE(FILTER('__flatlist__'!D$2:D1014,('__flatlist__'!$B$2:$B1014=$B11),('__flatlist__'!$C$2:$C1014=$C11)))"),0.21609182275421407)</f>
        <v>0.2160918228</v>
      </c>
      <c r="E11" s="9">
        <f>IFERROR(__xludf.DUMMYFUNCTION("AVERAGE(FILTER('__flatlist__'!E$2:E1014,('__flatlist__'!$B$2:$B1014=$B11),('__flatlist__'!$C$2:$C1014=$C11)))"),4.4)</f>
        <v>4.4</v>
      </c>
      <c r="F11" s="9">
        <f>IFERROR(__xludf.DUMMYFUNCTION("AVERAGE(FILTER('__flatlist__'!F$2:F1014,('__flatlist__'!$B$2:$B1014=$B11),('__flatlist__'!$C$2:$C1014=$C11)))"),4.6)</f>
        <v>4.6</v>
      </c>
      <c r="G11" s="9">
        <f>IFERROR(__xludf.DUMMYFUNCTION("AVERAGE(FILTER('__flatlist__'!G$2:G1014,('__flatlist__'!$B$2:$B1014=$B11),('__flatlist__'!$C$2:$C1014=$C11)))"),4.7)</f>
        <v>4.7</v>
      </c>
      <c r="H11" s="9">
        <f>IFERROR(__xludf.DUMMYFUNCTION("AVERAGE(FILTER('__flatlist__'!H$2:H1014,('__flatlist__'!$B$2:$B1014=$B11),('__flatlist__'!$C$2:$C1014=$C11)))"),3.5)</f>
        <v>3.5</v>
      </c>
      <c r="I11" s="9">
        <f>IFERROR(__xludf.DUMMYFUNCTION("AVERAGE(FILTER('__flatlist__'!I$2:I1014,('__flatlist__'!$B$2:$B1014=$B11),('__flatlist__'!$C$2:$C1014=$C11)))"),4.0)</f>
        <v>4</v>
      </c>
      <c r="J11" s="9">
        <f t="shared" si="1"/>
        <v>4.24</v>
      </c>
      <c r="K11" s="12">
        <f t="shared" si="2"/>
        <v>12</v>
      </c>
    </row>
    <row r="12">
      <c r="A12" s="6"/>
      <c r="B12" s="6" t="s">
        <v>24</v>
      </c>
      <c r="C12" s="7" t="s">
        <v>22</v>
      </c>
      <c r="D12" s="8">
        <f>IFERROR(__xludf.DUMMYFUNCTION("AVERAGE(FILTER('__flatlist__'!D$2:D1014,('__flatlist__'!$B$2:$B1014=$B12),('__flatlist__'!$C$2:$C1014=$C12)))"),0.21473912992807112)</f>
        <v>0.2147391299</v>
      </c>
      <c r="E12" s="9">
        <f>IFERROR(__xludf.DUMMYFUNCTION("AVERAGE(FILTER('__flatlist__'!E$2:E1014,('__flatlist__'!$B$2:$B1014=$B12),('__flatlist__'!$C$2:$C1014=$C12)))"),4.4)</f>
        <v>4.4</v>
      </c>
      <c r="F12" s="9">
        <f>IFERROR(__xludf.DUMMYFUNCTION("AVERAGE(FILTER('__flatlist__'!F$2:F1014,('__flatlist__'!$B$2:$B1014=$B12),('__flatlist__'!$C$2:$C1014=$C12)))"),4.4)</f>
        <v>4.4</v>
      </c>
      <c r="G12" s="9">
        <f>IFERROR(__xludf.DUMMYFUNCTION("AVERAGE(FILTER('__flatlist__'!G$2:G1014,('__flatlist__'!$B$2:$B1014=$B12),('__flatlist__'!$C$2:$C1014=$C12)))"),4.8)</f>
        <v>4.8</v>
      </c>
      <c r="H12" s="9">
        <f>IFERROR(__xludf.DUMMYFUNCTION("AVERAGE(FILTER('__flatlist__'!H$2:H1014,('__flatlist__'!$B$2:$B1014=$B12),('__flatlist__'!$C$2:$C1014=$C12)))"),3.7)</f>
        <v>3.7</v>
      </c>
      <c r="I12" s="9">
        <f>IFERROR(__xludf.DUMMYFUNCTION("AVERAGE(FILTER('__flatlist__'!I$2:I1014,('__flatlist__'!$B$2:$B1014=$B12),('__flatlist__'!$C$2:$C1014=$C12)))"),4.3)</f>
        <v>4.3</v>
      </c>
      <c r="J12" s="9">
        <f t="shared" si="1"/>
        <v>4.32</v>
      </c>
      <c r="K12" s="12">
        <f t="shared" si="2"/>
        <v>10</v>
      </c>
    </row>
    <row r="13">
      <c r="A13" s="6"/>
      <c r="B13" s="6" t="s">
        <v>24</v>
      </c>
      <c r="C13" s="7" t="s">
        <v>23</v>
      </c>
      <c r="D13" s="8">
        <f>IFERROR(__xludf.DUMMYFUNCTION("AVERAGE(FILTER('__flatlist__'!D$2:D1014,('__flatlist__'!$B$2:$B1014=$B13),('__flatlist__'!$C$2:$C1014=$C13)))"),0.12034200237239838)</f>
        <v>0.1203420024</v>
      </c>
      <c r="E13" s="9">
        <f>IFERROR(__xludf.DUMMYFUNCTION("AVERAGE(FILTER('__flatlist__'!E$2:E1014,('__flatlist__'!$B$2:$B1014=$B13),('__flatlist__'!$C$2:$C1014=$C13)))"),4.2)</f>
        <v>4.2</v>
      </c>
      <c r="F13" s="9">
        <f>IFERROR(__xludf.DUMMYFUNCTION("AVERAGE(FILTER('__flatlist__'!F$2:F1014,('__flatlist__'!$B$2:$B1014=$B13),('__flatlist__'!$C$2:$C1014=$C13)))"),4.6)</f>
        <v>4.6</v>
      </c>
      <c r="G13" s="9">
        <f>IFERROR(__xludf.DUMMYFUNCTION("AVERAGE(FILTER('__flatlist__'!G$2:G1014,('__flatlist__'!$B$2:$B1014=$B13),('__flatlist__'!$C$2:$C1014=$C13)))"),4.9)</f>
        <v>4.9</v>
      </c>
      <c r="H13" s="9">
        <f>IFERROR(__xludf.DUMMYFUNCTION("AVERAGE(FILTER('__flatlist__'!H$2:H1014,('__flatlist__'!$B$2:$B1014=$B13),('__flatlist__'!$C$2:$C1014=$C13)))"),4.6)</f>
        <v>4.6</v>
      </c>
      <c r="I13" s="9">
        <f>IFERROR(__xludf.DUMMYFUNCTION("AVERAGE(FILTER('__flatlist__'!I$2:I1014,('__flatlist__'!$B$2:$B1014=$B13),('__flatlist__'!$C$2:$C1014=$C13)))"),3.6)</f>
        <v>3.6</v>
      </c>
      <c r="J13" s="9">
        <f t="shared" si="1"/>
        <v>4.38</v>
      </c>
      <c r="K13" s="12">
        <f t="shared" si="2"/>
        <v>7</v>
      </c>
    </row>
    <row r="14">
      <c r="A14" s="6"/>
      <c r="B14" s="6" t="s">
        <v>25</v>
      </c>
      <c r="C14" s="7" t="s">
        <v>8</v>
      </c>
      <c r="D14" s="8">
        <f>IFERROR(__xludf.DUMMYFUNCTION("AVERAGE(FILTER('__flatlist__'!D$2:D1014,('__flatlist__'!$B$2:$B1014=$B14),('__flatlist__'!$C$2:$C1014=$C14)))"),0.2185957408515098)</f>
        <v>0.2185957409</v>
      </c>
      <c r="E14" s="9">
        <f>IFERROR(__xludf.DUMMYFUNCTION("AVERAGE(FILTER('__flatlist__'!E$2:E1014,('__flatlist__'!$B$2:$B1014=$B14),('__flatlist__'!$C$2:$C1014=$C14)))"),3.0)</f>
        <v>3</v>
      </c>
      <c r="F14" s="9">
        <f>IFERROR(__xludf.DUMMYFUNCTION("AVERAGE(FILTER('__flatlist__'!F$2:F1014,('__flatlist__'!$B$2:$B1014=$B14),('__flatlist__'!$C$2:$C1014=$C14)))"),4.6)</f>
        <v>4.6</v>
      </c>
      <c r="G14" s="9">
        <f>IFERROR(__xludf.DUMMYFUNCTION("AVERAGE(FILTER('__flatlist__'!G$2:G1014,('__flatlist__'!$B$2:$B1014=$B14),('__flatlist__'!$C$2:$C1014=$C14)))"),5.0)</f>
        <v>5</v>
      </c>
      <c r="H14" s="9">
        <f>IFERROR(__xludf.DUMMYFUNCTION("AVERAGE(FILTER('__flatlist__'!H$2:H1014,('__flatlist__'!$B$2:$B1014=$B14),('__flatlist__'!$C$2:$C1014=$C14)))"),4.0)</f>
        <v>4</v>
      </c>
      <c r="I14" s="9">
        <f>IFERROR(__xludf.DUMMYFUNCTION("AVERAGE(FILTER('__flatlist__'!I$2:I1014,('__flatlist__'!$B$2:$B1014=$B14),('__flatlist__'!$C$2:$C1014=$C14)))"),4.4)</f>
        <v>4.4</v>
      </c>
      <c r="J14" s="9">
        <f t="shared" si="1"/>
        <v>4.2</v>
      </c>
      <c r="K14" s="12">
        <f t="shared" si="2"/>
        <v>15</v>
      </c>
      <c r="M14" s="4"/>
      <c r="N14" s="11"/>
      <c r="O14" s="11"/>
      <c r="P14" s="11"/>
      <c r="Q14" s="11"/>
      <c r="R14" s="11"/>
    </row>
    <row r="15">
      <c r="A15" s="6"/>
      <c r="B15" s="6" t="s">
        <v>25</v>
      </c>
      <c r="C15" s="7" t="s">
        <v>21</v>
      </c>
      <c r="D15" s="8">
        <f>IFERROR(__xludf.DUMMYFUNCTION("AVERAGE(FILTER('__flatlist__'!D$2:D1014,('__flatlist__'!$B$2:$B1014=$B15),('__flatlist__'!$C$2:$C1014=$C15)))"),0.21357928403068813)</f>
        <v>0.213579284</v>
      </c>
      <c r="E15" s="9">
        <f>IFERROR(__xludf.DUMMYFUNCTION("AVERAGE(FILTER('__flatlist__'!E$2:E1014,('__flatlist__'!$B$2:$B1014=$B15),('__flatlist__'!$C$2:$C1014=$C15)))"),4.5)</f>
        <v>4.5</v>
      </c>
      <c r="F15" s="9">
        <f>IFERROR(__xludf.DUMMYFUNCTION("AVERAGE(FILTER('__flatlist__'!F$2:F1014,('__flatlist__'!$B$2:$B1014=$B15),('__flatlist__'!$C$2:$C1014=$C15)))"),4.8)</f>
        <v>4.8</v>
      </c>
      <c r="G15" s="9">
        <f>IFERROR(__xludf.DUMMYFUNCTION("AVERAGE(FILTER('__flatlist__'!G$2:G1014,('__flatlist__'!$B$2:$B1014=$B15),('__flatlist__'!$C$2:$C1014=$C15)))"),5.0)</f>
        <v>5</v>
      </c>
      <c r="H15" s="9">
        <f>IFERROR(__xludf.DUMMYFUNCTION("AVERAGE(FILTER('__flatlist__'!H$2:H1014,('__flatlist__'!$B$2:$B1014=$B15),('__flatlist__'!$C$2:$C1014=$C15)))"),3.7)</f>
        <v>3.7</v>
      </c>
      <c r="I15" s="9">
        <f>IFERROR(__xludf.DUMMYFUNCTION("AVERAGE(FILTER('__flatlist__'!I$2:I1014,('__flatlist__'!$B$2:$B1014=$B15),('__flatlist__'!$C$2:$C1014=$C15)))"),4.6)</f>
        <v>4.6</v>
      </c>
      <c r="J15" s="9">
        <f t="shared" si="1"/>
        <v>4.52</v>
      </c>
      <c r="K15" s="12">
        <f t="shared" si="2"/>
        <v>2</v>
      </c>
      <c r="M15" s="4"/>
      <c r="N15" s="11"/>
    </row>
    <row r="16">
      <c r="A16" s="6"/>
      <c r="B16" s="6" t="s">
        <v>25</v>
      </c>
      <c r="C16" s="7" t="s">
        <v>22</v>
      </c>
      <c r="D16" s="8">
        <f>IFERROR(__xludf.DUMMYFUNCTION("AVERAGE(FILTER('__flatlist__'!D$2:D1014,('__flatlist__'!$B$2:$B1014=$B16),('__flatlist__'!$C$2:$C1014=$C16)))"),0.19237436335120278)</f>
        <v>0.1923743634</v>
      </c>
      <c r="E16" s="9">
        <f>IFERROR(__xludf.DUMMYFUNCTION("AVERAGE(FILTER('__flatlist__'!E$2:E1014,('__flatlist__'!$B$2:$B1014=$B16),('__flatlist__'!$C$2:$C1014=$C16)))"),4.6)</f>
        <v>4.6</v>
      </c>
      <c r="F16" s="9">
        <f>IFERROR(__xludf.DUMMYFUNCTION("AVERAGE(FILTER('__flatlist__'!F$2:F1014,('__flatlist__'!$B$2:$B1014=$B16),('__flatlist__'!$C$2:$C1014=$C16)))"),5.0)</f>
        <v>5</v>
      </c>
      <c r="G16" s="9">
        <f>IFERROR(__xludf.DUMMYFUNCTION("AVERAGE(FILTER('__flatlist__'!G$2:G1014,('__flatlist__'!$B$2:$B1014=$B16),('__flatlist__'!$C$2:$C1014=$C16)))"),4.9)</f>
        <v>4.9</v>
      </c>
      <c r="H16" s="9">
        <f>IFERROR(__xludf.DUMMYFUNCTION("AVERAGE(FILTER('__flatlist__'!H$2:H1014,('__flatlist__'!$B$2:$B1014=$B16),('__flatlist__'!$C$2:$C1014=$C16)))"),4.3)</f>
        <v>4.3</v>
      </c>
      <c r="I16" s="9">
        <f>IFERROR(__xludf.DUMMYFUNCTION("AVERAGE(FILTER('__flatlist__'!I$2:I1014,('__flatlist__'!$B$2:$B1014=$B16),('__flatlist__'!$C$2:$C1014=$C16)))"),4.6)</f>
        <v>4.6</v>
      </c>
      <c r="J16" s="9">
        <f t="shared" si="1"/>
        <v>4.68</v>
      </c>
      <c r="K16" s="12">
        <f t="shared" si="2"/>
        <v>1</v>
      </c>
      <c r="M16" s="4"/>
      <c r="N16" s="11"/>
    </row>
    <row r="17">
      <c r="A17" s="6"/>
      <c r="B17" s="6" t="s">
        <v>25</v>
      </c>
      <c r="C17" s="7" t="s">
        <v>23</v>
      </c>
      <c r="D17" s="8">
        <f>IFERROR(__xludf.DUMMYFUNCTION("AVERAGE(FILTER('__flatlist__'!D$2:D1014,('__flatlist__'!$B$2:$B1014=$B17),('__flatlist__'!$C$2:$C1014=$C17)))"),0.13728879074477765)</f>
        <v>0.1372887907</v>
      </c>
      <c r="E17" s="9">
        <f>IFERROR(__xludf.DUMMYFUNCTION("AVERAGE(FILTER('__flatlist__'!E$2:E1014,('__flatlist__'!$B$2:$B1014=$B17),('__flatlist__'!$C$2:$C1014=$C17)))"),4.3)</f>
        <v>4.3</v>
      </c>
      <c r="F17" s="9">
        <f>IFERROR(__xludf.DUMMYFUNCTION("AVERAGE(FILTER('__flatlist__'!F$2:F1014,('__flatlist__'!$B$2:$B1014=$B17),('__flatlist__'!$C$2:$C1014=$C17)))"),4.4)</f>
        <v>4.4</v>
      </c>
      <c r="G17" s="9">
        <f>IFERROR(__xludf.DUMMYFUNCTION("AVERAGE(FILTER('__flatlist__'!G$2:G1014,('__flatlist__'!$B$2:$B1014=$B17),('__flatlist__'!$C$2:$C1014=$C17)))"),5.0)</f>
        <v>5</v>
      </c>
      <c r="H17" s="9">
        <f>IFERROR(__xludf.DUMMYFUNCTION("AVERAGE(FILTER('__flatlist__'!H$2:H1014,('__flatlist__'!$B$2:$B1014=$B17),('__flatlist__'!$C$2:$C1014=$C17)))"),4.5)</f>
        <v>4.5</v>
      </c>
      <c r="I17" s="9">
        <f>IFERROR(__xludf.DUMMYFUNCTION("AVERAGE(FILTER('__flatlist__'!I$2:I1014,('__flatlist__'!$B$2:$B1014=$B17),('__flatlist__'!$C$2:$C1014=$C17)))"),4.3)</f>
        <v>4.3</v>
      </c>
      <c r="J17" s="9">
        <f t="shared" si="1"/>
        <v>4.5</v>
      </c>
      <c r="K17" s="12">
        <f t="shared" si="2"/>
        <v>3</v>
      </c>
      <c r="M17" s="4"/>
      <c r="N17" s="11"/>
    </row>
    <row r="18">
      <c r="A18" s="6"/>
      <c r="B18" s="6" t="s">
        <v>26</v>
      </c>
      <c r="C18" s="7" t="s">
        <v>8</v>
      </c>
      <c r="D18" s="8">
        <f>IFERROR(__xludf.DUMMYFUNCTION("AVERAGE(FILTER('__flatlist__'!D$2:D1014,('__flatlist__'!$B$2:$B1014=$B18),('__flatlist__'!$C$2:$C1014=$C18)))"),0.26223569924419643)</f>
        <v>0.2622356992</v>
      </c>
      <c r="E18" s="9">
        <f>IFERROR(__xludf.DUMMYFUNCTION("AVERAGE(FILTER('__flatlist__'!E$2:E1014,('__flatlist__'!$B$2:$B1014=$B18),('__flatlist__'!$C$2:$C1014=$C18)))"),3.0)</f>
        <v>3</v>
      </c>
      <c r="F18" s="9">
        <f>IFERROR(__xludf.DUMMYFUNCTION("AVERAGE(FILTER('__flatlist__'!F$2:F1014,('__flatlist__'!$B$2:$B1014=$B18),('__flatlist__'!$C$2:$C1014=$C18)))"),3.8)</f>
        <v>3.8</v>
      </c>
      <c r="G18" s="9">
        <f>IFERROR(__xludf.DUMMYFUNCTION("AVERAGE(FILTER('__flatlist__'!G$2:G1014,('__flatlist__'!$B$2:$B1014=$B18),('__flatlist__'!$C$2:$C1014=$C18)))"),4.9)</f>
        <v>4.9</v>
      </c>
      <c r="H18" s="9">
        <f>IFERROR(__xludf.DUMMYFUNCTION("AVERAGE(FILTER('__flatlist__'!H$2:H1014,('__flatlist__'!$B$2:$B1014=$B18),('__flatlist__'!$C$2:$C1014=$C18)))"),4.2)</f>
        <v>4.2</v>
      </c>
      <c r="I18" s="9">
        <f>IFERROR(__xludf.DUMMYFUNCTION("AVERAGE(FILTER('__flatlist__'!I$2:I1014,('__flatlist__'!$B$2:$B1014=$B18),('__flatlist__'!$C$2:$C1014=$C18)))"),4.3)</f>
        <v>4.3</v>
      </c>
      <c r="J18" s="9">
        <f t="shared" si="1"/>
        <v>4.04</v>
      </c>
      <c r="K18" s="12">
        <f t="shared" si="2"/>
        <v>19</v>
      </c>
      <c r="M18" s="4"/>
      <c r="N18" s="11"/>
    </row>
    <row r="19">
      <c r="A19" s="6"/>
      <c r="B19" s="6" t="s">
        <v>26</v>
      </c>
      <c r="C19" s="7" t="s">
        <v>21</v>
      </c>
      <c r="D19" s="8">
        <f>IFERROR(__xludf.DUMMYFUNCTION("AVERAGE(FILTER('__flatlist__'!D$2:D1014,('__flatlist__'!$B$2:$B1014=$B19),('__flatlist__'!$C$2:$C1014=$C19)))"),0.21816921384343663)</f>
        <v>0.2181692138</v>
      </c>
      <c r="E19" s="9">
        <f>IFERROR(__xludf.DUMMYFUNCTION("AVERAGE(FILTER('__flatlist__'!E$2:E1014,('__flatlist__'!$B$2:$B1014=$B19),('__flatlist__'!$C$2:$C1014=$C19)))"),4.2)</f>
        <v>4.2</v>
      </c>
      <c r="F19" s="9">
        <f>IFERROR(__xludf.DUMMYFUNCTION("AVERAGE(FILTER('__flatlist__'!F$2:F1014,('__flatlist__'!$B$2:$B1014=$B19),('__flatlist__'!$C$2:$C1014=$C19)))"),4.5)</f>
        <v>4.5</v>
      </c>
      <c r="G19" s="9">
        <f>IFERROR(__xludf.DUMMYFUNCTION("AVERAGE(FILTER('__flatlist__'!G$2:G1014,('__flatlist__'!$B$2:$B1014=$B19),('__flatlist__'!$C$2:$C1014=$C19)))"),4.9)</f>
        <v>4.9</v>
      </c>
      <c r="H19" s="9">
        <f>IFERROR(__xludf.DUMMYFUNCTION("AVERAGE(FILTER('__flatlist__'!H$2:H1014,('__flatlist__'!$B$2:$B1014=$B19),('__flatlist__'!$C$2:$C1014=$C19)))"),4.1)</f>
        <v>4.1</v>
      </c>
      <c r="I19" s="9">
        <f>IFERROR(__xludf.DUMMYFUNCTION("AVERAGE(FILTER('__flatlist__'!I$2:I1014,('__flatlist__'!$B$2:$B1014=$B19),('__flatlist__'!$C$2:$C1014=$C19)))"),4.3)</f>
        <v>4.3</v>
      </c>
      <c r="J19" s="9">
        <f t="shared" si="1"/>
        <v>4.4</v>
      </c>
      <c r="K19" s="12">
        <f t="shared" si="2"/>
        <v>4</v>
      </c>
      <c r="M19" s="4"/>
      <c r="N19" s="11"/>
    </row>
    <row r="20">
      <c r="A20" s="6"/>
      <c r="B20" s="6" t="s">
        <v>26</v>
      </c>
      <c r="C20" s="7" t="s">
        <v>22</v>
      </c>
      <c r="D20" s="8">
        <f>IFERROR(__xludf.DUMMYFUNCTION("AVERAGE(FILTER('__flatlist__'!D$2:D1014,('__flatlist__'!$B$2:$B1014=$B20),('__flatlist__'!$C$2:$C1014=$C20)))"),0.1833750291885912)</f>
        <v>0.1833750292</v>
      </c>
      <c r="E20" s="9">
        <f>IFERROR(__xludf.DUMMYFUNCTION("AVERAGE(FILTER('__flatlist__'!E$2:E1014,('__flatlist__'!$B$2:$B1014=$B20),('__flatlist__'!$C$2:$C1014=$C20)))"),4.3)</f>
        <v>4.3</v>
      </c>
      <c r="F20" s="9">
        <f>IFERROR(__xludf.DUMMYFUNCTION("AVERAGE(FILTER('__flatlist__'!F$2:F1014,('__flatlist__'!$B$2:$B1014=$B20),('__flatlist__'!$C$2:$C1014=$C20)))"),4.6)</f>
        <v>4.6</v>
      </c>
      <c r="G20" s="9">
        <f>IFERROR(__xludf.DUMMYFUNCTION("AVERAGE(FILTER('__flatlist__'!G$2:G1014,('__flatlist__'!$B$2:$B1014=$B20),('__flatlist__'!$C$2:$C1014=$C20)))"),5.0)</f>
        <v>5</v>
      </c>
      <c r="H20" s="9">
        <f>IFERROR(__xludf.DUMMYFUNCTION("AVERAGE(FILTER('__flatlist__'!H$2:H1014,('__flatlist__'!$B$2:$B1014=$B20),('__flatlist__'!$C$2:$C1014=$C20)))"),4.0)</f>
        <v>4</v>
      </c>
      <c r="I20" s="9">
        <f>IFERROR(__xludf.DUMMYFUNCTION("AVERAGE(FILTER('__flatlist__'!I$2:I1014,('__flatlist__'!$B$2:$B1014=$B20),('__flatlist__'!$C$2:$C1014=$C20)))"),3.9)</f>
        <v>3.9</v>
      </c>
      <c r="J20" s="9">
        <f t="shared" si="1"/>
        <v>4.36</v>
      </c>
      <c r="K20" s="12">
        <f t="shared" si="2"/>
        <v>9</v>
      </c>
      <c r="M20" s="4"/>
      <c r="N20" s="11"/>
    </row>
    <row r="21">
      <c r="A21" s="6"/>
      <c r="B21" s="6" t="s">
        <v>26</v>
      </c>
      <c r="C21" s="7" t="s">
        <v>23</v>
      </c>
      <c r="D21" s="8">
        <f>IFERROR(__xludf.DUMMYFUNCTION("AVERAGE(FILTER('__flatlist__'!D$2:D1014,('__flatlist__'!$B$2:$B1014=$B21),('__flatlist__'!$C$2:$C1014=$C21)))"),0.1721645593375625)</f>
        <v>0.1721645593</v>
      </c>
      <c r="E21" s="9">
        <f>IFERROR(__xludf.DUMMYFUNCTION("AVERAGE(FILTER('__flatlist__'!E$2:E1014,('__flatlist__'!$B$2:$B1014=$B21),('__flatlist__'!$C$2:$C1014=$C21)))"),4.1)</f>
        <v>4.1</v>
      </c>
      <c r="F21" s="9">
        <f>IFERROR(__xludf.DUMMYFUNCTION("AVERAGE(FILTER('__flatlist__'!F$2:F1014,('__flatlist__'!$B$2:$B1014=$B21),('__flatlist__'!$C$2:$C1014=$C21)))"),4.6)</f>
        <v>4.6</v>
      </c>
      <c r="G21" s="9">
        <f>IFERROR(__xludf.DUMMYFUNCTION("AVERAGE(FILTER('__flatlist__'!G$2:G1014,('__flatlist__'!$B$2:$B1014=$B21),('__flatlist__'!$C$2:$C1014=$C21)))"),4.8)</f>
        <v>4.8</v>
      </c>
      <c r="H21" s="9">
        <f>IFERROR(__xludf.DUMMYFUNCTION("AVERAGE(FILTER('__flatlist__'!H$2:H1014,('__flatlist__'!$B$2:$B1014=$B21),('__flatlist__'!$C$2:$C1014=$C21)))"),4.3)</f>
        <v>4.3</v>
      </c>
      <c r="I21" s="9">
        <f>IFERROR(__xludf.DUMMYFUNCTION("AVERAGE(FILTER('__flatlist__'!I$2:I1014,('__flatlist__'!$B$2:$B1014=$B21),('__flatlist__'!$C$2:$C1014=$C21)))"),4.0)</f>
        <v>4</v>
      </c>
      <c r="J21" s="9">
        <f t="shared" si="1"/>
        <v>4.36</v>
      </c>
      <c r="K21" s="12">
        <f t="shared" si="2"/>
        <v>8</v>
      </c>
      <c r="M21" s="4"/>
      <c r="N21" s="11"/>
    </row>
    <row r="22">
      <c r="A22" s="6"/>
      <c r="B22" s="10" t="s">
        <v>27</v>
      </c>
      <c r="C22" s="7" t="s">
        <v>21</v>
      </c>
      <c r="D22" s="8">
        <f>IFERROR(__xludf.DUMMYFUNCTION("AVERAGE(FILTER('__flatlist__'!D$2:D1014,('__flatlist__'!$B$2:$B1014=$B22),('__flatlist__'!$C$2:$C1014=$C22)))"),0.14263997851711055)</f>
        <v>0.1426399785</v>
      </c>
      <c r="E22" s="9">
        <f>IFERROR(__xludf.DUMMYFUNCTION("AVERAGE(FILTER('__flatlist__'!E$2:E1014,('__flatlist__'!$B$2:$B1014=$B22),('__flatlist__'!$C$2:$C1014=$C22)))"),4.3)</f>
        <v>4.3</v>
      </c>
      <c r="F22" s="9">
        <f>IFERROR(__xludf.DUMMYFUNCTION("AVERAGE(FILTER('__flatlist__'!F$2:F1014,('__flatlist__'!$B$2:$B1014=$B22),('__flatlist__'!$C$2:$C1014=$C22)))"),4.7)</f>
        <v>4.7</v>
      </c>
      <c r="G22" s="9">
        <f>IFERROR(__xludf.DUMMYFUNCTION("AVERAGE(FILTER('__flatlist__'!G$2:G1014,('__flatlist__'!$B$2:$B1014=$B22),('__flatlist__'!$C$2:$C1014=$C22)))"),4.8)</f>
        <v>4.8</v>
      </c>
      <c r="H22" s="9">
        <f>IFERROR(__xludf.DUMMYFUNCTION("AVERAGE(FILTER('__flatlist__'!H$2:H1014,('__flatlist__'!$B$2:$B1014=$B22),('__flatlist__'!$C$2:$C1014=$C22)))"),4.3)</f>
        <v>4.3</v>
      </c>
      <c r="I22" s="9">
        <f>IFERROR(__xludf.DUMMYFUNCTION("AVERAGE(FILTER('__flatlist__'!I$2:I1014,('__flatlist__'!$B$2:$B1014=$B22),('__flatlist__'!$C$2:$C1014=$C22)))"),3.9)</f>
        <v>3.9</v>
      </c>
      <c r="J22" s="9">
        <f t="shared" si="1"/>
        <v>4.4</v>
      </c>
      <c r="K22" s="12">
        <f t="shared" si="2"/>
        <v>4</v>
      </c>
      <c r="M22" s="4"/>
      <c r="N22" s="11"/>
    </row>
    <row r="23">
      <c r="A23" s="6"/>
      <c r="B23" s="10" t="s">
        <v>27</v>
      </c>
      <c r="C23" s="7" t="s">
        <v>22</v>
      </c>
      <c r="D23" s="8">
        <f>IFERROR(__xludf.DUMMYFUNCTION("AVERAGE(FILTER('__flatlist__'!D$2:D1014,('__flatlist__'!$B$2:$B1014=$B23),('__flatlist__'!$C$2:$C1014=$C23)))"),0.0992810868705089)</f>
        <v>0.09928108687</v>
      </c>
      <c r="E23" s="9">
        <f>IFERROR(__xludf.DUMMYFUNCTION("AVERAGE(FILTER('__flatlist__'!E$2:E1014,('__flatlist__'!$B$2:$B1014=$B23),('__flatlist__'!$C$2:$C1014=$C23)))"),4.7)</f>
        <v>4.7</v>
      </c>
      <c r="F23" s="9">
        <f>IFERROR(__xludf.DUMMYFUNCTION("AVERAGE(FILTER('__flatlist__'!F$2:F1014,('__flatlist__'!$B$2:$B1014=$B23),('__flatlist__'!$C$2:$C1014=$C23)))"),4.7)</f>
        <v>4.7</v>
      </c>
      <c r="G23" s="9">
        <f>IFERROR(__xludf.DUMMYFUNCTION("AVERAGE(FILTER('__flatlist__'!G$2:G1014,('__flatlist__'!$B$2:$B1014=$B23),('__flatlist__'!$C$2:$C1014=$C23)))"),4.9)</f>
        <v>4.9</v>
      </c>
      <c r="H23" s="9">
        <f>IFERROR(__xludf.DUMMYFUNCTION("AVERAGE(FILTER('__flatlist__'!H$2:H1014,('__flatlist__'!$B$2:$B1014=$B23),('__flatlist__'!$C$2:$C1014=$C23)))"),4.1)</f>
        <v>4.1</v>
      </c>
      <c r="I23" s="9">
        <f>IFERROR(__xludf.DUMMYFUNCTION("AVERAGE(FILTER('__flatlist__'!I$2:I1014,('__flatlist__'!$B$2:$B1014=$B23),('__flatlist__'!$C$2:$C1014=$C23)))"),2.7)</f>
        <v>2.7</v>
      </c>
      <c r="J23" s="9">
        <f t="shared" si="1"/>
        <v>4.22</v>
      </c>
      <c r="K23" s="12">
        <f t="shared" si="2"/>
        <v>14</v>
      </c>
      <c r="M23" s="4"/>
      <c r="N23" s="11"/>
    </row>
    <row r="24">
      <c r="A24" s="6"/>
      <c r="B24" s="10" t="s">
        <v>27</v>
      </c>
      <c r="C24" s="7" t="s">
        <v>8</v>
      </c>
      <c r="D24" s="8">
        <f>IFERROR(__xludf.DUMMYFUNCTION("AVERAGE(FILTER('__flatlist__'!D$2:D1014,('__flatlist__'!$B$2:$B1014=$B24),('__flatlist__'!$C$2:$C1014=$C24)))"),0.2377610689255621)</f>
        <v>0.2377610689</v>
      </c>
      <c r="E24" s="9">
        <f>IFERROR(__xludf.DUMMYFUNCTION("AVERAGE(FILTER('__flatlist__'!E$2:E1014,('__flatlist__'!$B$2:$B1014=$B24),('__flatlist__'!$C$2:$C1014=$C24)))"),3.0)</f>
        <v>3</v>
      </c>
      <c r="F24" s="9">
        <f>IFERROR(__xludf.DUMMYFUNCTION("AVERAGE(FILTER('__flatlist__'!F$2:F1014,('__flatlist__'!$B$2:$B1014=$B24),('__flatlist__'!$C$2:$C1014=$C24)))"),4.1)</f>
        <v>4.1</v>
      </c>
      <c r="G24" s="9">
        <f>IFERROR(__xludf.DUMMYFUNCTION("AVERAGE(FILTER('__flatlist__'!G$2:G1014,('__flatlist__'!$B$2:$B1014=$B24),('__flatlist__'!$C$2:$C1014=$C24)))"),4.7)</f>
        <v>4.7</v>
      </c>
      <c r="H24" s="9">
        <f>IFERROR(__xludf.DUMMYFUNCTION("AVERAGE(FILTER('__flatlist__'!H$2:H1014,('__flatlist__'!$B$2:$B1014=$B24),('__flatlist__'!$C$2:$C1014=$C24)))"),4.1)</f>
        <v>4.1</v>
      </c>
      <c r="I24" s="9">
        <f>IFERROR(__xludf.DUMMYFUNCTION("AVERAGE(FILTER('__flatlist__'!I$2:I1014,('__flatlist__'!$B$2:$B1014=$B24),('__flatlist__'!$C$2:$C1014=$C24)))"),4.1)</f>
        <v>4.1</v>
      </c>
      <c r="J24" s="9">
        <f t="shared" si="1"/>
        <v>4</v>
      </c>
      <c r="K24" s="12">
        <f t="shared" si="2"/>
        <v>20</v>
      </c>
      <c r="M24" s="4"/>
      <c r="N24" s="11"/>
    </row>
    <row r="25">
      <c r="A25" s="6"/>
      <c r="B25" s="10" t="s">
        <v>27</v>
      </c>
      <c r="C25" s="7" t="s">
        <v>23</v>
      </c>
      <c r="D25" s="8">
        <f>IFERROR(__xludf.DUMMYFUNCTION("AVERAGE(FILTER('__flatlist__'!D$2:D1014,('__flatlist__'!$B$2:$B1014=$B25),('__flatlist__'!$C$2:$C1014=$C25)))"),0.08024754184415836)</f>
        <v>0.08024754184</v>
      </c>
      <c r="E25" s="9">
        <f>IFERROR(__xludf.DUMMYFUNCTION("AVERAGE(FILTER('__flatlist__'!E$2:E1014,('__flatlist__'!$B$2:$B1014=$B25),('__flatlist__'!$C$2:$C1014=$C25)))"),4.6)</f>
        <v>4.6</v>
      </c>
      <c r="F25" s="9">
        <f>IFERROR(__xludf.DUMMYFUNCTION("AVERAGE(FILTER('__flatlist__'!F$2:F1014,('__flatlist__'!$B$2:$B1014=$B25),('__flatlist__'!$C$2:$C1014=$C25)))"),4.7)</f>
        <v>4.7</v>
      </c>
      <c r="G25" s="9">
        <f>IFERROR(__xludf.DUMMYFUNCTION("AVERAGE(FILTER('__flatlist__'!G$2:G1014,('__flatlist__'!$B$2:$B1014=$B25),('__flatlist__'!$C$2:$C1014=$C25)))"),4.8)</f>
        <v>4.8</v>
      </c>
      <c r="H25" s="9">
        <f>IFERROR(__xludf.DUMMYFUNCTION("AVERAGE(FILTER('__flatlist__'!H$2:H1014,('__flatlist__'!$B$2:$B1014=$B25),('__flatlist__'!$C$2:$C1014=$C25)))"),5.0)</f>
        <v>5</v>
      </c>
      <c r="I25" s="9">
        <f>IFERROR(__xludf.DUMMYFUNCTION("AVERAGE(FILTER('__flatlist__'!I$2:I1014,('__flatlist__'!$B$2:$B1014=$B25),('__flatlist__'!$C$2:$C1014=$C25)))"),2.9)</f>
        <v>2.9</v>
      </c>
      <c r="J25" s="9">
        <f t="shared" si="1"/>
        <v>4.4</v>
      </c>
      <c r="K25" s="12">
        <f t="shared" si="2"/>
        <v>4</v>
      </c>
      <c r="M25" s="4"/>
      <c r="N25" s="11"/>
    </row>
    <row r="26">
      <c r="C26" s="7"/>
      <c r="E26" s="9"/>
      <c r="F26" s="9"/>
      <c r="G26" s="9"/>
      <c r="H26" s="9"/>
      <c r="I26" s="9"/>
      <c r="M26" s="4"/>
      <c r="N26" s="11"/>
    </row>
    <row r="27">
      <c r="A27" s="13"/>
      <c r="B27" s="14"/>
      <c r="C27" s="14"/>
      <c r="D27" s="13" t="s">
        <v>28</v>
      </c>
      <c r="E27" s="15"/>
      <c r="F27" s="15"/>
      <c r="G27" s="15"/>
      <c r="H27" s="15"/>
      <c r="I27" s="15"/>
      <c r="J27" s="15"/>
      <c r="K27" s="16"/>
      <c r="M27" s="4"/>
      <c r="N27" s="11"/>
    </row>
    <row r="28">
      <c r="A28" s="17" t="str">
        <f>'🤖 Claude Sonnet 3.5'!$A$2</f>
        <v>http://elpais.com/deportes/2019/08/17/actualidad/1566005143_044557.html</v>
      </c>
      <c r="B28" s="18"/>
      <c r="C28" s="19"/>
      <c r="D28" s="20">
        <f>IFERROR(__xludf.DUMMYFUNCTION("AVERAGE(FILTER('__flatlist__'!D$2:D1014,('__flatlist__'!$A$2:$A1014=$A28)))"),0.135660106601066)</f>
        <v>0.1356601066</v>
      </c>
      <c r="E28" s="21">
        <f>IFERROR(__xludf.DUMMYFUNCTION("AVERAGE(FILTER('__flatlist__'!E$2:E1014,('__flatlist__'!$A$2:$A1014=$A28)))"),3.869565217391304)</f>
        <v>3.869565217</v>
      </c>
      <c r="F28" s="21">
        <f>IFERROR(__xludf.DUMMYFUNCTION("AVERAGE(FILTER('__flatlist__'!F$2:F1014,('__flatlist__'!$A$2:$A1014=$A28)))"),4.826086956521739)</f>
        <v>4.826086957</v>
      </c>
      <c r="G28" s="21">
        <f>IFERROR(__xludf.DUMMYFUNCTION("AVERAGE(FILTER('__flatlist__'!G$2:G1014,('__flatlist__'!$A$2:$A1014=$A28)))"),4.6521739130434785)</f>
        <v>4.652173913</v>
      </c>
      <c r="H28" s="21">
        <f>IFERROR(__xludf.DUMMYFUNCTION("AVERAGE(FILTER('__flatlist__'!H$2:H1014,('__flatlist__'!$A$2:$A1014=$A28)))"),3.782608695652174)</f>
        <v>3.782608696</v>
      </c>
      <c r="I28" s="21">
        <f>IFERROR(__xludf.DUMMYFUNCTION("AVERAGE(FILTER('__flatlist__'!I$2:I1014,('__flatlist__'!$A$2:$A1014=$A28)))"),4.521739130434782)</f>
        <v>4.52173913</v>
      </c>
      <c r="J28" s="21">
        <f t="shared" ref="J28:J46" si="3">average(E28:I28)</f>
        <v>4.330434783</v>
      </c>
      <c r="K28" s="22"/>
      <c r="M28" s="4"/>
      <c r="N28" s="11"/>
    </row>
    <row r="29">
      <c r="A29" s="23" t="str">
        <f>'🤖 Claude Sonnet 3.5'!$A$7</f>
        <v>http://elpais.com/elpais/2019/07/10/planeta_futuro/1562757015_950583.html</v>
      </c>
      <c r="B29" s="6"/>
      <c r="D29" s="8">
        <f>IFERROR(__xludf.DUMMYFUNCTION("AVERAGE(FILTER('__flatlist__'!D$2:D1014,('__flatlist__'!$A$2:$A1014=$A29)))"),0.14568908671282557)</f>
        <v>0.1456890867</v>
      </c>
      <c r="E29" s="9">
        <f>IFERROR(__xludf.DUMMYFUNCTION("AVERAGE(FILTER('__flatlist__'!E$2:E1014,('__flatlist__'!$A$2:$A1014=$A29)))"),3.9565217391304346)</f>
        <v>3.956521739</v>
      </c>
      <c r="F29" s="9">
        <f>IFERROR(__xludf.DUMMYFUNCTION("AVERAGE(FILTER('__flatlist__'!F$2:F1014,('__flatlist__'!$A$2:$A1014=$A29)))"),3.869565217391304)</f>
        <v>3.869565217</v>
      </c>
      <c r="G29" s="9">
        <f>IFERROR(__xludf.DUMMYFUNCTION("AVERAGE(FILTER('__flatlist__'!G$2:G1014,('__flatlist__'!$A$2:$A1014=$A29)))"),5.0)</f>
        <v>5</v>
      </c>
      <c r="H29" s="9">
        <f>IFERROR(__xludf.DUMMYFUNCTION("AVERAGE(FILTER('__flatlist__'!H$2:H1014,('__flatlist__'!$A$2:$A1014=$A29)))"),4.304347826086956)</f>
        <v>4.304347826</v>
      </c>
      <c r="I29" s="9">
        <f>IFERROR(__xludf.DUMMYFUNCTION("AVERAGE(FILTER('__flatlist__'!I$2:I1014,('__flatlist__'!$A$2:$A1014=$A29)))"),4.086956521739131)</f>
        <v>4.086956522</v>
      </c>
      <c r="J29" s="9">
        <f t="shared" si="3"/>
        <v>4.243478261</v>
      </c>
      <c r="K29" s="24"/>
      <c r="M29" s="4"/>
      <c r="N29" s="11"/>
    </row>
    <row r="30">
      <c r="A30" s="23" t="str">
        <f>'🤖 Claude Sonnet 3.5'!$A$12</f>
        <v>http://elpais.com/ccaa/2019/09/12/madrid/1568307703_277564.html</v>
      </c>
      <c r="B30" s="6"/>
      <c r="D30" s="8">
        <f>IFERROR(__xludf.DUMMYFUNCTION("AVERAGE(FILTER('__flatlist__'!D$2:D1014,('__flatlist__'!$A$2:$A1014=$A30)))"),0.07893026004728135)</f>
        <v>0.07893026005</v>
      </c>
      <c r="E30" s="9">
        <f>IFERROR(__xludf.DUMMYFUNCTION("AVERAGE(FILTER('__flatlist__'!E$2:E1014,('__flatlist__'!$A$2:$A1014=$A30)))"),3.7)</f>
        <v>3.7</v>
      </c>
      <c r="F30" s="9">
        <f>IFERROR(__xludf.DUMMYFUNCTION("AVERAGE(FILTER('__flatlist__'!F$2:F1014,('__flatlist__'!$A$2:$A1014=$A30)))"),4.7)</f>
        <v>4.7</v>
      </c>
      <c r="G30" s="9">
        <f>IFERROR(__xludf.DUMMYFUNCTION("AVERAGE(FILTER('__flatlist__'!G$2:G1014,('__flatlist__'!$A$2:$A1014=$A30)))"),4.9)</f>
        <v>4.9</v>
      </c>
      <c r="H30" s="9">
        <f>IFERROR(__xludf.DUMMYFUNCTION("AVERAGE(FILTER('__flatlist__'!H$2:H1014,('__flatlist__'!$A$2:$A1014=$A30)))"),4.4)</f>
        <v>4.4</v>
      </c>
      <c r="I30" s="9">
        <f>IFERROR(__xludf.DUMMYFUNCTION("AVERAGE(FILTER('__flatlist__'!I$2:I1014,('__flatlist__'!$A$2:$A1014=$A30)))"),3.85)</f>
        <v>3.85</v>
      </c>
      <c r="J30" s="9">
        <f t="shared" si="3"/>
        <v>4.31</v>
      </c>
      <c r="K30" s="24"/>
      <c r="M30" s="4"/>
      <c r="N30" s="11"/>
    </row>
    <row r="31">
      <c r="A31" s="23" t="str">
        <f>'🤖 Claude Sonnet 3.5'!$A$17</f>
        <v>http://elpais.com/deportes/2019/08/10/actualidad/1565426201_075062.html</v>
      </c>
      <c r="B31" s="6"/>
      <c r="D31" s="8">
        <f>IFERROR(__xludf.DUMMYFUNCTION("AVERAGE(FILTER('__flatlist__'!D$2:D1014,('__flatlist__'!$A$2:$A1014=$A31)))"),0.18379563774300614)</f>
        <v>0.1837956377</v>
      </c>
      <c r="E31" s="9">
        <f>IFERROR(__xludf.DUMMYFUNCTION("AVERAGE(FILTER('__flatlist__'!E$2:E1014,('__flatlist__'!$A$2:$A1014=$A31)))"),3.9565217391304346)</f>
        <v>3.956521739</v>
      </c>
      <c r="F31" s="9">
        <f>IFERROR(__xludf.DUMMYFUNCTION("AVERAGE(FILTER('__flatlist__'!F$2:F1014,('__flatlist__'!$A$2:$A1014=$A31)))"),4.478260869565218)</f>
        <v>4.47826087</v>
      </c>
      <c r="G31" s="9">
        <f>IFERROR(__xludf.DUMMYFUNCTION("AVERAGE(FILTER('__flatlist__'!G$2:G1014,('__flatlist__'!$A$2:$A1014=$A31)))"),4.913043478260869)</f>
        <v>4.913043478</v>
      </c>
      <c r="H31" s="9">
        <f>IFERROR(__xludf.DUMMYFUNCTION("AVERAGE(FILTER('__flatlist__'!H$2:H1014,('__flatlist__'!$A$2:$A1014=$A31)))"),4.217391304347826)</f>
        <v>4.217391304</v>
      </c>
      <c r="I31" s="9">
        <f>IFERROR(__xludf.DUMMYFUNCTION("AVERAGE(FILTER('__flatlist__'!I$2:I1014,('__flatlist__'!$A$2:$A1014=$A31)))"),4.086956521739131)</f>
        <v>4.086956522</v>
      </c>
      <c r="J31" s="9">
        <f t="shared" si="3"/>
        <v>4.330434783</v>
      </c>
      <c r="K31" s="24"/>
      <c r="M31" s="4"/>
      <c r="N31" s="11"/>
    </row>
    <row r="32">
      <c r="A32" s="23" t="str">
        <f>'🤖 Claude Sonnet 3.5'!$A$22</f>
        <v>http://elpais.com/elpais/2019/07/11/gente/1562866782_776897.html</v>
      </c>
      <c r="B32" s="6"/>
      <c r="D32" s="8">
        <f>IFERROR(__xludf.DUMMYFUNCTION("AVERAGE(FILTER('__flatlist__'!D$2:D1014,('__flatlist__'!$A$2:$A1014=$A32)))"),0.0979721622270218)</f>
        <v>0.09797216223</v>
      </c>
      <c r="E32" s="9">
        <f>IFERROR(__xludf.DUMMYFUNCTION("AVERAGE(FILTER('__flatlist__'!E$2:E1014,('__flatlist__'!$A$2:$A1014=$A32)))"),4.217391304347826)</f>
        <v>4.217391304</v>
      </c>
      <c r="F32" s="9">
        <f>IFERROR(__xludf.DUMMYFUNCTION("AVERAGE(FILTER('__flatlist__'!F$2:F1014,('__flatlist__'!$A$2:$A1014=$A32)))"),4.869565217391305)</f>
        <v>4.869565217</v>
      </c>
      <c r="G32" s="9">
        <f>IFERROR(__xludf.DUMMYFUNCTION("AVERAGE(FILTER('__flatlist__'!G$2:G1014,('__flatlist__'!$A$2:$A1014=$A32)))"),4.956521739130435)</f>
        <v>4.956521739</v>
      </c>
      <c r="H32" s="9">
        <f>IFERROR(__xludf.DUMMYFUNCTION("AVERAGE(FILTER('__flatlist__'!H$2:H1014,('__flatlist__'!$A$2:$A1014=$A32)))"),3.9130434782608696)</f>
        <v>3.913043478</v>
      </c>
      <c r="I32" s="9">
        <f>IFERROR(__xludf.DUMMYFUNCTION("AVERAGE(FILTER('__flatlist__'!I$2:I1014,('__flatlist__'!$A$2:$A1014=$A32)))"),3.9130434782608696)</f>
        <v>3.913043478</v>
      </c>
      <c r="J32" s="9">
        <f t="shared" si="3"/>
        <v>4.373913043</v>
      </c>
      <c r="K32" s="24"/>
      <c r="M32" s="4"/>
      <c r="N32" s="11"/>
    </row>
    <row r="33">
      <c r="A33" s="23" t="str">
        <f>'🤖 Claude Sonnet 3.5'!$A$27</f>
        <v>http://elpais.com/elpais/2019/07/19/ciencia/1563535714_854872.html</v>
      </c>
      <c r="B33" s="6"/>
      <c r="D33" s="8">
        <f>IFERROR(__xludf.DUMMYFUNCTION("AVERAGE(FILTER('__flatlist__'!D$2:D1014,('__flatlist__'!$A$2:$A1014=$A33)))"),0.2459055876685935)</f>
        <v>0.2459055877</v>
      </c>
      <c r="E33" s="9">
        <f>IFERROR(__xludf.DUMMYFUNCTION("AVERAGE(FILTER('__flatlist__'!E$2:E1014,('__flatlist__'!$A$2:$A1014=$A33)))"),4.086956521739131)</f>
        <v>4.086956522</v>
      </c>
      <c r="F33" s="9">
        <f>IFERROR(__xludf.DUMMYFUNCTION("AVERAGE(FILTER('__flatlist__'!F$2:F1014,('__flatlist__'!$A$2:$A1014=$A33)))"),4.6521739130434785)</f>
        <v>4.652173913</v>
      </c>
      <c r="G33" s="9">
        <f>IFERROR(__xludf.DUMMYFUNCTION("AVERAGE(FILTER('__flatlist__'!G$2:G1014,('__flatlist__'!$A$2:$A1014=$A33)))"),4.869565217391305)</f>
        <v>4.869565217</v>
      </c>
      <c r="H33" s="9">
        <f>IFERROR(__xludf.DUMMYFUNCTION("AVERAGE(FILTER('__flatlist__'!H$2:H1014,('__flatlist__'!$A$2:$A1014=$A33)))"),4.260869565217392)</f>
        <v>4.260869565</v>
      </c>
      <c r="I33" s="9">
        <f>IFERROR(__xludf.DUMMYFUNCTION("AVERAGE(FILTER('__flatlist__'!I$2:I1014,('__flatlist__'!$A$2:$A1014=$A33)))"),4.043478260869565)</f>
        <v>4.043478261</v>
      </c>
      <c r="J33" s="9">
        <f t="shared" si="3"/>
        <v>4.382608696</v>
      </c>
      <c r="K33" s="24"/>
      <c r="M33" s="4"/>
      <c r="N33" s="11"/>
    </row>
    <row r="34">
      <c r="A34" s="23" t="str">
        <f>'🤖 Claude Sonnet 3.5'!$A$32</f>
        <v>http://elpais.com/ccaa/2019/09/28/catalunya/1569665675_576416.html</v>
      </c>
      <c r="B34" s="6"/>
      <c r="D34" s="8">
        <f>IFERROR(__xludf.DUMMYFUNCTION("AVERAGE(FILTER('__flatlist__'!D$2:D1014,('__flatlist__'!$A$2:$A1014=$A34)))"),0.46238738738738744)</f>
        <v>0.4623873874</v>
      </c>
      <c r="E34" s="9">
        <f>IFERROR(__xludf.DUMMYFUNCTION("AVERAGE(FILTER('__flatlist__'!E$2:E1014,('__flatlist__'!$A$2:$A1014=$A34)))"),4.0)</f>
        <v>4</v>
      </c>
      <c r="F34" s="9">
        <f>IFERROR(__xludf.DUMMYFUNCTION("AVERAGE(FILTER('__flatlist__'!F$2:F1014,('__flatlist__'!$A$2:$A1014=$A34)))"),4.6521739130434785)</f>
        <v>4.652173913</v>
      </c>
      <c r="G34" s="9">
        <f>IFERROR(__xludf.DUMMYFUNCTION("AVERAGE(FILTER('__flatlist__'!G$2:G1014,('__flatlist__'!$A$2:$A1014=$A34)))"),4.913043478260869)</f>
        <v>4.913043478</v>
      </c>
      <c r="H34" s="9">
        <f>IFERROR(__xludf.DUMMYFUNCTION("AVERAGE(FILTER('__flatlist__'!H$2:H1014,('__flatlist__'!$A$2:$A1014=$A34)))"),4.260869565217392)</f>
        <v>4.260869565</v>
      </c>
      <c r="I34" s="9">
        <f>IFERROR(__xludf.DUMMYFUNCTION("AVERAGE(FILTER('__flatlist__'!I$2:I1014,('__flatlist__'!$A$2:$A1014=$A34)))"),4.217391304347826)</f>
        <v>4.217391304</v>
      </c>
      <c r="J34" s="9">
        <f t="shared" si="3"/>
        <v>4.408695652</v>
      </c>
      <c r="K34" s="24"/>
      <c r="M34" s="4"/>
      <c r="N34" s="11"/>
    </row>
    <row r="35">
      <c r="A35" s="23" t="str">
        <f>'🤖 Claude Sonnet 3.5'!$A$37</f>
        <v>http://elpais.com/elpais/2019/07/17/gente/1563351601_839455.html</v>
      </c>
      <c r="B35" s="6"/>
      <c r="D35" s="8">
        <f>IFERROR(__xludf.DUMMYFUNCTION("AVERAGE(FILTER('__flatlist__'!D$2:D1014,('__flatlist__'!$A$2:$A1014=$A35)))"),0.13407214254671887)</f>
        <v>0.1340721425</v>
      </c>
      <c r="E35" s="9">
        <f>IFERROR(__xludf.DUMMYFUNCTION("AVERAGE(FILTER('__flatlist__'!E$2:E1014,('__flatlist__'!$A$2:$A1014=$A35)))"),3.9130434782608696)</f>
        <v>3.913043478</v>
      </c>
      <c r="F35" s="9">
        <f>IFERROR(__xludf.DUMMYFUNCTION("AVERAGE(FILTER('__flatlist__'!F$2:F1014,('__flatlist__'!$A$2:$A1014=$A35)))"),4.565217391304348)</f>
        <v>4.565217391</v>
      </c>
      <c r="G35" s="9">
        <f>IFERROR(__xludf.DUMMYFUNCTION("AVERAGE(FILTER('__flatlist__'!G$2:G1014,('__flatlist__'!$A$2:$A1014=$A35)))"),4.826086956521739)</f>
        <v>4.826086957</v>
      </c>
      <c r="H35" s="9">
        <f>IFERROR(__xludf.DUMMYFUNCTION("AVERAGE(FILTER('__flatlist__'!H$2:H1014,('__flatlist__'!$A$2:$A1014=$A35)))"),4.086956521739131)</f>
        <v>4.086956522</v>
      </c>
      <c r="I35" s="9">
        <f>IFERROR(__xludf.DUMMYFUNCTION("AVERAGE(FILTER('__flatlist__'!I$2:I1014,('__flatlist__'!$A$2:$A1014=$A35)))"),3.739130434782609)</f>
        <v>3.739130435</v>
      </c>
      <c r="J35" s="9">
        <f t="shared" si="3"/>
        <v>4.226086957</v>
      </c>
      <c r="K35" s="24"/>
      <c r="M35" s="4"/>
      <c r="N35" s="11"/>
    </row>
    <row r="36">
      <c r="A36" s="23" t="str">
        <f>'🤖 Claude Sonnet 3.5'!$A$42</f>
        <v>http://elpais.com/tecnologia/2019/08/20/actualidad/1566294736_117123.html</v>
      </c>
      <c r="B36" s="6"/>
      <c r="D36" s="8">
        <f>IFERROR(__xludf.DUMMYFUNCTION("AVERAGE(FILTER('__flatlist__'!D$2:D1014,('__flatlist__'!$A$2:$A1014=$A36)))"),0.19798971482000935)</f>
        <v>0.1979897148</v>
      </c>
      <c r="E36" s="9">
        <f>IFERROR(__xludf.DUMMYFUNCTION("AVERAGE(FILTER('__flatlist__'!E$2:E1014,('__flatlist__'!$A$2:$A1014=$A36)))"),3.9130434782608696)</f>
        <v>3.913043478</v>
      </c>
      <c r="F36" s="9">
        <f>IFERROR(__xludf.DUMMYFUNCTION("AVERAGE(FILTER('__flatlist__'!F$2:F1014,('__flatlist__'!$A$2:$A1014=$A36)))"),4.6521739130434785)</f>
        <v>4.652173913</v>
      </c>
      <c r="G36" s="9">
        <f>IFERROR(__xludf.DUMMYFUNCTION("AVERAGE(FILTER('__flatlist__'!G$2:G1014,('__flatlist__'!$A$2:$A1014=$A36)))"),5.0)</f>
        <v>5</v>
      </c>
      <c r="H36" s="9">
        <f>IFERROR(__xludf.DUMMYFUNCTION("AVERAGE(FILTER('__flatlist__'!H$2:H1014,('__flatlist__'!$A$2:$A1014=$A36)))"),3.739130434782609)</f>
        <v>3.739130435</v>
      </c>
      <c r="I36" s="9">
        <f>IFERROR(__xludf.DUMMYFUNCTION("AVERAGE(FILTER('__flatlist__'!I$2:I1014,('__flatlist__'!$A$2:$A1014=$A36)))"),4.695652173913044)</f>
        <v>4.695652174</v>
      </c>
      <c r="J36" s="9">
        <f t="shared" si="3"/>
        <v>4.4</v>
      </c>
      <c r="K36" s="24"/>
      <c r="M36" s="4"/>
      <c r="N36" s="11"/>
    </row>
    <row r="37">
      <c r="A37" s="25" t="str">
        <f>'🤖 Claude Sonnet 3.5'!$A$47</f>
        <v>http://elpais.com/elpais/2019/07/05/ideas/1562335565_606827.html</v>
      </c>
      <c r="B37" s="26"/>
      <c r="C37" s="27"/>
      <c r="D37" s="28">
        <f>IFERROR(__xludf.DUMMYFUNCTION("AVERAGE(FILTER('__flatlist__'!D$2:D1014,('__flatlist__'!$A$2:$A1014=$A37)))"),0.11186350806022749)</f>
        <v>0.1118635081</v>
      </c>
      <c r="E37" s="29">
        <f>IFERROR(__xludf.DUMMYFUNCTION("AVERAGE(FILTER('__flatlist__'!E$2:E1014,('__flatlist__'!$A$2:$A1014=$A37)))"),4.0)</f>
        <v>4</v>
      </c>
      <c r="F37" s="29">
        <f>IFERROR(__xludf.DUMMYFUNCTION("AVERAGE(FILTER('__flatlist__'!F$2:F1014,('__flatlist__'!$A$2:$A1014=$A37)))"),4.869565217391305)</f>
        <v>4.869565217</v>
      </c>
      <c r="G37" s="29">
        <f>IFERROR(__xludf.DUMMYFUNCTION("AVERAGE(FILTER('__flatlist__'!G$2:G1014,('__flatlist__'!$A$2:$A1014=$A37)))"),4.782608695652174)</f>
        <v>4.782608696</v>
      </c>
      <c r="H37" s="29">
        <f>IFERROR(__xludf.DUMMYFUNCTION("AVERAGE(FILTER('__flatlist__'!H$2:H1014,('__flatlist__'!$A$2:$A1014=$A37)))"),4.260869565217392)</f>
        <v>4.260869565</v>
      </c>
      <c r="I37" s="29">
        <f>IFERROR(__xludf.DUMMYFUNCTION("AVERAGE(FILTER('__flatlist__'!I$2:I1014,('__flatlist__'!$A$2:$A1014=$A37)))"),3.9565217391304346)</f>
        <v>3.956521739</v>
      </c>
      <c r="J37" s="29">
        <f t="shared" si="3"/>
        <v>4.373913043</v>
      </c>
      <c r="K37" s="30"/>
      <c r="M37" s="4"/>
      <c r="N37" s="11"/>
    </row>
    <row r="38">
      <c r="A38" s="31"/>
      <c r="B38" s="6" t="s">
        <v>20</v>
      </c>
      <c r="D38" s="8">
        <f>IFERROR(__xludf.DUMMYFUNCTION("AVERAGE(FILTER('__flatlist__'!D$2:D1014,('__flatlist__'!$B$2:$B1014=$B38)))"),0.1846453048525849)</f>
        <v>0.1846453049</v>
      </c>
      <c r="E38" s="9">
        <f>IFERROR(__xludf.DUMMYFUNCTION("AVERAGE(FILTER('__flatlist__'!E$2:E1014,('__flatlist__'!$B$2:$B1014=$B38)))"),3.05)</f>
        <v>3.05</v>
      </c>
      <c r="F38" s="9">
        <f>IFERROR(__xludf.DUMMYFUNCTION("AVERAGE(FILTER('__flatlist__'!F$2:F1014,('__flatlist__'!$B$2:$B1014=$B38)))"),4.65)</f>
        <v>4.65</v>
      </c>
      <c r="G38" s="9">
        <f>IFERROR(__xludf.DUMMYFUNCTION("AVERAGE(FILTER('__flatlist__'!G$2:G1014,('__flatlist__'!$B$2:$B1014=$B38)))"),4.8)</f>
        <v>4.8</v>
      </c>
      <c r="H38" s="9">
        <f>IFERROR(__xludf.DUMMYFUNCTION("AVERAGE(FILTER('__flatlist__'!H$2:H1014,('__flatlist__'!$B$2:$B1014=$B38)))"),3.825)</f>
        <v>3.825</v>
      </c>
      <c r="I38" s="9">
        <f>IFERROR(__xludf.DUMMYFUNCTION("AVERAGE(FILTER('__flatlist__'!I$2:I1014,('__flatlist__'!$B$2:$B1014=$B38)))"),4.725)</f>
        <v>4.725</v>
      </c>
      <c r="J38" s="9">
        <f t="shared" si="3"/>
        <v>4.21</v>
      </c>
      <c r="K38" s="32">
        <f t="shared" ref="K38:K42" si="4">rank(J38,$J$38:$J$42,FALSE)</f>
        <v>5</v>
      </c>
      <c r="M38" s="4"/>
      <c r="N38" s="11"/>
    </row>
    <row r="39">
      <c r="A39" s="31"/>
      <c r="B39" s="6" t="s">
        <v>24</v>
      </c>
      <c r="D39" s="8">
        <f>IFERROR(__xludf.DUMMYFUNCTION("AVERAGE(FILTER('__flatlist__'!D$2:D1014,('__flatlist__'!$B$2:$B1014=$B39)))"),0.21108245735730788)</f>
        <v>0.2110824574</v>
      </c>
      <c r="E39" s="9">
        <f>IFERROR(__xludf.DUMMYFUNCTION("AVERAGE(FILTER('__flatlist__'!E$2:E1014,('__flatlist__'!$B$2:$B1014=$B39)))"),3.975)</f>
        <v>3.975</v>
      </c>
      <c r="F39" s="9">
        <f>IFERROR(__xludf.DUMMYFUNCTION("AVERAGE(FILTER('__flatlist__'!F$2:F1014,('__flatlist__'!$B$2:$B1014=$B39)))"),4.525)</f>
        <v>4.525</v>
      </c>
      <c r="G39" s="9">
        <f>IFERROR(__xludf.DUMMYFUNCTION("AVERAGE(FILTER('__flatlist__'!G$2:G1014,('__flatlist__'!$B$2:$B1014=$B39)))"),4.85)</f>
        <v>4.85</v>
      </c>
      <c r="H39" s="9">
        <f>IFERROR(__xludf.DUMMYFUNCTION("AVERAGE(FILTER('__flatlist__'!H$2:H1014,('__flatlist__'!$B$2:$B1014=$B39)))"),3.85)</f>
        <v>3.85</v>
      </c>
      <c r="I39" s="9">
        <f>IFERROR(__xludf.DUMMYFUNCTION("AVERAGE(FILTER('__flatlist__'!I$2:I1014,('__flatlist__'!$B$2:$B1014=$B39)))"),4.1)</f>
        <v>4.1</v>
      </c>
      <c r="J39" s="9">
        <f t="shared" si="3"/>
        <v>4.26</v>
      </c>
      <c r="K39" s="33">
        <f t="shared" si="4"/>
        <v>3</v>
      </c>
      <c r="M39" s="4"/>
      <c r="N39" s="11"/>
    </row>
    <row r="40">
      <c r="A40" s="31"/>
      <c r="B40" s="6" t="s">
        <v>25</v>
      </c>
      <c r="D40" s="8">
        <f>IFERROR(__xludf.DUMMYFUNCTION("AVERAGE(FILTER('__flatlist__'!D$2:D1014,('__flatlist__'!$B$2:$B1014=$B40)))"),0.1904595447445446)</f>
        <v>0.1904595447</v>
      </c>
      <c r="E40" s="9">
        <f>IFERROR(__xludf.DUMMYFUNCTION("AVERAGE(FILTER('__flatlist__'!E$2:E1014,('__flatlist__'!$B$2:$B1014=$B40)))"),4.1)</f>
        <v>4.1</v>
      </c>
      <c r="F40" s="9">
        <f>IFERROR(__xludf.DUMMYFUNCTION("AVERAGE(FILTER('__flatlist__'!F$2:F1014,('__flatlist__'!$B$2:$B1014=$B40)))"),4.7)</f>
        <v>4.7</v>
      </c>
      <c r="G40" s="9">
        <f>IFERROR(__xludf.DUMMYFUNCTION("AVERAGE(FILTER('__flatlist__'!G$2:G1014,('__flatlist__'!$B$2:$B1014=$B40)))"),4.975)</f>
        <v>4.975</v>
      </c>
      <c r="H40" s="9">
        <f>IFERROR(__xludf.DUMMYFUNCTION("AVERAGE(FILTER('__flatlist__'!H$2:H1014,('__flatlist__'!$B$2:$B1014=$B40)))"),4.125)</f>
        <v>4.125</v>
      </c>
      <c r="I40" s="9">
        <f>IFERROR(__xludf.DUMMYFUNCTION("AVERAGE(FILTER('__flatlist__'!I$2:I1014,('__flatlist__'!$B$2:$B1014=$B40)))"),4.475)</f>
        <v>4.475</v>
      </c>
      <c r="J40" s="9">
        <f t="shared" si="3"/>
        <v>4.475</v>
      </c>
      <c r="K40" s="33">
        <f t="shared" si="4"/>
        <v>1</v>
      </c>
      <c r="M40" s="4"/>
      <c r="N40" s="11"/>
    </row>
    <row r="41">
      <c r="A41" s="6"/>
      <c r="B41" s="6" t="s">
        <v>26</v>
      </c>
      <c r="D41" s="8">
        <f>IFERROR(__xludf.DUMMYFUNCTION("AVERAGE(FILTER('__flatlist__'!D$2:D1014,('__flatlist__'!$B$2:$B1014=$B41)))"),0.2089861254034467)</f>
        <v>0.2089861254</v>
      </c>
      <c r="E41" s="9">
        <f>IFERROR(__xludf.DUMMYFUNCTION("AVERAGE(FILTER('__flatlist__'!E$2:E1014,('__flatlist__'!$B$2:$B1014=$B41)))"),3.9)</f>
        <v>3.9</v>
      </c>
      <c r="F41" s="9">
        <f>IFERROR(__xludf.DUMMYFUNCTION("AVERAGE(FILTER('__flatlist__'!F$2:F1014,('__flatlist__'!$B$2:$B1014=$B41)))"),4.375)</f>
        <v>4.375</v>
      </c>
      <c r="G41" s="9">
        <f>IFERROR(__xludf.DUMMYFUNCTION("AVERAGE(FILTER('__flatlist__'!G$2:G1014,('__flatlist__'!$B$2:$B1014=$B41)))"),4.9)</f>
        <v>4.9</v>
      </c>
      <c r="H41" s="9">
        <f>IFERROR(__xludf.DUMMYFUNCTION("AVERAGE(FILTER('__flatlist__'!H$2:H1014,('__flatlist__'!$B$2:$B1014=$B41)))"),4.15)</f>
        <v>4.15</v>
      </c>
      <c r="I41" s="9">
        <f>IFERROR(__xludf.DUMMYFUNCTION("AVERAGE(FILTER('__flatlist__'!I$2:I1014,('__flatlist__'!$B$2:$B1014=$B41)))"),4.125)</f>
        <v>4.125</v>
      </c>
      <c r="J41" s="9">
        <f t="shared" si="3"/>
        <v>4.29</v>
      </c>
      <c r="K41" s="33">
        <f t="shared" si="4"/>
        <v>2</v>
      </c>
      <c r="M41" s="4"/>
      <c r="N41" s="11"/>
    </row>
    <row r="42">
      <c r="A42" s="31"/>
      <c r="B42" s="10" t="s">
        <v>27</v>
      </c>
      <c r="D42" s="8">
        <f>IFERROR(__xludf.DUMMYFUNCTION("AVERAGE(FILTER('__flatlist__'!D$2:D1014,('__flatlist__'!$B$2:$B1014=$B42)))"),0.139982419039335)</f>
        <v>0.139982419</v>
      </c>
      <c r="E42" s="9">
        <f>IFERROR(__xludf.DUMMYFUNCTION("AVERAGE(FILTER('__flatlist__'!E$2:E1014,('__flatlist__'!$B$2:$B1014=$B42)))"),4.15)</f>
        <v>4.15</v>
      </c>
      <c r="F42" s="9">
        <f>IFERROR(__xludf.DUMMYFUNCTION("AVERAGE(FILTER('__flatlist__'!F$2:F1014,('__flatlist__'!$B$2:$B1014=$B42)))"),4.55)</f>
        <v>4.55</v>
      </c>
      <c r="G42" s="9">
        <f>IFERROR(__xludf.DUMMYFUNCTION("AVERAGE(FILTER('__flatlist__'!G$2:G1014,('__flatlist__'!$B$2:$B1014=$B42)))"),4.8)</f>
        <v>4.8</v>
      </c>
      <c r="H42" s="9">
        <f>IFERROR(__xludf.DUMMYFUNCTION("AVERAGE(FILTER('__flatlist__'!H$2:H1014,('__flatlist__'!$B$2:$B1014=$B42)))"),4.375)</f>
        <v>4.375</v>
      </c>
      <c r="I42" s="9">
        <f>IFERROR(__xludf.DUMMYFUNCTION("AVERAGE(FILTER('__flatlist__'!I$2:I1014,('__flatlist__'!$B$2:$B1014=$B42)))"),3.4)</f>
        <v>3.4</v>
      </c>
      <c r="J42" s="9">
        <f t="shared" si="3"/>
        <v>4.255</v>
      </c>
      <c r="K42" s="34">
        <f t="shared" si="4"/>
        <v>4</v>
      </c>
      <c r="M42" s="4"/>
      <c r="N42" s="11"/>
    </row>
    <row r="43">
      <c r="A43" s="35"/>
      <c r="B43" s="19"/>
      <c r="C43" s="36" t="s">
        <v>21</v>
      </c>
      <c r="D43" s="20">
        <f>IFERROR(__xludf.DUMMYFUNCTION("AVERAGE(FILTER('__flatlist__'!D$2:D1014,('__flatlist__'!$C$2:$C1014=$C43)))"),0.19503900135717311)</f>
        <v>0.1950390014</v>
      </c>
      <c r="E43" s="37">
        <f>IFERROR(__xludf.DUMMYFUNCTION("AVERAGE(FILTER('__flatlist__'!E$2:E1014,('__flatlist__'!$C$2:$C1014=$C43)))"),4.02)</f>
        <v>4.02</v>
      </c>
      <c r="F43" s="37">
        <f>IFERROR(__xludf.DUMMYFUNCTION("AVERAGE(FILTER('__flatlist__'!F$2:F1014,('__flatlist__'!$C$2:$C1014=$C43)))"),4.66)</f>
        <v>4.66</v>
      </c>
      <c r="G43" s="37">
        <f>IFERROR(__xludf.DUMMYFUNCTION("AVERAGE(FILTER('__flatlist__'!G$2:G1014,('__flatlist__'!$C$2:$C1014=$C43)))"),4.88)</f>
        <v>4.88</v>
      </c>
      <c r="H43" s="37">
        <f>IFERROR(__xludf.DUMMYFUNCTION("AVERAGE(FILTER('__flatlist__'!H$2:H1014,('__flatlist__'!$C$2:$C1014=$C43)))"),3.86)</f>
        <v>3.86</v>
      </c>
      <c r="I43" s="37">
        <f>IFERROR(__xludf.DUMMYFUNCTION("AVERAGE(FILTER('__flatlist__'!I$2:I1014,('__flatlist__'!$C$2:$C1014=$C43)))"),4.36)</f>
        <v>4.36</v>
      </c>
      <c r="J43" s="37">
        <f t="shared" si="3"/>
        <v>4.356</v>
      </c>
      <c r="K43" s="33">
        <f t="shared" ref="K43:K46" si="5">rank(J43,$J$43:$J$46,FALSE)</f>
        <v>3</v>
      </c>
      <c r="M43" s="4"/>
      <c r="N43" s="11"/>
    </row>
    <row r="44">
      <c r="A44" s="38"/>
      <c r="C44" s="7" t="s">
        <v>22</v>
      </c>
      <c r="D44" s="8">
        <f>IFERROR(__xludf.DUMMYFUNCTION("AVERAGE(FILTER('__flatlist__'!D$2:D1014,('__flatlist__'!$C$2:$C1014=$C44)))"),0.17407076169581082)</f>
        <v>0.1740707617</v>
      </c>
      <c r="E44" s="11">
        <f>IFERROR(__xludf.DUMMYFUNCTION("AVERAGE(FILTER('__flatlist__'!E$2:E1014,('__flatlist__'!$C$2:$C1014=$C44)))"),4.24)</f>
        <v>4.24</v>
      </c>
      <c r="F44" s="11">
        <f>IFERROR(__xludf.DUMMYFUNCTION("AVERAGE(FILTER('__flatlist__'!F$2:F1014,('__flatlist__'!$C$2:$C1014=$C44)))"),4.66)</f>
        <v>4.66</v>
      </c>
      <c r="G44" s="11">
        <f>IFERROR(__xludf.DUMMYFUNCTION("AVERAGE(FILTER('__flatlist__'!G$2:G1014,('__flatlist__'!$C$2:$C1014=$C44)))"),4.92)</f>
        <v>4.92</v>
      </c>
      <c r="H44" s="11">
        <f>IFERROR(__xludf.DUMMYFUNCTION("AVERAGE(FILTER('__flatlist__'!H$2:H1014,('__flatlist__'!$C$2:$C1014=$C44)))"),3.98)</f>
        <v>3.98</v>
      </c>
      <c r="I44" s="11">
        <f>IFERROR(__xludf.DUMMYFUNCTION("AVERAGE(FILTER('__flatlist__'!I$2:I1014,('__flatlist__'!$C$2:$C1014=$C44)))"),4.06)</f>
        <v>4.06</v>
      </c>
      <c r="J44" s="11">
        <f t="shared" si="3"/>
        <v>4.372</v>
      </c>
      <c r="K44" s="33">
        <f t="shared" si="5"/>
        <v>1</v>
      </c>
      <c r="M44" s="4"/>
      <c r="N44" s="11"/>
    </row>
    <row r="45">
      <c r="A45" s="38"/>
      <c r="C45" s="7" t="s">
        <v>8</v>
      </c>
      <c r="D45" s="8">
        <f>IFERROR(__xludf.DUMMYFUNCTION("AVERAGE(FILTER('__flatlist__'!D$2:D1014,('__flatlist__'!$C$2:$C1014=$C45)))"),0.24776822422336456)</f>
        <v>0.2477682242</v>
      </c>
      <c r="E45" s="11">
        <f>IFERROR(__xludf.DUMMYFUNCTION("AVERAGE(FILTER('__flatlist__'!E$2:E1014,('__flatlist__'!$C$2:$C1014=$C45)))"),2.94)</f>
        <v>2.94</v>
      </c>
      <c r="F45" s="11">
        <f>IFERROR(__xludf.DUMMYFUNCTION("AVERAGE(FILTER('__flatlist__'!F$2:F1014,('__flatlist__'!$C$2:$C1014=$C45)))"),4.32)</f>
        <v>4.32</v>
      </c>
      <c r="G45" s="11">
        <f>IFERROR(__xludf.DUMMYFUNCTION("AVERAGE(FILTER('__flatlist__'!G$2:G1014,('__flatlist__'!$C$2:$C1014=$C45)))"),4.92)</f>
        <v>4.92</v>
      </c>
      <c r="H45" s="11">
        <f>IFERROR(__xludf.DUMMYFUNCTION("AVERAGE(FILTER('__flatlist__'!H$2:H1014,('__flatlist__'!$C$2:$C1014=$C45)))"),3.96)</f>
        <v>3.96</v>
      </c>
      <c r="I45" s="11">
        <f>IFERROR(__xludf.DUMMYFUNCTION("AVERAGE(FILTER('__flatlist__'!I$2:I1014,('__flatlist__'!$C$2:$C1014=$C45)))"),4.36)</f>
        <v>4.36</v>
      </c>
      <c r="J45" s="11">
        <f t="shared" si="3"/>
        <v>4.1</v>
      </c>
      <c r="K45" s="33">
        <f t="shared" si="5"/>
        <v>4</v>
      </c>
      <c r="M45" s="4"/>
      <c r="N45" s="11"/>
    </row>
    <row r="46">
      <c r="A46" s="39"/>
      <c r="B46" s="27"/>
      <c r="C46" s="40" t="s">
        <v>23</v>
      </c>
      <c r="D46" s="28">
        <f>IFERROR(__xludf.DUMMYFUNCTION("AVERAGE(FILTER('__flatlist__'!D$2:D1014,('__flatlist__'!$C$2:$C1014=$C46)))"),0.13124669384142681)</f>
        <v>0.1312466938</v>
      </c>
      <c r="E46" s="41">
        <f>IFERROR(__xludf.DUMMYFUNCTION("AVERAGE(FILTER('__flatlist__'!E$2:E1014,('__flatlist__'!$C$2:$C1014=$C46)))"),4.14)</f>
        <v>4.14</v>
      </c>
      <c r="F46" s="41">
        <f>IFERROR(__xludf.DUMMYFUNCTION("AVERAGE(FILTER('__flatlist__'!F$2:F1014,('__flatlist__'!$C$2:$C1014=$C46)))"),4.6)</f>
        <v>4.6</v>
      </c>
      <c r="G46" s="41">
        <f>IFERROR(__xludf.DUMMYFUNCTION("AVERAGE(FILTER('__flatlist__'!G$2:G1014,('__flatlist__'!$C$2:$C1014=$C46)))"),4.74)</f>
        <v>4.74</v>
      </c>
      <c r="H46" s="41">
        <f>IFERROR(__xludf.DUMMYFUNCTION("AVERAGE(FILTER('__flatlist__'!H$2:H1014,('__flatlist__'!$C$2:$C1014=$C46)))"),4.46)</f>
        <v>4.46</v>
      </c>
      <c r="I46" s="41">
        <f>IFERROR(__xludf.DUMMYFUNCTION("AVERAGE(FILTER('__flatlist__'!I$2:I1014,('__flatlist__'!$C$2:$C1014=$C46)))"),3.88)</f>
        <v>3.88</v>
      </c>
      <c r="J46" s="41">
        <f t="shared" si="3"/>
        <v>4.364</v>
      </c>
      <c r="K46" s="34">
        <f t="shared" si="5"/>
        <v>2</v>
      </c>
      <c r="M46" s="4"/>
      <c r="N46" s="11"/>
    </row>
    <row r="47">
      <c r="A47" s="4"/>
      <c r="B47" s="4"/>
      <c r="C47" s="11"/>
    </row>
    <row r="48">
      <c r="A48" s="42"/>
      <c r="B48" s="43"/>
      <c r="C48" s="43"/>
      <c r="D48" s="42" t="s">
        <v>29</v>
      </c>
      <c r="I48" s="44"/>
      <c r="M48" s="4"/>
      <c r="N48" s="11"/>
    </row>
    <row r="49" hidden="1">
      <c r="A49" s="17" t="str">
        <f>'🤖 Claude Sonnet 3.5'!$A$2</f>
        <v>http://elpais.com/deportes/2019/08/17/actualidad/1566005143_044557.html</v>
      </c>
      <c r="B49" s="18"/>
      <c r="C49" s="19"/>
      <c r="D49" s="20">
        <f>IFERROR(__xludf.DUMMYFUNCTION("STDEV(FILTER('__flatlist__'!D$2:D1014,('__flatlist__'!$A$2:$A1014=$A49)))"),0.06128147402395856)</f>
        <v>0.06128147402</v>
      </c>
      <c r="E49" s="37">
        <f>IFERROR(__xludf.DUMMYFUNCTION("STDEV(FILTER('__flatlist__'!E$2:E1014,('__flatlist__'!$A$2:$A1014=$A49)))"),0.8688732424597103)</f>
        <v>0.8688732425</v>
      </c>
      <c r="F49" s="37">
        <f>IFERROR(__xludf.DUMMYFUNCTION("STDEV(FILTER('__flatlist__'!F$2:F1014,('__flatlist__'!$A$2:$A1014=$A49)))"),0.4910261901035309)</f>
        <v>0.4910261901</v>
      </c>
      <c r="G49" s="37">
        <f>IFERROR(__xludf.DUMMYFUNCTION("STDEV(FILTER('__flatlist__'!G$2:G1014,('__flatlist__'!$A$2:$A1014=$A49)))"),0.9346217344793907)</f>
        <v>0.9346217345</v>
      </c>
      <c r="H49" s="37">
        <f>IFERROR(__xludf.DUMMYFUNCTION("STDEV(FILTER('__flatlist__'!H$2:H1014,('__flatlist__'!$A$2:$A1014=$A49)))"),0.7358681786057778)</f>
        <v>0.7358681786</v>
      </c>
      <c r="I49" s="45">
        <f>IFERROR(__xludf.DUMMYFUNCTION("STDEV(FILTER('__flatlist__'!I$2:I1014,('__flatlist__'!$A$2:$A1014=$A49)))"),0.8979555170897591)</f>
        <v>0.8979555171</v>
      </c>
      <c r="M49" s="4"/>
      <c r="N49" s="11"/>
    </row>
    <row r="50" hidden="1">
      <c r="A50" s="23" t="str">
        <f>'🤖 Claude Sonnet 3.5'!$A$7</f>
        <v>http://elpais.com/elpais/2019/07/10/planeta_futuro/1562757015_950583.html</v>
      </c>
      <c r="B50" s="6"/>
      <c r="D50" s="8">
        <f>IFERROR(__xludf.DUMMYFUNCTION("STDEV(FILTER('__flatlist__'!D$2:D1014,('__flatlist__'!$A$2:$A1014=$A50)))"),0.044085935404087465)</f>
        <v>0.0440859354</v>
      </c>
      <c r="E50" s="11">
        <f>IFERROR(__xludf.DUMMYFUNCTION("STDEV(FILTER('__flatlist__'!E$2:E1014,('__flatlist__'!$A$2:$A1014=$A50)))"),0.8779242496606939)</f>
        <v>0.8779242497</v>
      </c>
      <c r="F50" s="11">
        <f>IFERROR(__xludf.DUMMYFUNCTION("STDEV(FILTER('__flatlist__'!F$2:F1014,('__flatlist__'!$A$2:$A1014=$A50)))"),0.8148813536665073)</f>
        <v>0.8148813537</v>
      </c>
      <c r="G50" s="11">
        <f>IFERROR(__xludf.DUMMYFUNCTION("STDEV(FILTER('__flatlist__'!G$2:G1014,('__flatlist__'!$A$2:$A1014=$A50)))"),0.0)</f>
        <v>0</v>
      </c>
      <c r="H50" s="11">
        <f>IFERROR(__xludf.DUMMYFUNCTION("STDEV(FILTER('__flatlist__'!H$2:H1014,('__flatlist__'!$A$2:$A1014=$A50)))"),0.7648400075533118)</f>
        <v>0.7648400076</v>
      </c>
      <c r="I50" s="46">
        <f>IFERROR(__xludf.DUMMYFUNCTION("STDEV(FILTER('__flatlist__'!I$2:I1014,('__flatlist__'!$A$2:$A1014=$A50)))"),1.083472677771923)</f>
        <v>1.083472678</v>
      </c>
      <c r="M50" s="4"/>
      <c r="N50" s="11"/>
    </row>
    <row r="51" hidden="1">
      <c r="A51" s="23" t="str">
        <f>'🤖 Claude Sonnet 3.5'!$A$12</f>
        <v>http://elpais.com/ccaa/2019/09/12/madrid/1568307703_277564.html</v>
      </c>
      <c r="B51" s="6"/>
      <c r="D51" s="8">
        <f>IFERROR(__xludf.DUMMYFUNCTION("STDEV(FILTER('__flatlist__'!D$2:D1014,('__flatlist__'!$A$2:$A1014=$A51)))"),0.025676376544993853)</f>
        <v>0.02567637654</v>
      </c>
      <c r="E51" s="11">
        <f>IFERROR(__xludf.DUMMYFUNCTION("STDEV(FILTER('__flatlist__'!E$2:E1014,('__flatlist__'!$A$2:$A1014=$A51)))"),0.7326950970650465)</f>
        <v>0.7326950971</v>
      </c>
      <c r="F51" s="11">
        <f>IFERROR(__xludf.DUMMYFUNCTION("STDEV(FILTER('__flatlist__'!F$2:F1014,('__flatlist__'!$A$2:$A1014=$A51)))"),0.5712405705774796)</f>
        <v>0.5712405706</v>
      </c>
      <c r="G51" s="11">
        <f>IFERROR(__xludf.DUMMYFUNCTION("STDEV(FILTER('__flatlist__'!G$2:G1014,('__flatlist__'!$A$2:$A1014=$A51)))"),0.3077935056255462)</f>
        <v>0.3077935056</v>
      </c>
      <c r="H51" s="11">
        <f>IFERROR(__xludf.DUMMYFUNCTION("STDEV(FILTER('__flatlist__'!H$2:H1014,('__flatlist__'!$A$2:$A1014=$A51)))"),0.6805570473787205)</f>
        <v>0.6805570474</v>
      </c>
      <c r="I51" s="46">
        <f>IFERROR(__xludf.DUMMYFUNCTION("STDEV(FILTER('__flatlist__'!I$2:I1014,('__flatlist__'!$A$2:$A1014=$A51)))"),0.9333020044867296)</f>
        <v>0.9333020045</v>
      </c>
      <c r="M51" s="4"/>
      <c r="N51" s="11"/>
    </row>
    <row r="52" hidden="1">
      <c r="A52" s="23" t="str">
        <f>'🤖 Claude Sonnet 3.5'!$A$17</f>
        <v>http://elpais.com/deportes/2019/08/10/actualidad/1565426201_075062.html</v>
      </c>
      <c r="B52" s="6"/>
      <c r="D52" s="8">
        <f>IFERROR(__xludf.DUMMYFUNCTION("STDEV(FILTER('__flatlist__'!D$2:D1014,('__flatlist__'!$A$2:$A1014=$A52)))"),0.09514459807322775)</f>
        <v>0.09514459807</v>
      </c>
      <c r="E52" s="11">
        <f>IFERROR(__xludf.DUMMYFUNCTION("STDEV(FILTER('__flatlist__'!E$2:E1014,('__flatlist__'!$A$2:$A1014=$A52)))"),0.9282564726687249)</f>
        <v>0.9282564727</v>
      </c>
      <c r="F52" s="11">
        <f>IFERROR(__xludf.DUMMYFUNCTION("STDEV(FILTER('__flatlist__'!F$2:F1014,('__flatlist__'!$A$2:$A1014=$A52)))"),0.6653478391304606)</f>
        <v>0.6653478391</v>
      </c>
      <c r="G52" s="11">
        <f>IFERROR(__xludf.DUMMYFUNCTION("STDEV(FILTER('__flatlist__'!G$2:G1014,('__flatlist__'!$A$2:$A1014=$A52)))"),0.2881040655200304)</f>
        <v>0.2881040655</v>
      </c>
      <c r="H52" s="11">
        <f>IFERROR(__xludf.DUMMYFUNCTION("STDEV(FILTER('__flatlist__'!H$2:H1014,('__flatlist__'!$A$2:$A1014=$A52)))"),0.9023465237988441)</f>
        <v>0.9023465238</v>
      </c>
      <c r="I52" s="46">
        <f>IFERROR(__xludf.DUMMYFUNCTION("STDEV(FILTER('__flatlist__'!I$2:I1014,('__flatlist__'!$A$2:$A1014=$A52)))"),0.9493080483968246)</f>
        <v>0.9493080484</v>
      </c>
      <c r="M52" s="4"/>
      <c r="N52" s="11"/>
    </row>
    <row r="53" hidden="1">
      <c r="A53" s="23" t="str">
        <f>'🤖 Claude Sonnet 3.5'!$A$22</f>
        <v>http://elpais.com/elpais/2019/07/11/gente/1562866782_776897.html</v>
      </c>
      <c r="B53" s="6"/>
      <c r="D53" s="8">
        <f>IFERROR(__xludf.DUMMYFUNCTION("STDEV(FILTER('__flatlist__'!D$2:D1014,('__flatlist__'!$A$2:$A1014=$A53)))"),0.04438425016930407)</f>
        <v>0.04438425017</v>
      </c>
      <c r="E53" s="11">
        <f>IFERROR(__xludf.DUMMYFUNCTION("STDEV(FILTER('__flatlist__'!E$2:E1014,('__flatlist__'!$A$2:$A1014=$A53)))"),0.9023465237988441)</f>
        <v>0.9023465238</v>
      </c>
      <c r="F53" s="11">
        <f>IFERROR(__xludf.DUMMYFUNCTION("STDEV(FILTER('__flatlist__'!F$2:F1014,('__flatlist__'!$A$2:$A1014=$A53)))"),0.4576965872801601)</f>
        <v>0.4576965873</v>
      </c>
      <c r="G53" s="11">
        <f>IFERROR(__xludf.DUMMYFUNCTION("STDEV(FILTER('__flatlist__'!G$2:G1014,('__flatlist__'!$A$2:$A1014=$A53)))"),0.20851441405707472)</f>
        <v>0.2085144141</v>
      </c>
      <c r="H53" s="11">
        <f>IFERROR(__xludf.DUMMYFUNCTION("STDEV(FILTER('__flatlist__'!H$2:H1014,('__flatlist__'!$A$2:$A1014=$A53)))"),0.7331776095289767)</f>
        <v>0.7331776095</v>
      </c>
      <c r="I53" s="46">
        <f>IFERROR(__xludf.DUMMYFUNCTION("STDEV(FILTER('__flatlist__'!I$2:I1014,('__flatlist__'!$A$2:$A1014=$A53)))"),1.2399795994751788)</f>
        <v>1.239979599</v>
      </c>
      <c r="M53" s="4"/>
      <c r="N53" s="11"/>
    </row>
    <row r="54" hidden="1">
      <c r="A54" s="23" t="str">
        <f>'🤖 Claude Sonnet 3.5'!$A$27</f>
        <v>http://elpais.com/elpais/2019/07/19/ciencia/1563535714_854872.html</v>
      </c>
      <c r="B54" s="6"/>
      <c r="D54" s="8">
        <f>IFERROR(__xludf.DUMMYFUNCTION("STDEV(FILTER('__flatlist__'!D$2:D1014,('__flatlist__'!$A$2:$A1014=$A54)))"),0.08567389508738887)</f>
        <v>0.08567389509</v>
      </c>
      <c r="E54" s="11">
        <f>IFERROR(__xludf.DUMMYFUNCTION("STDEV(FILTER('__flatlist__'!E$2:E1014,('__flatlist__'!$A$2:$A1014=$A54)))"),0.7927537436201204)</f>
        <v>0.7927537436</v>
      </c>
      <c r="F54" s="11">
        <f>IFERROR(__xludf.DUMMYFUNCTION("STDEV(FILTER('__flatlist__'!F$2:F1014,('__flatlist__'!$A$2:$A1014=$A54)))"),0.7140598174697279)</f>
        <v>0.7140598175</v>
      </c>
      <c r="G54" s="11">
        <f>IFERROR(__xludf.DUMMYFUNCTION("STDEV(FILTER('__flatlist__'!G$2:G1014,('__flatlist__'!$A$2:$A1014=$A54)))"),0.34435022157509093)</f>
        <v>0.3443502216</v>
      </c>
      <c r="H54" s="11">
        <f>IFERROR(__xludf.DUMMYFUNCTION("STDEV(FILTER('__flatlist__'!H$2:H1014,('__flatlist__'!$A$2:$A1014=$A54)))"),0.6191923848741729)</f>
        <v>0.6191923849</v>
      </c>
      <c r="I54" s="46">
        <f>IFERROR(__xludf.DUMMYFUNCTION("STDEV(FILTER('__flatlist__'!I$2:I1014,('__flatlist__'!$A$2:$A1014=$A54)))"),0.6380553459582708)</f>
        <v>0.638055346</v>
      </c>
      <c r="M54" s="4"/>
      <c r="N54" s="11"/>
    </row>
    <row r="55" hidden="1">
      <c r="A55" s="23" t="str">
        <f>'🤖 Claude Sonnet 3.5'!$A$32</f>
        <v>http://elpais.com/ccaa/2019/09/28/catalunya/1569665675_576416.html</v>
      </c>
      <c r="B55" s="6"/>
      <c r="D55" s="8">
        <f>IFERROR(__xludf.DUMMYFUNCTION("STDEV(FILTER('__flatlist__'!D$2:D1014,('__flatlist__'!$A$2:$A1014=$A55)))"),0.21525626600499692)</f>
        <v>0.215256266</v>
      </c>
      <c r="E55" s="11">
        <f>IFERROR(__xludf.DUMMYFUNCTION("STDEV(FILTER('__flatlist__'!E$2:E1014,('__flatlist__'!$A$2:$A1014=$A55)))"),0.6741998624632421)</f>
        <v>0.6741998625</v>
      </c>
      <c r="F55" s="11">
        <f>IFERROR(__xludf.DUMMYFUNCTION("STDEV(FILTER('__flatlist__'!F$2:F1014,('__flatlist__'!$A$2:$A1014=$A55)))"),0.6472807211834832)</f>
        <v>0.6472807212</v>
      </c>
      <c r="G55" s="11">
        <f>IFERROR(__xludf.DUMMYFUNCTION("STDEV(FILTER('__flatlist__'!G$2:G1014,('__flatlist__'!$A$2:$A1014=$A55)))"),0.2881040655200304)</f>
        <v>0.2881040655</v>
      </c>
      <c r="H55" s="11">
        <f>IFERROR(__xludf.DUMMYFUNCTION("STDEV(FILTER('__flatlist__'!H$2:H1014,('__flatlist__'!$A$2:$A1014=$A55)))"),0.6191923848741732)</f>
        <v>0.6191923849</v>
      </c>
      <c r="I55" s="46">
        <f>IFERROR(__xludf.DUMMYFUNCTION("STDEV(FILTER('__flatlist__'!I$2:I1014,('__flatlist__'!$A$2:$A1014=$A55)))"),1.042572070285374)</f>
        <v>1.04257207</v>
      </c>
      <c r="M55" s="4"/>
      <c r="N55" s="11"/>
    </row>
    <row r="56" hidden="1">
      <c r="A56" s="23" t="str">
        <f>'🤖 Claude Sonnet 3.5'!$A$37</f>
        <v>http://elpais.com/elpais/2019/07/17/gente/1563351601_839455.html</v>
      </c>
      <c r="B56" s="6"/>
      <c r="D56" s="8">
        <f>IFERROR(__xludf.DUMMYFUNCTION("STDEV(FILTER('__flatlist__'!D$2:D1014,('__flatlist__'!$A$2:$A1014=$A56)))"),0.0740187290613769)</f>
        <v>0.07401872906</v>
      </c>
      <c r="E56" s="11">
        <f>IFERROR(__xludf.DUMMYFUNCTION("STDEV(FILTER('__flatlist__'!E$2:E1014,('__flatlist__'!$A$2:$A1014=$A56)))"),0.9001536978993626)</f>
        <v>0.9001536979</v>
      </c>
      <c r="F56" s="11">
        <f>IFERROR(__xludf.DUMMYFUNCTION("STDEV(FILTER('__flatlist__'!F$2:F1014,('__flatlist__'!$A$2:$A1014=$A56)))"),0.6623708763718499)</f>
        <v>0.6623708764</v>
      </c>
      <c r="G56" s="11">
        <f>IFERROR(__xludf.DUMMYFUNCTION("STDEV(FILTER('__flatlist__'!G$2:G1014,('__flatlist__'!$A$2:$A1014=$A56)))"),0.834057656228299)</f>
        <v>0.8340576562</v>
      </c>
      <c r="H56" s="11">
        <f>IFERROR(__xludf.DUMMYFUNCTION("STDEV(FILTER('__flatlist__'!H$2:H1014,('__flatlist__'!$A$2:$A1014=$A56)))"),0.51460871969619)</f>
        <v>0.5146087197</v>
      </c>
      <c r="I56" s="46">
        <f>IFERROR(__xludf.DUMMYFUNCTION("STDEV(FILTER('__flatlist__'!I$2:I1014,('__flatlist__'!$A$2:$A1014=$A56)))"),0.9153931745603202)</f>
        <v>0.9153931746</v>
      </c>
      <c r="M56" s="4"/>
      <c r="N56" s="11"/>
    </row>
    <row r="57" hidden="1">
      <c r="A57" s="23" t="str">
        <f>'🤖 Claude Sonnet 3.5'!$A$42</f>
        <v>http://elpais.com/tecnologia/2019/08/20/actualidad/1566294736_117123.html</v>
      </c>
      <c r="B57" s="6"/>
      <c r="D57" s="8">
        <f>IFERROR(__xludf.DUMMYFUNCTION("STDEV(FILTER('__flatlist__'!D$2:D1014,('__flatlist__'!$A$2:$A1014=$A57)))"),0.08672573986034433)</f>
        <v>0.08672573986</v>
      </c>
      <c r="E57" s="11">
        <f>IFERROR(__xludf.DUMMYFUNCTION("STDEV(FILTER('__flatlist__'!E$2:E1014,('__flatlist__'!$A$2:$A1014=$A57)))"),0.9001536978993626)</f>
        <v>0.9001536979</v>
      </c>
      <c r="F57" s="11">
        <f>IFERROR(__xludf.DUMMYFUNCTION("STDEV(FILTER('__flatlist__'!F$2:F1014,('__flatlist__'!$A$2:$A1014=$A57)))"),0.4869847535576739)</f>
        <v>0.4869847536</v>
      </c>
      <c r="G57" s="11">
        <f>IFERROR(__xludf.DUMMYFUNCTION("STDEV(FILTER('__flatlist__'!G$2:G1014,('__flatlist__'!$A$2:$A1014=$A57)))"),0.0)</f>
        <v>0</v>
      </c>
      <c r="H57" s="11">
        <f>IFERROR(__xludf.DUMMYFUNCTION("STDEV(FILTER('__flatlist__'!H$2:H1014,('__flatlist__'!$A$2:$A1014=$A57)))"),0.7518094115561123)</f>
        <v>0.7518094116</v>
      </c>
      <c r="I57" s="46">
        <f>IFERROR(__xludf.DUMMYFUNCTION("STDEV(FILTER('__flatlist__'!I$2:I1014,('__flatlist__'!$A$2:$A1014=$A57)))"),0.7029019463944166)</f>
        <v>0.7029019464</v>
      </c>
      <c r="M57" s="4"/>
      <c r="N57" s="11"/>
    </row>
    <row r="58" hidden="1">
      <c r="A58" s="25" t="str">
        <f>'🤖 Claude Sonnet 3.5'!$A$47</f>
        <v>http://elpais.com/elpais/2019/07/05/ideas/1562335565_606827.html</v>
      </c>
      <c r="B58" s="26"/>
      <c r="C58" s="27"/>
      <c r="D58" s="28">
        <f>IFERROR(__xludf.DUMMYFUNCTION("STDEV(FILTER('__flatlist__'!D$2:D1014,('__flatlist__'!$A$2:$A1014=$A58)))"),0.05105935993772621)</f>
        <v>0.05105935994</v>
      </c>
      <c r="E58" s="41">
        <f>IFERROR(__xludf.DUMMYFUNCTION("STDEV(FILTER('__flatlist__'!E$2:E1014,('__flatlist__'!$A$2:$A1014=$A58)))"),1.1281521496355325)</f>
        <v>1.12815215</v>
      </c>
      <c r="F58" s="41">
        <f>IFERROR(__xludf.DUMMYFUNCTION("STDEV(FILTER('__flatlist__'!F$2:F1014,('__flatlist__'!$A$2:$A1014=$A58)))"),0.344350221575091)</f>
        <v>0.3443502216</v>
      </c>
      <c r="G58" s="41">
        <f>IFERROR(__xludf.DUMMYFUNCTION("STDEV(FILTER('__flatlist__'!G$2:G1014,('__flatlist__'!$A$2:$A1014=$A58)))"),0.42174116783665)</f>
        <v>0.4217411678</v>
      </c>
      <c r="H58" s="41">
        <f>IFERROR(__xludf.DUMMYFUNCTION("STDEV(FILTER('__flatlist__'!H$2:H1014,('__flatlist__'!$A$2:$A1014=$A58)))"),0.6191923848741729)</f>
        <v>0.6191923849</v>
      </c>
      <c r="I58" s="47">
        <f>IFERROR(__xludf.DUMMYFUNCTION("STDEV(FILTER('__flatlist__'!I$2:I1014,('__flatlist__'!$A$2:$A1014=$A58)))"),0.8779242496606942)</f>
        <v>0.8779242497</v>
      </c>
      <c r="M58" s="4"/>
      <c r="N58" s="11"/>
    </row>
    <row r="59">
      <c r="A59" s="31"/>
      <c r="B59" s="6" t="s">
        <v>20</v>
      </c>
      <c r="D59" s="8">
        <f>IFERROR(__xludf.DUMMYFUNCTION("STDEV(FILTER('__flatlist__'!D$2:D1014,('__flatlist__'!$B$2:$B1014=$B59)))"),0.12731995228518928)</f>
        <v>0.1273199523</v>
      </c>
      <c r="E59" s="11">
        <f>IFERROR(__xludf.DUMMYFUNCTION("STDEV(FILTER('__flatlist__'!E$2:E1014,('__flatlist__'!$B$2:$B1014=$B59)))"),0.6385078759829889)</f>
        <v>0.638507876</v>
      </c>
      <c r="F59" s="11">
        <f>IFERROR(__xludf.DUMMYFUNCTION("STDEV(FILTER('__flatlist__'!F$2:F1014,('__flatlist__'!$B$2:$B1014=$B59)))"),0.5334935656738369)</f>
        <v>0.5334935657</v>
      </c>
      <c r="G59" s="11">
        <f>IFERROR(__xludf.DUMMYFUNCTION("STDEV(FILTER('__flatlist__'!G$2:G1014,('__flatlist__'!$B$2:$B1014=$B59)))"),0.8828857114526089)</f>
        <v>0.8828857115</v>
      </c>
      <c r="H59" s="11">
        <f>IFERROR(__xludf.DUMMYFUNCTION("STDEV(FILTER('__flatlist__'!H$2:H1014,('__flatlist__'!$B$2:$B1014=$B59)))"),0.5494752741689811)</f>
        <v>0.5494752742</v>
      </c>
      <c r="I59" s="46">
        <f>IFERROR(__xludf.DUMMYFUNCTION("STDEV(FILTER('__flatlist__'!I$2:I1014,('__flatlist__'!$B$2:$B1014=$B59)))"),0.45220258677630276)</f>
        <v>0.4522025868</v>
      </c>
      <c r="M59" s="4"/>
      <c r="N59" s="11"/>
    </row>
    <row r="60">
      <c r="A60" s="31"/>
      <c r="B60" s="6" t="s">
        <v>24</v>
      </c>
      <c r="D60" s="8">
        <f>IFERROR(__xludf.DUMMYFUNCTION("STDEV(FILTER('__flatlist__'!D$2:D1014,('__flatlist__'!$B$2:$B1014=$B60)))"),0.16031758271132937)</f>
        <v>0.1603175827</v>
      </c>
      <c r="E60" s="11">
        <f>IFERROR(__xludf.DUMMYFUNCTION("STDEV(FILTER('__flatlist__'!E$2:E1014,('__flatlist__'!$B$2:$B1014=$B60)))"),0.7675301714607472)</f>
        <v>0.7675301715</v>
      </c>
      <c r="F60" s="11">
        <f>IFERROR(__xludf.DUMMYFUNCTION("STDEV(FILTER('__flatlist__'!F$2:F1014,('__flatlist__'!$B$2:$B1014=$B60)))"),0.6788942744621108)</f>
        <v>0.6788942745</v>
      </c>
      <c r="G60" s="11">
        <f>IFERROR(__xludf.DUMMYFUNCTION("STDEV(FILTER('__flatlist__'!G$2:G1014,('__flatlist__'!$B$2:$B1014=$B60)))"),0.3616202853397895)</f>
        <v>0.3616202853</v>
      </c>
      <c r="H60" s="11">
        <f>IFERROR(__xludf.DUMMYFUNCTION("STDEV(FILTER('__flatlist__'!H$2:H1014,('__flatlist__'!$B$2:$B1014=$B60)))"),0.8022404524765274)</f>
        <v>0.8022404525</v>
      </c>
      <c r="I60" s="46">
        <f>IFERROR(__xludf.DUMMYFUNCTION("STDEV(FILTER('__flatlist__'!I$2:I1014,('__flatlist__'!$B$2:$B1014=$B60)))"),0.7778998683173852)</f>
        <v>0.7778998683</v>
      </c>
      <c r="M60" s="4"/>
      <c r="N60" s="11"/>
    </row>
    <row r="61">
      <c r="A61" s="31"/>
      <c r="B61" s="6" t="s">
        <v>25</v>
      </c>
      <c r="D61" s="8">
        <f>IFERROR(__xludf.DUMMYFUNCTION("STDEV(FILTER('__flatlist__'!D$2:D1014,('__flatlist__'!$B$2:$B1014=$B61)))"),0.1357404625800704)</f>
        <v>0.1357404626</v>
      </c>
      <c r="E61" s="11">
        <f>IFERROR(__xludf.DUMMYFUNCTION("STDEV(FILTER('__flatlist__'!E$2:E1014,('__flatlist__'!$B$2:$B1014=$B61)))"),0.8412444993533731)</f>
        <v>0.8412444994</v>
      </c>
      <c r="F61" s="11">
        <f>IFERROR(__xludf.DUMMYFUNCTION("STDEV(FILTER('__flatlist__'!F$2:F1014,('__flatlist__'!$B$2:$B1014=$B61)))"),0.6076436202501999)</f>
        <v>0.6076436203</v>
      </c>
      <c r="G61" s="11">
        <f>IFERROR(__xludf.DUMMYFUNCTION("STDEV(FILTER('__flatlist__'!G$2:G1014,('__flatlist__'!$B$2:$B1014=$B61)))"),0.15811388300841892)</f>
        <v>0.158113883</v>
      </c>
      <c r="H61" s="11">
        <f>IFERROR(__xludf.DUMMYFUNCTION("STDEV(FILTER('__flatlist__'!H$2:H1014,('__flatlist__'!$B$2:$B1014=$B61)))"),0.6864064729836441)</f>
        <v>0.686406473</v>
      </c>
      <c r="I61" s="46">
        <f>IFERROR(__xludf.DUMMYFUNCTION("STDEV(FILTER('__flatlist__'!I$2:I1014,('__flatlist__'!$B$2:$B1014=$B61)))"),0.7156671622894871)</f>
        <v>0.7156671623</v>
      </c>
      <c r="M61" s="4"/>
      <c r="N61" s="11"/>
    </row>
    <row r="62">
      <c r="A62" s="6"/>
      <c r="B62" s="6" t="s">
        <v>26</v>
      </c>
      <c r="D62" s="8">
        <f>IFERROR(__xludf.DUMMYFUNCTION("STDEV(FILTER('__flatlist__'!D$2:D1014,('__flatlist__'!$B$2:$B1014=$B62)))"),0.15725023766555513)</f>
        <v>0.1572502377</v>
      </c>
      <c r="E62" s="11">
        <f>IFERROR(__xludf.DUMMYFUNCTION("STDEV(FILTER('__flatlist__'!E$2:E1014,('__flatlist__'!$B$2:$B1014=$B62)))"),0.6324555320336759)</f>
        <v>0.632455532</v>
      </c>
      <c r="F62" s="11">
        <f>IFERROR(__xludf.DUMMYFUNCTION("STDEV(FILTER('__flatlist__'!F$2:F1014,('__flatlist__'!$B$2:$B1014=$B62)))"),0.837808496568922)</f>
        <v>0.8378084966</v>
      </c>
      <c r="G62" s="11">
        <f>IFERROR(__xludf.DUMMYFUNCTION("STDEV(FILTER('__flatlist__'!G$2:G1014,('__flatlist__'!$B$2:$B1014=$B62)))"),0.3038218101251)</f>
        <v>0.3038218101</v>
      </c>
      <c r="H62" s="11">
        <f>IFERROR(__xludf.DUMMYFUNCTION("STDEV(FILTER('__flatlist__'!H$2:H1014,('__flatlist__'!$B$2:$B1014=$B62)))"),0.6222374845503018)</f>
        <v>0.6222374846</v>
      </c>
      <c r="I62" s="46">
        <f>IFERROR(__xludf.DUMMYFUNCTION("STDEV(FILTER('__flatlist__'!I$2:I1014,('__flatlist__'!$B$2:$B1014=$B62)))"),0.7574417130828938)</f>
        <v>0.7574417131</v>
      </c>
      <c r="M62" s="4"/>
      <c r="N62" s="11"/>
    </row>
    <row r="63">
      <c r="A63" s="31"/>
      <c r="B63" s="6" t="s">
        <v>27</v>
      </c>
      <c r="D63" s="8">
        <f>IFERROR(__xludf.DUMMYFUNCTION("STDEV(FILTER('__flatlist__'!D$2:D1014,('__flatlist__'!$B$2:$B1014=$B63)))"),0.12340514747857893)</f>
        <v>0.1234051475</v>
      </c>
      <c r="E63" s="11">
        <f>IFERROR(__xludf.DUMMYFUNCTION("STDEV(FILTER('__flatlist__'!E$2:E1014,('__flatlist__'!$B$2:$B1014=$B63)))"),0.8022404524765274)</f>
        <v>0.8022404525</v>
      </c>
      <c r="F63" s="11">
        <f>IFERROR(__xludf.DUMMYFUNCTION("STDEV(FILTER('__flatlist__'!F$2:F1014,('__flatlist__'!$B$2:$B1014=$B63)))"),0.6774764637788969)</f>
        <v>0.6774764638</v>
      </c>
      <c r="G63" s="11">
        <f>IFERROR(__xludf.DUMMYFUNCTION("STDEV(FILTER('__flatlist__'!G$2:G1014,('__flatlist__'!$B$2:$B1014=$B63)))"),0.464095480892257)</f>
        <v>0.4640954809</v>
      </c>
      <c r="H63" s="11">
        <f>IFERROR(__xludf.DUMMYFUNCTION("STDEV(FILTER('__flatlist__'!H$2:H1014,('__flatlist__'!$B$2:$B1014=$B63)))"),0.7403221751892369)</f>
        <v>0.7403221752</v>
      </c>
      <c r="I63" s="46">
        <f>IFERROR(__xludf.DUMMYFUNCTION("STDEV(FILTER('__flatlist__'!I$2:I1014,('__flatlist__'!$B$2:$B1014=$B63)))"),1.0076629473115577)</f>
        <v>1.007662947</v>
      </c>
      <c r="M63" s="4"/>
      <c r="N63" s="11"/>
    </row>
    <row r="64">
      <c r="A64" s="35"/>
      <c r="B64" s="19"/>
      <c r="C64" s="36" t="s">
        <v>21</v>
      </c>
      <c r="D64" s="20">
        <f>IFERROR(__xludf.DUMMYFUNCTION("STDEV(FILTER('__flatlist__'!D$2:D1014,('__flatlist__'!$C$2:$C1014=$C64)))"),0.11687851448677496)</f>
        <v>0.1168785145</v>
      </c>
      <c r="E64" s="37">
        <f>IFERROR(__xludf.DUMMYFUNCTION("STDEV(FILTER('__flatlist__'!E$2:E1014,('__flatlist__'!$C$2:$C1014=$C64)))"),0.8687311883149011)</f>
        <v>0.8687311883</v>
      </c>
      <c r="F64" s="37">
        <f>IFERROR(__xludf.DUMMYFUNCTION("STDEV(FILTER('__flatlist__'!F$2:F1014,('__flatlist__'!$C$2:$C1014=$C64)))"),0.5928141120356123)</f>
        <v>0.592814112</v>
      </c>
      <c r="G64" s="37">
        <f>IFERROR(__xludf.DUMMYFUNCTION("STDEV(FILTER('__flatlist__'!G$2:G1014,('__flatlist__'!$C$2:$C1014=$C64)))"),0.3854496446637727)</f>
        <v>0.3854496447</v>
      </c>
      <c r="H64" s="37">
        <f>IFERROR(__xludf.DUMMYFUNCTION("STDEV(FILTER('__flatlist__'!H$2:H1014,('__flatlist__'!$C$2:$C1014=$C64)))"),0.6703638975228609)</f>
        <v>0.6703638975</v>
      </c>
      <c r="I64" s="45">
        <f>IFERROR(__xludf.DUMMYFUNCTION("STDEV(FILTER('__flatlist__'!I$2:I1014,('__flatlist__'!$C$2:$C1014=$C64)))"),0.7216760537322906)</f>
        <v>0.7216760537</v>
      </c>
      <c r="M64" s="4"/>
      <c r="N64" s="11"/>
    </row>
    <row r="65">
      <c r="A65" s="38"/>
      <c r="C65" s="7" t="s">
        <v>22</v>
      </c>
      <c r="D65" s="8">
        <f>IFERROR(__xludf.DUMMYFUNCTION("STDEV(FILTER('__flatlist__'!D$2:D1014,('__flatlist__'!$C$2:$C1014=$C65)))"),0.12519846825133077)</f>
        <v>0.1251984683</v>
      </c>
      <c r="E65" s="11">
        <f>IFERROR(__xludf.DUMMYFUNCTION("STDEV(FILTER('__flatlist__'!E$2:E1014,('__flatlist__'!$C$2:$C1014=$C65)))"),0.7708992893275451)</f>
        <v>0.7708992893</v>
      </c>
      <c r="F65" s="11">
        <f>IFERROR(__xludf.DUMMYFUNCTION("STDEV(FILTER('__flatlist__'!F$2:F1014,('__flatlist__'!$C$2:$C1014=$C65)))"),0.5928141120356123)</f>
        <v>0.592814112</v>
      </c>
      <c r="G65" s="11">
        <f>IFERROR(__xludf.DUMMYFUNCTION("STDEV(FILTER('__flatlist__'!G$2:G1014,('__flatlist__'!$C$2:$C1014=$C65)))"),0.2740475156178697)</f>
        <v>0.2740475156</v>
      </c>
      <c r="H65" s="11">
        <f>IFERROR(__xludf.DUMMYFUNCTION("STDEV(FILTER('__flatlist__'!H$2:H1014,('__flatlist__'!$C$2:$C1014=$C65)))"),0.7420325093268887)</f>
        <v>0.7420325093</v>
      </c>
      <c r="I65" s="46">
        <f>IFERROR(__xludf.DUMMYFUNCTION("STDEV(FILTER('__flatlist__'!I$2:I1014,('__flatlist__'!$C$2:$C1014=$C65)))"),1.0577218491664437)</f>
        <v>1.057721849</v>
      </c>
      <c r="M65" s="4"/>
      <c r="N65" s="11"/>
    </row>
    <row r="66">
      <c r="A66" s="38"/>
      <c r="C66" s="7" t="s">
        <v>8</v>
      </c>
      <c r="D66" s="8">
        <f>IFERROR(__xludf.DUMMYFUNCTION("STDEV(FILTER('__flatlist__'!D$2:D1014,('__flatlist__'!$C$2:$C1014=$C66)))"),0.19887654188880496)</f>
        <v>0.1988765419</v>
      </c>
      <c r="E66" s="11">
        <f>IFERROR(__xludf.DUMMYFUNCTION("STDEV(FILTER('__flatlist__'!E$2:E1014,('__flatlist__'!$C$2:$C1014=$C66)))"),0.23989793748209526)</f>
        <v>0.2398979375</v>
      </c>
      <c r="F66" s="11">
        <f>IFERROR(__xludf.DUMMYFUNCTION("STDEV(FILTER('__flatlist__'!F$2:F1014,('__flatlist__'!$C$2:$C1014=$C66)))"),0.7938539422542745)</f>
        <v>0.7938539423</v>
      </c>
      <c r="G66" s="11">
        <f>IFERROR(__xludf.DUMMYFUNCTION("STDEV(FILTER('__flatlist__'!G$2:G1014,('__flatlist__'!$C$2:$C1014=$C66)))"),0.27404751561786955)</f>
        <v>0.2740475156</v>
      </c>
      <c r="H66" s="11">
        <f>IFERROR(__xludf.DUMMYFUNCTION("STDEV(FILTER('__flatlist__'!H$2:H1014,('__flatlist__'!$C$2:$C1014=$C66)))"),0.6375975315548971)</f>
        <v>0.6375975316</v>
      </c>
      <c r="I66" s="46">
        <f>IFERROR(__xludf.DUMMYFUNCTION("STDEV(FILTER('__flatlist__'!I$2:I1014,('__flatlist__'!$C$2:$C1014=$C66)))"),0.6627093431281826)</f>
        <v>0.6627093431</v>
      </c>
      <c r="M66" s="4"/>
      <c r="N66" s="11"/>
    </row>
    <row r="67">
      <c r="A67" s="39"/>
      <c r="B67" s="27"/>
      <c r="C67" s="40" t="s">
        <v>23</v>
      </c>
      <c r="D67" s="28">
        <f>IFERROR(__xludf.DUMMYFUNCTION("STDEV(FILTER('__flatlist__'!D$2:D1014,('__flatlist__'!$C$2:$C1014=$C67)))"),0.08030672880353036)</f>
        <v>0.0803067288</v>
      </c>
      <c r="E67" s="41">
        <f>IFERROR(__xludf.DUMMYFUNCTION("STDEV(FILTER('__flatlist__'!E$2:E1014,('__flatlist__'!$C$2:$C1014=$C67)))"),0.5717856027482712)</f>
        <v>0.5717856027</v>
      </c>
      <c r="F67" s="41">
        <f>IFERROR(__xludf.DUMMYFUNCTION("STDEV(FILTER('__flatlist__'!F$2:F1014,('__flatlist__'!$C$2:$C1014=$C67)))"),0.6700593942604898)</f>
        <v>0.6700593943</v>
      </c>
      <c r="G67" s="41">
        <f>IFERROR(__xludf.DUMMYFUNCTION("STDEV(FILTER('__flatlist__'!G$2:G1014,('__flatlist__'!$C$2:$C1014=$C67)))"),0.8283250865328131)</f>
        <v>0.8283250865</v>
      </c>
      <c r="H67" s="41">
        <f>IFERROR(__xludf.DUMMYFUNCTION("STDEV(FILTER('__flatlist__'!H$2:H1014,('__flatlist__'!$C$2:$C1014=$C67)))"),0.6455499158682861)</f>
        <v>0.6455499159</v>
      </c>
      <c r="I67" s="47">
        <f>IFERROR(__xludf.DUMMYFUNCTION("STDEV(FILTER('__flatlist__'!I$2:I1014,('__flatlist__'!$C$2:$C1014=$C67)))"),0.9398219544799157)</f>
        <v>0.9398219545</v>
      </c>
      <c r="M67" s="4"/>
      <c r="N67" s="11"/>
    </row>
    <row r="68">
      <c r="M68" s="4"/>
      <c r="N68" s="11"/>
    </row>
    <row r="69">
      <c r="M69" s="4"/>
      <c r="N69" s="11"/>
    </row>
    <row r="70">
      <c r="M70" s="4"/>
      <c r="N70" s="11"/>
    </row>
    <row r="71">
      <c r="M71" s="4"/>
      <c r="N71" s="11"/>
    </row>
    <row r="72">
      <c r="D72" s="48"/>
      <c r="M72" s="4"/>
      <c r="N72" s="11"/>
    </row>
    <row r="73">
      <c r="M73" s="4"/>
      <c r="N73" s="11"/>
    </row>
    <row r="74">
      <c r="M74" s="4"/>
      <c r="N74" s="11"/>
    </row>
    <row r="75">
      <c r="M75" s="4"/>
      <c r="N75" s="11"/>
    </row>
    <row r="76">
      <c r="M76" s="4"/>
      <c r="N76" s="11"/>
    </row>
    <row r="77">
      <c r="M77" s="4"/>
      <c r="N77" s="11"/>
    </row>
    <row r="78">
      <c r="M78" s="4"/>
      <c r="N78" s="11"/>
    </row>
    <row r="79">
      <c r="M79" s="4"/>
      <c r="N79" s="11"/>
    </row>
    <row r="80">
      <c r="M80" s="4"/>
      <c r="N80" s="11"/>
    </row>
    <row r="81">
      <c r="M81" s="4"/>
      <c r="N81" s="11"/>
    </row>
    <row r="82">
      <c r="M82" s="4"/>
      <c r="N82" s="11"/>
    </row>
    <row r="83">
      <c r="M83" s="4"/>
      <c r="N83" s="11"/>
    </row>
    <row r="84">
      <c r="M84" s="4"/>
      <c r="N84" s="11"/>
    </row>
    <row r="85">
      <c r="M85" s="4"/>
      <c r="N85" s="11"/>
    </row>
    <row r="86">
      <c r="M86" s="4"/>
      <c r="N86" s="11"/>
    </row>
    <row r="87">
      <c r="M87" s="4"/>
      <c r="N87" s="11"/>
    </row>
    <row r="88">
      <c r="M88" s="4"/>
      <c r="N88" s="11"/>
    </row>
    <row r="89">
      <c r="M89" s="4"/>
      <c r="N89" s="11"/>
    </row>
    <row r="90">
      <c r="M90" s="4"/>
      <c r="N90" s="11"/>
    </row>
    <row r="91">
      <c r="M91" s="4"/>
      <c r="N91" s="11"/>
    </row>
    <row r="92">
      <c r="M92" s="4"/>
      <c r="N92" s="11"/>
    </row>
    <row r="93">
      <c r="M93" s="4"/>
      <c r="N93" s="11"/>
    </row>
    <row r="94">
      <c r="M94" s="4"/>
      <c r="N94" s="11"/>
    </row>
    <row r="95">
      <c r="M95" s="4"/>
      <c r="N95" s="11"/>
    </row>
    <row r="96">
      <c r="M96" s="4"/>
      <c r="N96" s="11"/>
    </row>
    <row r="97">
      <c r="M97" s="4"/>
      <c r="N97" s="11"/>
    </row>
    <row r="98">
      <c r="M98" s="4"/>
      <c r="N98" s="11"/>
    </row>
    <row r="99">
      <c r="M99" s="4"/>
      <c r="N99" s="11"/>
    </row>
    <row r="100">
      <c r="M100" s="4"/>
      <c r="N100" s="11"/>
    </row>
    <row r="101">
      <c r="M101" s="4"/>
      <c r="N101" s="11"/>
    </row>
    <row r="102">
      <c r="M102" s="4"/>
      <c r="N102" s="11"/>
    </row>
    <row r="103">
      <c r="M103" s="4"/>
      <c r="N103" s="11"/>
    </row>
    <row r="104">
      <c r="M104" s="4"/>
      <c r="N104" s="11"/>
    </row>
    <row r="105">
      <c r="M105" s="4"/>
      <c r="N105" s="11"/>
    </row>
    <row r="106">
      <c r="M106" s="4"/>
      <c r="N106" s="11"/>
    </row>
    <row r="107">
      <c r="M107" s="4"/>
      <c r="N107" s="11"/>
    </row>
    <row r="108">
      <c r="M108" s="4"/>
      <c r="N108" s="11"/>
    </row>
    <row r="109">
      <c r="M109" s="4"/>
      <c r="N109" s="11"/>
    </row>
    <row r="110">
      <c r="M110" s="4"/>
      <c r="N110" s="11"/>
    </row>
    <row r="111">
      <c r="M111" s="4"/>
      <c r="N111" s="11"/>
    </row>
    <row r="112">
      <c r="M112" s="4"/>
      <c r="N112" s="11"/>
    </row>
    <row r="113">
      <c r="M113" s="4"/>
      <c r="N113" s="11"/>
    </row>
    <row r="114">
      <c r="M114" s="4"/>
      <c r="N114" s="11"/>
    </row>
    <row r="115">
      <c r="M115" s="4"/>
      <c r="N115" s="11"/>
    </row>
    <row r="116">
      <c r="M116" s="4"/>
      <c r="N116" s="11"/>
    </row>
    <row r="117">
      <c r="M117" s="4"/>
      <c r="N117" s="11"/>
    </row>
    <row r="118">
      <c r="M118" s="4"/>
      <c r="N118" s="11"/>
    </row>
    <row r="119">
      <c r="M119" s="4"/>
      <c r="N119" s="11"/>
    </row>
    <row r="120">
      <c r="M120" s="4"/>
      <c r="N120" s="11"/>
    </row>
    <row r="121">
      <c r="M121" s="4"/>
      <c r="N121" s="11"/>
    </row>
    <row r="122">
      <c r="M122" s="4"/>
      <c r="N122" s="11"/>
    </row>
    <row r="123">
      <c r="M123" s="4"/>
      <c r="N123" s="11"/>
    </row>
    <row r="124">
      <c r="M124" s="4"/>
      <c r="N124" s="11"/>
    </row>
    <row r="125">
      <c r="M125" s="4"/>
      <c r="N125" s="11"/>
    </row>
    <row r="126">
      <c r="M126" s="4"/>
      <c r="N126" s="11"/>
    </row>
    <row r="127">
      <c r="M127" s="4"/>
      <c r="N127" s="11"/>
    </row>
    <row r="128">
      <c r="M128" s="4"/>
      <c r="N128" s="11"/>
    </row>
    <row r="129">
      <c r="M129" s="4"/>
      <c r="N129" s="11"/>
    </row>
    <row r="130">
      <c r="M130" s="4"/>
      <c r="N130" s="11"/>
    </row>
    <row r="131">
      <c r="M131" s="4"/>
      <c r="N131" s="11"/>
    </row>
    <row r="132">
      <c r="M132" s="4"/>
      <c r="N132" s="11"/>
    </row>
    <row r="133">
      <c r="M133" s="4"/>
      <c r="N133" s="11"/>
    </row>
    <row r="134">
      <c r="M134" s="4"/>
      <c r="N134" s="11"/>
    </row>
    <row r="135">
      <c r="M135" s="4"/>
      <c r="N135" s="11"/>
    </row>
    <row r="136">
      <c r="M136" s="4"/>
      <c r="N136" s="11"/>
    </row>
    <row r="137">
      <c r="M137" s="4"/>
      <c r="N137" s="11"/>
    </row>
    <row r="138">
      <c r="M138" s="4"/>
      <c r="N138" s="11"/>
    </row>
    <row r="139">
      <c r="M139" s="4"/>
      <c r="N139" s="11"/>
    </row>
    <row r="140">
      <c r="M140" s="4"/>
      <c r="N140" s="11"/>
    </row>
    <row r="141">
      <c r="M141" s="4"/>
      <c r="N141" s="11"/>
    </row>
    <row r="142">
      <c r="M142" s="4"/>
      <c r="N142" s="11"/>
    </row>
    <row r="143">
      <c r="M143" s="4"/>
      <c r="N143" s="11"/>
    </row>
    <row r="144">
      <c r="M144" s="4"/>
      <c r="N144" s="11"/>
    </row>
    <row r="145">
      <c r="M145" s="4"/>
      <c r="N145" s="11"/>
    </row>
    <row r="146">
      <c r="M146" s="4"/>
      <c r="N146" s="11"/>
    </row>
    <row r="147">
      <c r="M147" s="4"/>
      <c r="N147" s="11"/>
    </row>
    <row r="148">
      <c r="M148" s="4"/>
      <c r="N148" s="11"/>
    </row>
    <row r="149">
      <c r="M149" s="4"/>
      <c r="N149" s="11"/>
    </row>
    <row r="150">
      <c r="M150" s="4"/>
      <c r="N150" s="11"/>
    </row>
    <row r="151">
      <c r="M151" s="4"/>
      <c r="N151" s="11"/>
    </row>
    <row r="152">
      <c r="M152" s="4"/>
      <c r="N152" s="11"/>
    </row>
    <row r="153">
      <c r="M153" s="4"/>
      <c r="N153" s="11"/>
    </row>
    <row r="154">
      <c r="M154" s="4"/>
      <c r="N154" s="11"/>
    </row>
    <row r="155">
      <c r="M155" s="4"/>
      <c r="N155" s="11"/>
    </row>
    <row r="156">
      <c r="M156" s="4"/>
      <c r="N156" s="11"/>
    </row>
    <row r="157">
      <c r="M157" s="4"/>
      <c r="N157" s="11"/>
    </row>
    <row r="158">
      <c r="M158" s="4"/>
      <c r="N158" s="11"/>
    </row>
    <row r="159">
      <c r="M159" s="4"/>
      <c r="N159" s="11"/>
    </row>
    <row r="160">
      <c r="M160" s="4"/>
      <c r="N160" s="11"/>
    </row>
    <row r="161">
      <c r="M161" s="4"/>
      <c r="N161" s="11"/>
    </row>
    <row r="162">
      <c r="M162" s="4"/>
      <c r="N162" s="11"/>
    </row>
    <row r="163">
      <c r="M163" s="4"/>
      <c r="N163" s="11"/>
    </row>
    <row r="164">
      <c r="M164" s="4"/>
      <c r="N164" s="11"/>
    </row>
    <row r="165">
      <c r="M165" s="4"/>
      <c r="N165" s="11"/>
    </row>
    <row r="166">
      <c r="M166" s="4"/>
      <c r="N166" s="11"/>
    </row>
    <row r="167">
      <c r="M167" s="4"/>
      <c r="N167" s="11"/>
    </row>
    <row r="168">
      <c r="M168" s="4"/>
      <c r="N168" s="11"/>
    </row>
    <row r="169">
      <c r="M169" s="4"/>
      <c r="N169" s="11"/>
    </row>
    <row r="170">
      <c r="M170" s="4"/>
      <c r="N170" s="11"/>
    </row>
    <row r="171">
      <c r="M171" s="4"/>
      <c r="N171" s="11"/>
    </row>
    <row r="172">
      <c r="M172" s="4"/>
      <c r="N172" s="11"/>
    </row>
    <row r="173">
      <c r="M173" s="4"/>
      <c r="N173" s="11"/>
    </row>
    <row r="174">
      <c r="M174" s="4"/>
      <c r="N174" s="11"/>
    </row>
    <row r="175">
      <c r="M175" s="4"/>
      <c r="N175" s="11"/>
    </row>
    <row r="176">
      <c r="M176" s="4"/>
      <c r="N176" s="11"/>
    </row>
    <row r="177">
      <c r="M177" s="4"/>
      <c r="N177" s="11"/>
    </row>
    <row r="178">
      <c r="M178" s="4"/>
      <c r="N178" s="11"/>
    </row>
    <row r="179">
      <c r="M179" s="4"/>
      <c r="N179" s="11"/>
    </row>
    <row r="180">
      <c r="M180" s="4"/>
      <c r="N180" s="11"/>
    </row>
    <row r="181">
      <c r="M181" s="4"/>
      <c r="N181" s="11"/>
    </row>
    <row r="182">
      <c r="M182" s="4"/>
      <c r="N182" s="11"/>
    </row>
    <row r="183">
      <c r="M183" s="4"/>
      <c r="N183" s="11"/>
    </row>
    <row r="184">
      <c r="M184" s="4"/>
      <c r="N184" s="11"/>
    </row>
    <row r="185">
      <c r="M185" s="4"/>
      <c r="N185" s="11"/>
    </row>
    <row r="186">
      <c r="M186" s="4"/>
      <c r="N186" s="11"/>
    </row>
    <row r="187">
      <c r="M187" s="4"/>
      <c r="N187" s="11"/>
    </row>
    <row r="188">
      <c r="M188" s="4"/>
      <c r="N188" s="11"/>
    </row>
    <row r="189">
      <c r="M189" s="4"/>
      <c r="N189" s="11"/>
    </row>
    <row r="190">
      <c r="M190" s="4"/>
      <c r="N190" s="11"/>
    </row>
    <row r="191">
      <c r="M191" s="4"/>
      <c r="N191" s="11"/>
    </row>
    <row r="192">
      <c r="M192" s="4"/>
      <c r="N192" s="11"/>
    </row>
    <row r="193">
      <c r="M193" s="4"/>
      <c r="N193" s="11"/>
    </row>
    <row r="194">
      <c r="M194" s="4"/>
      <c r="N194" s="11"/>
    </row>
    <row r="195">
      <c r="M195" s="4"/>
      <c r="N195" s="11"/>
    </row>
    <row r="196">
      <c r="M196" s="4"/>
      <c r="N196" s="11"/>
    </row>
    <row r="197">
      <c r="M197" s="4"/>
      <c r="N197" s="11"/>
    </row>
    <row r="198">
      <c r="M198" s="4"/>
      <c r="N198" s="11"/>
    </row>
    <row r="199">
      <c r="M199" s="4"/>
      <c r="N199" s="11"/>
    </row>
    <row r="200">
      <c r="M200" s="4"/>
      <c r="N200" s="11"/>
    </row>
    <row r="201">
      <c r="M201" s="4"/>
      <c r="N201" s="11"/>
    </row>
    <row r="202">
      <c r="M202" s="4"/>
      <c r="N202" s="11"/>
    </row>
    <row r="203">
      <c r="M203" s="4"/>
      <c r="N203" s="11"/>
    </row>
    <row r="204">
      <c r="M204" s="4"/>
      <c r="N204" s="11"/>
    </row>
    <row r="205">
      <c r="M205" s="4"/>
      <c r="N205" s="11"/>
    </row>
    <row r="206">
      <c r="M206" s="4"/>
      <c r="N206" s="11"/>
    </row>
    <row r="207">
      <c r="M207" s="4"/>
      <c r="N207" s="11"/>
    </row>
    <row r="208">
      <c r="M208" s="4"/>
      <c r="N208" s="11"/>
    </row>
    <row r="209">
      <c r="M209" s="4"/>
      <c r="N209" s="11"/>
    </row>
    <row r="210">
      <c r="M210" s="4"/>
      <c r="N210" s="11"/>
    </row>
    <row r="211">
      <c r="M211" s="4"/>
      <c r="N211" s="11"/>
    </row>
    <row r="212">
      <c r="M212" s="4"/>
      <c r="N212" s="11"/>
    </row>
    <row r="213">
      <c r="M213" s="4"/>
      <c r="N213" s="11"/>
    </row>
    <row r="214">
      <c r="M214" s="4"/>
      <c r="N214" s="11"/>
    </row>
    <row r="215">
      <c r="M215" s="4"/>
      <c r="N215" s="11"/>
    </row>
    <row r="216">
      <c r="M216" s="4"/>
      <c r="N216" s="11"/>
    </row>
    <row r="217">
      <c r="M217" s="4"/>
      <c r="N217" s="11"/>
    </row>
    <row r="218">
      <c r="M218" s="4"/>
      <c r="N218" s="11"/>
    </row>
    <row r="219">
      <c r="M219" s="4"/>
      <c r="N219" s="11"/>
    </row>
    <row r="220">
      <c r="M220" s="4"/>
      <c r="N220" s="11"/>
    </row>
    <row r="221">
      <c r="M221" s="4"/>
      <c r="N221" s="11"/>
    </row>
    <row r="222">
      <c r="M222" s="4"/>
      <c r="N222" s="11"/>
    </row>
    <row r="223">
      <c r="M223" s="4"/>
      <c r="N223" s="11"/>
    </row>
    <row r="224">
      <c r="M224" s="4"/>
      <c r="N224" s="11"/>
    </row>
    <row r="225">
      <c r="M225" s="4"/>
      <c r="N225" s="11"/>
    </row>
    <row r="226">
      <c r="M226" s="4"/>
      <c r="N226" s="11"/>
    </row>
    <row r="227">
      <c r="M227" s="4"/>
      <c r="N227" s="11"/>
    </row>
    <row r="228">
      <c r="M228" s="4"/>
      <c r="N228" s="11"/>
    </row>
    <row r="229">
      <c r="M229" s="4"/>
      <c r="N229" s="11"/>
    </row>
    <row r="230">
      <c r="M230" s="4"/>
      <c r="N230" s="11"/>
    </row>
    <row r="231">
      <c r="M231" s="4"/>
      <c r="N231" s="11"/>
    </row>
    <row r="232">
      <c r="M232" s="4"/>
      <c r="N232" s="11"/>
    </row>
    <row r="233">
      <c r="M233" s="4"/>
      <c r="N233" s="11"/>
    </row>
    <row r="234">
      <c r="M234" s="4"/>
      <c r="N234" s="11"/>
    </row>
    <row r="235">
      <c r="M235" s="4"/>
      <c r="N235" s="11"/>
    </row>
    <row r="236">
      <c r="M236" s="4"/>
      <c r="N236" s="11"/>
    </row>
    <row r="237">
      <c r="M237" s="4"/>
      <c r="N237" s="11"/>
    </row>
    <row r="238">
      <c r="M238" s="4"/>
      <c r="N238" s="11"/>
    </row>
    <row r="239">
      <c r="M239" s="4"/>
      <c r="N239" s="11"/>
    </row>
    <row r="240">
      <c r="M240" s="4"/>
      <c r="N240" s="11"/>
    </row>
    <row r="241">
      <c r="M241" s="4"/>
      <c r="N241" s="11"/>
    </row>
    <row r="242">
      <c r="M242" s="4"/>
      <c r="N242" s="11"/>
    </row>
    <row r="243">
      <c r="M243" s="4"/>
      <c r="N243" s="11"/>
    </row>
    <row r="244">
      <c r="M244" s="4"/>
      <c r="N244" s="11"/>
    </row>
    <row r="245">
      <c r="M245" s="4"/>
      <c r="N245" s="11"/>
    </row>
    <row r="246">
      <c r="M246" s="4"/>
      <c r="N246" s="11"/>
    </row>
    <row r="247">
      <c r="M247" s="4"/>
      <c r="N247" s="11"/>
    </row>
    <row r="248">
      <c r="M248" s="4"/>
      <c r="N248" s="11"/>
    </row>
    <row r="249">
      <c r="M249" s="4"/>
      <c r="N249" s="11"/>
    </row>
    <row r="250">
      <c r="M250" s="4"/>
      <c r="N250" s="11"/>
    </row>
    <row r="251">
      <c r="M251" s="4"/>
      <c r="N251" s="11"/>
    </row>
    <row r="252">
      <c r="M252" s="4"/>
      <c r="N252" s="11"/>
    </row>
    <row r="253">
      <c r="M253" s="4"/>
      <c r="N253" s="11"/>
    </row>
    <row r="254">
      <c r="M254" s="4"/>
      <c r="N254" s="11"/>
    </row>
    <row r="255">
      <c r="M255" s="4"/>
      <c r="N255" s="11"/>
    </row>
    <row r="256">
      <c r="M256" s="4"/>
      <c r="N256" s="11"/>
    </row>
    <row r="257">
      <c r="M257" s="4"/>
      <c r="N257" s="11"/>
    </row>
    <row r="258">
      <c r="M258" s="4"/>
      <c r="N258" s="11"/>
    </row>
    <row r="259">
      <c r="M259" s="4"/>
      <c r="N259" s="11"/>
    </row>
    <row r="260">
      <c r="M260" s="4"/>
      <c r="N260" s="11"/>
    </row>
    <row r="261">
      <c r="M261" s="4"/>
      <c r="N261" s="11"/>
    </row>
    <row r="262">
      <c r="M262" s="4"/>
      <c r="N262" s="11"/>
    </row>
    <row r="263">
      <c r="M263" s="4"/>
      <c r="N263" s="11"/>
    </row>
    <row r="264">
      <c r="M264" s="4"/>
      <c r="N264" s="11"/>
    </row>
    <row r="265">
      <c r="M265" s="4"/>
      <c r="N265" s="11"/>
    </row>
    <row r="266">
      <c r="M266" s="4"/>
      <c r="N266" s="11"/>
    </row>
    <row r="267">
      <c r="M267" s="4"/>
      <c r="N267" s="11"/>
    </row>
    <row r="268">
      <c r="M268" s="4"/>
      <c r="N268" s="11"/>
    </row>
    <row r="269">
      <c r="M269" s="4"/>
      <c r="N269" s="11"/>
    </row>
    <row r="270">
      <c r="M270" s="4"/>
      <c r="N270" s="11"/>
    </row>
    <row r="271">
      <c r="M271" s="4"/>
      <c r="N271" s="11"/>
    </row>
    <row r="272">
      <c r="M272" s="4"/>
      <c r="N272" s="11"/>
    </row>
    <row r="273">
      <c r="M273" s="4"/>
      <c r="N273" s="11"/>
    </row>
    <row r="274">
      <c r="M274" s="4"/>
      <c r="N274" s="11"/>
    </row>
    <row r="275">
      <c r="M275" s="4"/>
      <c r="N275" s="11"/>
    </row>
    <row r="276">
      <c r="M276" s="4"/>
      <c r="N276" s="11"/>
    </row>
    <row r="277">
      <c r="M277" s="4"/>
      <c r="N277" s="11"/>
    </row>
    <row r="278">
      <c r="M278" s="4"/>
      <c r="N278" s="11"/>
    </row>
    <row r="279">
      <c r="M279" s="4"/>
      <c r="N279" s="11"/>
    </row>
    <row r="280">
      <c r="M280" s="4"/>
      <c r="N280" s="11"/>
    </row>
    <row r="281">
      <c r="M281" s="4"/>
      <c r="N281" s="11"/>
    </row>
    <row r="282">
      <c r="M282" s="4"/>
      <c r="N282" s="11"/>
    </row>
    <row r="283">
      <c r="M283" s="4"/>
      <c r="N283" s="11"/>
    </row>
    <row r="284">
      <c r="M284" s="4"/>
      <c r="N284" s="11"/>
    </row>
    <row r="285">
      <c r="M285" s="4"/>
      <c r="N285" s="11"/>
    </row>
    <row r="286">
      <c r="M286" s="4"/>
      <c r="N286" s="11"/>
    </row>
    <row r="287">
      <c r="M287" s="4"/>
      <c r="N287" s="11"/>
    </row>
    <row r="288">
      <c r="M288" s="4"/>
      <c r="N288" s="11"/>
    </row>
    <row r="289">
      <c r="M289" s="4"/>
      <c r="N289" s="11"/>
    </row>
    <row r="290">
      <c r="M290" s="4"/>
      <c r="N290" s="11"/>
    </row>
    <row r="291">
      <c r="M291" s="4"/>
      <c r="N291" s="11"/>
    </row>
    <row r="292">
      <c r="M292" s="4"/>
      <c r="N292" s="11"/>
    </row>
    <row r="293">
      <c r="M293" s="4"/>
      <c r="N293" s="11"/>
    </row>
    <row r="294">
      <c r="M294" s="4"/>
      <c r="N294" s="11"/>
    </row>
    <row r="295">
      <c r="M295" s="4"/>
      <c r="N295" s="11"/>
    </row>
    <row r="296">
      <c r="M296" s="4"/>
      <c r="N296" s="11"/>
    </row>
    <row r="297">
      <c r="M297" s="4"/>
      <c r="N297" s="11"/>
    </row>
    <row r="298">
      <c r="M298" s="4"/>
      <c r="N298" s="11"/>
    </row>
    <row r="299">
      <c r="M299" s="4"/>
      <c r="N299" s="11"/>
    </row>
    <row r="300">
      <c r="M300" s="4"/>
      <c r="N300" s="11"/>
    </row>
    <row r="301">
      <c r="M301" s="4"/>
      <c r="N301" s="11"/>
    </row>
    <row r="302">
      <c r="M302" s="4"/>
      <c r="N302" s="11"/>
    </row>
    <row r="303">
      <c r="M303" s="4"/>
      <c r="N303" s="11"/>
    </row>
    <row r="304">
      <c r="M304" s="4"/>
      <c r="N304" s="11"/>
    </row>
    <row r="305">
      <c r="M305" s="4"/>
      <c r="N305" s="11"/>
    </row>
    <row r="306">
      <c r="M306" s="4"/>
      <c r="N306" s="11"/>
    </row>
    <row r="307">
      <c r="M307" s="4"/>
      <c r="N307" s="11"/>
    </row>
    <row r="308">
      <c r="M308" s="4"/>
      <c r="N308" s="11"/>
    </row>
    <row r="309">
      <c r="M309" s="4"/>
      <c r="N309" s="11"/>
    </row>
    <row r="310">
      <c r="M310" s="4"/>
      <c r="N310" s="11"/>
    </row>
    <row r="311">
      <c r="M311" s="4"/>
      <c r="N311" s="11"/>
    </row>
    <row r="312">
      <c r="M312" s="4"/>
      <c r="N312" s="11"/>
    </row>
    <row r="313">
      <c r="M313" s="4"/>
      <c r="N313" s="11"/>
    </row>
    <row r="314">
      <c r="M314" s="4"/>
      <c r="N314" s="11"/>
    </row>
    <row r="315">
      <c r="M315" s="4"/>
      <c r="N315" s="11"/>
    </row>
    <row r="316">
      <c r="M316" s="4"/>
      <c r="N316" s="11"/>
    </row>
    <row r="317">
      <c r="M317" s="4"/>
      <c r="N317" s="11"/>
    </row>
    <row r="318">
      <c r="M318" s="4"/>
      <c r="N318" s="11"/>
    </row>
    <row r="319">
      <c r="M319" s="4"/>
      <c r="N319" s="11"/>
    </row>
    <row r="320">
      <c r="M320" s="4"/>
      <c r="N320" s="11"/>
    </row>
    <row r="321">
      <c r="M321" s="4"/>
      <c r="N321" s="11"/>
    </row>
    <row r="322">
      <c r="M322" s="4"/>
      <c r="N322" s="11"/>
    </row>
    <row r="323">
      <c r="M323" s="4"/>
      <c r="N323" s="11"/>
    </row>
    <row r="324">
      <c r="M324" s="4"/>
      <c r="N324" s="11"/>
    </row>
    <row r="325">
      <c r="M325" s="4"/>
      <c r="N325" s="11"/>
    </row>
    <row r="326">
      <c r="M326" s="4"/>
      <c r="N326" s="11"/>
    </row>
    <row r="327">
      <c r="M327" s="4"/>
      <c r="N327" s="11"/>
    </row>
    <row r="328">
      <c r="M328" s="4"/>
      <c r="N328" s="11"/>
    </row>
    <row r="329">
      <c r="M329" s="4"/>
      <c r="N329" s="11"/>
    </row>
    <row r="330">
      <c r="M330" s="4"/>
      <c r="N330" s="11"/>
    </row>
    <row r="331">
      <c r="M331" s="4"/>
      <c r="N331" s="11"/>
    </row>
    <row r="332">
      <c r="M332" s="4"/>
      <c r="N332" s="11"/>
    </row>
    <row r="333">
      <c r="M333" s="4"/>
      <c r="N333" s="11"/>
    </row>
    <row r="334">
      <c r="M334" s="4"/>
      <c r="N334" s="11"/>
    </row>
    <row r="335">
      <c r="M335" s="4"/>
      <c r="N335" s="11"/>
    </row>
    <row r="336">
      <c r="M336" s="4"/>
      <c r="N336" s="11"/>
    </row>
    <row r="337">
      <c r="M337" s="4"/>
      <c r="N337" s="11"/>
    </row>
    <row r="338">
      <c r="M338" s="4"/>
      <c r="N338" s="11"/>
    </row>
    <row r="339">
      <c r="M339" s="4"/>
      <c r="N339" s="11"/>
    </row>
    <row r="340">
      <c r="M340" s="4"/>
      <c r="N340" s="11"/>
    </row>
    <row r="341">
      <c r="M341" s="4"/>
      <c r="N341" s="11"/>
    </row>
    <row r="342">
      <c r="M342" s="4"/>
      <c r="N342" s="11"/>
    </row>
    <row r="343">
      <c r="M343" s="4"/>
      <c r="N343" s="11"/>
    </row>
    <row r="344">
      <c r="M344" s="4"/>
      <c r="N344" s="11"/>
    </row>
    <row r="345">
      <c r="M345" s="4"/>
      <c r="N345" s="11"/>
    </row>
    <row r="346">
      <c r="M346" s="4"/>
      <c r="N346" s="11"/>
    </row>
    <row r="347">
      <c r="M347" s="4"/>
      <c r="N347" s="11"/>
    </row>
    <row r="348">
      <c r="M348" s="4"/>
      <c r="N348" s="11"/>
    </row>
    <row r="349">
      <c r="M349" s="4"/>
      <c r="N349" s="11"/>
    </row>
    <row r="350">
      <c r="M350" s="4"/>
      <c r="N350" s="11"/>
    </row>
    <row r="351">
      <c r="M351" s="4"/>
      <c r="N351" s="11"/>
    </row>
    <row r="352">
      <c r="M352" s="4"/>
      <c r="N352" s="11"/>
    </row>
    <row r="353">
      <c r="M353" s="4"/>
      <c r="N353" s="11"/>
    </row>
    <row r="354">
      <c r="M354" s="4"/>
      <c r="N354" s="11"/>
    </row>
    <row r="355">
      <c r="M355" s="4"/>
      <c r="N355" s="11"/>
    </row>
    <row r="356">
      <c r="M356" s="4"/>
      <c r="N356" s="11"/>
    </row>
    <row r="357">
      <c r="M357" s="4"/>
      <c r="N357" s="11"/>
    </row>
    <row r="358">
      <c r="M358" s="4"/>
      <c r="N358" s="11"/>
    </row>
    <row r="359">
      <c r="M359" s="4"/>
      <c r="N359" s="11"/>
    </row>
    <row r="360">
      <c r="M360" s="4"/>
      <c r="N360" s="11"/>
    </row>
    <row r="361">
      <c r="M361" s="4"/>
      <c r="N361" s="11"/>
    </row>
    <row r="362">
      <c r="M362" s="4"/>
      <c r="N362" s="11"/>
    </row>
    <row r="363">
      <c r="M363" s="4"/>
      <c r="N363" s="11"/>
    </row>
    <row r="364">
      <c r="M364" s="4"/>
      <c r="N364" s="11"/>
    </row>
    <row r="365">
      <c r="M365" s="4"/>
      <c r="N365" s="11"/>
    </row>
    <row r="366">
      <c r="M366" s="4"/>
      <c r="N366" s="11"/>
    </row>
    <row r="367">
      <c r="M367" s="4"/>
      <c r="N367" s="11"/>
    </row>
    <row r="368">
      <c r="M368" s="4"/>
      <c r="N368" s="11"/>
    </row>
    <row r="369">
      <c r="M369" s="4"/>
      <c r="N369" s="11"/>
    </row>
    <row r="370">
      <c r="M370" s="4"/>
      <c r="N370" s="11"/>
    </row>
    <row r="371">
      <c r="M371" s="4"/>
      <c r="N371" s="11"/>
    </row>
    <row r="372">
      <c r="M372" s="4"/>
      <c r="N372" s="11"/>
    </row>
    <row r="373">
      <c r="M373" s="4"/>
      <c r="N373" s="11"/>
    </row>
    <row r="374">
      <c r="M374" s="4"/>
      <c r="N374" s="11"/>
    </row>
    <row r="375">
      <c r="M375" s="4"/>
      <c r="N375" s="11"/>
    </row>
    <row r="376">
      <c r="M376" s="4"/>
      <c r="N376" s="11"/>
    </row>
    <row r="377">
      <c r="M377" s="4"/>
      <c r="N377" s="11"/>
    </row>
    <row r="378">
      <c r="M378" s="4"/>
      <c r="N378" s="11"/>
    </row>
    <row r="379">
      <c r="M379" s="4"/>
      <c r="N379" s="11"/>
    </row>
    <row r="380">
      <c r="M380" s="4"/>
      <c r="N380" s="11"/>
    </row>
    <row r="381">
      <c r="M381" s="4"/>
      <c r="N381" s="11"/>
    </row>
    <row r="382">
      <c r="M382" s="4"/>
      <c r="N382" s="11"/>
    </row>
    <row r="383">
      <c r="M383" s="4"/>
      <c r="N383" s="11"/>
    </row>
    <row r="384">
      <c r="M384" s="4"/>
      <c r="N384" s="11"/>
    </row>
    <row r="385">
      <c r="M385" s="4"/>
      <c r="N385" s="11"/>
    </row>
    <row r="386">
      <c r="M386" s="4"/>
      <c r="N386" s="11"/>
    </row>
    <row r="387">
      <c r="M387" s="4"/>
      <c r="N387" s="11"/>
    </row>
    <row r="388">
      <c r="M388" s="4"/>
      <c r="N388" s="11"/>
    </row>
    <row r="389">
      <c r="M389" s="4"/>
      <c r="N389" s="11"/>
    </row>
    <row r="390">
      <c r="M390" s="4"/>
      <c r="N390" s="11"/>
    </row>
    <row r="391">
      <c r="M391" s="4"/>
      <c r="N391" s="11"/>
    </row>
    <row r="392">
      <c r="M392" s="4"/>
      <c r="N392" s="11"/>
    </row>
    <row r="393">
      <c r="M393" s="4"/>
      <c r="N393" s="11"/>
    </row>
    <row r="394">
      <c r="M394" s="4"/>
      <c r="N394" s="11"/>
    </row>
    <row r="395">
      <c r="M395" s="4"/>
      <c r="N395" s="11"/>
    </row>
    <row r="396">
      <c r="M396" s="4"/>
      <c r="N396" s="11"/>
    </row>
    <row r="397">
      <c r="M397" s="4"/>
      <c r="N397" s="11"/>
    </row>
    <row r="398">
      <c r="M398" s="4"/>
      <c r="N398" s="11"/>
    </row>
    <row r="399">
      <c r="M399" s="4"/>
      <c r="N399" s="11"/>
    </row>
    <row r="400">
      <c r="M400" s="4"/>
      <c r="N400" s="11"/>
    </row>
    <row r="401">
      <c r="M401" s="4"/>
      <c r="N401" s="11"/>
    </row>
    <row r="402">
      <c r="M402" s="4"/>
      <c r="N402" s="11"/>
    </row>
    <row r="403">
      <c r="M403" s="4"/>
      <c r="N403" s="11"/>
    </row>
    <row r="404">
      <c r="M404" s="4"/>
      <c r="N404" s="11"/>
    </row>
    <row r="405">
      <c r="M405" s="4"/>
      <c r="N405" s="11"/>
    </row>
    <row r="406">
      <c r="M406" s="4"/>
      <c r="N406" s="11"/>
    </row>
    <row r="407">
      <c r="M407" s="4"/>
      <c r="N407" s="11"/>
    </row>
    <row r="408">
      <c r="M408" s="4"/>
      <c r="N408" s="11"/>
    </row>
    <row r="409">
      <c r="M409" s="4"/>
      <c r="N409" s="11"/>
    </row>
    <row r="410">
      <c r="M410" s="4"/>
      <c r="N410" s="11"/>
    </row>
    <row r="411">
      <c r="M411" s="4"/>
      <c r="N411" s="11"/>
    </row>
    <row r="412">
      <c r="M412" s="4"/>
      <c r="N412" s="11"/>
    </row>
    <row r="413">
      <c r="M413" s="4"/>
      <c r="N413" s="11"/>
    </row>
    <row r="414">
      <c r="M414" s="4"/>
      <c r="N414" s="11"/>
    </row>
    <row r="415">
      <c r="M415" s="4"/>
      <c r="N415" s="11"/>
    </row>
    <row r="416">
      <c r="M416" s="4"/>
      <c r="N416" s="11"/>
    </row>
    <row r="417">
      <c r="M417" s="4"/>
      <c r="N417" s="11"/>
    </row>
    <row r="418">
      <c r="M418" s="4"/>
      <c r="N418" s="11"/>
    </row>
    <row r="419">
      <c r="M419" s="4"/>
      <c r="N419" s="11"/>
    </row>
    <row r="420">
      <c r="M420" s="4"/>
      <c r="N420" s="11"/>
    </row>
    <row r="421">
      <c r="M421" s="4"/>
      <c r="N421" s="11"/>
    </row>
    <row r="422">
      <c r="M422" s="4"/>
      <c r="N422" s="11"/>
    </row>
    <row r="423">
      <c r="M423" s="4"/>
      <c r="N423" s="11"/>
    </row>
    <row r="424">
      <c r="M424" s="4"/>
      <c r="N424" s="11"/>
    </row>
    <row r="425">
      <c r="M425" s="4"/>
      <c r="N425" s="11"/>
    </row>
    <row r="426">
      <c r="M426" s="4"/>
      <c r="N426" s="11"/>
    </row>
    <row r="427">
      <c r="M427" s="4"/>
      <c r="N427" s="11"/>
    </row>
    <row r="428">
      <c r="M428" s="4"/>
      <c r="N428" s="11"/>
    </row>
    <row r="429">
      <c r="M429" s="4"/>
      <c r="N429" s="11"/>
    </row>
    <row r="430">
      <c r="M430" s="4"/>
      <c r="N430" s="11"/>
    </row>
    <row r="431">
      <c r="M431" s="4"/>
      <c r="N431" s="11"/>
    </row>
    <row r="432">
      <c r="M432" s="4"/>
      <c r="N432" s="11"/>
    </row>
    <row r="433">
      <c r="M433" s="4"/>
      <c r="N433" s="11"/>
    </row>
    <row r="434">
      <c r="M434" s="4"/>
      <c r="N434" s="11"/>
    </row>
    <row r="435">
      <c r="M435" s="4"/>
      <c r="N435" s="11"/>
    </row>
    <row r="436">
      <c r="M436" s="4"/>
      <c r="N436" s="11"/>
    </row>
    <row r="437">
      <c r="M437" s="4"/>
      <c r="N437" s="11"/>
    </row>
    <row r="438">
      <c r="M438" s="4"/>
      <c r="N438" s="11"/>
    </row>
    <row r="439">
      <c r="M439" s="4"/>
      <c r="N439" s="11"/>
    </row>
    <row r="440">
      <c r="M440" s="4"/>
      <c r="N440" s="11"/>
    </row>
    <row r="441">
      <c r="M441" s="4"/>
      <c r="N441" s="11"/>
    </row>
    <row r="442">
      <c r="M442" s="4"/>
      <c r="N442" s="11"/>
    </row>
    <row r="443">
      <c r="M443" s="4"/>
      <c r="N443" s="11"/>
    </row>
    <row r="444">
      <c r="M444" s="4"/>
      <c r="N444" s="11"/>
    </row>
    <row r="445">
      <c r="M445" s="4"/>
      <c r="N445" s="11"/>
    </row>
    <row r="446">
      <c r="M446" s="4"/>
      <c r="N446" s="11"/>
    </row>
    <row r="447">
      <c r="M447" s="4"/>
      <c r="N447" s="11"/>
    </row>
    <row r="448">
      <c r="M448" s="4"/>
      <c r="N448" s="11"/>
    </row>
    <row r="449">
      <c r="M449" s="4"/>
      <c r="N449" s="11"/>
    </row>
    <row r="450">
      <c r="M450" s="4"/>
      <c r="N450" s="11"/>
    </row>
    <row r="451">
      <c r="M451" s="4"/>
      <c r="N451" s="11"/>
    </row>
    <row r="452">
      <c r="M452" s="4"/>
      <c r="N452" s="11"/>
    </row>
    <row r="453">
      <c r="M453" s="4"/>
      <c r="N453" s="11"/>
    </row>
    <row r="454">
      <c r="M454" s="4"/>
      <c r="N454" s="11"/>
    </row>
    <row r="455">
      <c r="M455" s="4"/>
      <c r="N455" s="11"/>
    </row>
    <row r="456">
      <c r="M456" s="4"/>
      <c r="N456" s="11"/>
    </row>
    <row r="457">
      <c r="M457" s="4"/>
      <c r="N457" s="11"/>
    </row>
    <row r="458">
      <c r="M458" s="4"/>
      <c r="N458" s="11"/>
    </row>
    <row r="459">
      <c r="M459" s="4"/>
      <c r="N459" s="11"/>
    </row>
    <row r="460">
      <c r="M460" s="4"/>
      <c r="N460" s="11"/>
    </row>
    <row r="461">
      <c r="M461" s="4"/>
      <c r="N461" s="11"/>
    </row>
    <row r="462">
      <c r="M462" s="4"/>
      <c r="N462" s="11"/>
    </row>
    <row r="463">
      <c r="M463" s="4"/>
      <c r="N463" s="11"/>
    </row>
    <row r="464">
      <c r="M464" s="4"/>
      <c r="N464" s="11"/>
    </row>
    <row r="465">
      <c r="M465" s="4"/>
      <c r="N465" s="11"/>
    </row>
    <row r="466">
      <c r="M466" s="4"/>
      <c r="N466" s="11"/>
    </row>
    <row r="467">
      <c r="M467" s="4"/>
      <c r="N467" s="11"/>
    </row>
    <row r="468">
      <c r="M468" s="4"/>
      <c r="N468" s="11"/>
    </row>
    <row r="469">
      <c r="M469" s="4"/>
      <c r="N469" s="11"/>
    </row>
    <row r="470">
      <c r="M470" s="4"/>
      <c r="N470" s="11"/>
    </row>
    <row r="471">
      <c r="M471" s="4"/>
      <c r="N471" s="11"/>
    </row>
    <row r="472">
      <c r="M472" s="4"/>
      <c r="N472" s="11"/>
    </row>
    <row r="473">
      <c r="M473" s="4"/>
      <c r="N473" s="11"/>
    </row>
    <row r="474">
      <c r="M474" s="4"/>
      <c r="N474" s="11"/>
    </row>
    <row r="475">
      <c r="M475" s="4"/>
      <c r="N475" s="11"/>
    </row>
    <row r="476">
      <c r="M476" s="4"/>
      <c r="N476" s="11"/>
    </row>
    <row r="477">
      <c r="M477" s="4"/>
      <c r="N477" s="11"/>
    </row>
    <row r="478">
      <c r="M478" s="4"/>
      <c r="N478" s="11"/>
    </row>
    <row r="479">
      <c r="M479" s="4"/>
      <c r="N479" s="11"/>
    </row>
    <row r="480">
      <c r="M480" s="4"/>
      <c r="N480" s="11"/>
    </row>
    <row r="481">
      <c r="M481" s="4"/>
      <c r="N481" s="11"/>
    </row>
    <row r="482">
      <c r="M482" s="4"/>
      <c r="N482" s="11"/>
    </row>
    <row r="483">
      <c r="M483" s="4"/>
      <c r="N483" s="11"/>
    </row>
    <row r="484">
      <c r="M484" s="4"/>
      <c r="N484" s="11"/>
    </row>
    <row r="485">
      <c r="M485" s="4"/>
      <c r="N485" s="11"/>
    </row>
    <row r="486">
      <c r="M486" s="4"/>
      <c r="N486" s="11"/>
    </row>
    <row r="487">
      <c r="M487" s="4"/>
      <c r="N487" s="11"/>
    </row>
    <row r="488">
      <c r="M488" s="4"/>
      <c r="N488" s="11"/>
    </row>
    <row r="489">
      <c r="M489" s="4"/>
      <c r="N489" s="11"/>
    </row>
    <row r="490">
      <c r="M490" s="4"/>
      <c r="N490" s="11"/>
    </row>
    <row r="491">
      <c r="M491" s="4"/>
      <c r="N491" s="11"/>
    </row>
    <row r="492">
      <c r="M492" s="4"/>
      <c r="N492" s="11"/>
    </row>
    <row r="493">
      <c r="M493" s="4"/>
      <c r="N493" s="11"/>
    </row>
    <row r="494">
      <c r="M494" s="4"/>
      <c r="N494" s="11"/>
    </row>
    <row r="495">
      <c r="M495" s="4"/>
      <c r="N495" s="11"/>
    </row>
    <row r="496">
      <c r="M496" s="4"/>
      <c r="N496" s="11"/>
    </row>
    <row r="497">
      <c r="M497" s="4"/>
      <c r="N497" s="11"/>
    </row>
    <row r="498">
      <c r="M498" s="4"/>
      <c r="N498" s="11"/>
    </row>
    <row r="499">
      <c r="M499" s="4"/>
      <c r="N499" s="11"/>
    </row>
    <row r="500">
      <c r="M500" s="4"/>
      <c r="N500" s="11"/>
    </row>
    <row r="501">
      <c r="M501" s="4"/>
      <c r="N501" s="11"/>
    </row>
    <row r="502">
      <c r="M502" s="4"/>
      <c r="N502" s="11"/>
    </row>
    <row r="503">
      <c r="M503" s="4"/>
      <c r="N503" s="11"/>
    </row>
    <row r="504">
      <c r="M504" s="4"/>
      <c r="N504" s="11"/>
    </row>
    <row r="505">
      <c r="M505" s="4"/>
      <c r="N505" s="11"/>
    </row>
    <row r="506">
      <c r="M506" s="4"/>
      <c r="N506" s="11"/>
    </row>
    <row r="507">
      <c r="M507" s="4"/>
      <c r="N507" s="11"/>
    </row>
    <row r="508">
      <c r="M508" s="4"/>
      <c r="N508" s="11"/>
    </row>
    <row r="509">
      <c r="M509" s="4"/>
      <c r="N509" s="11"/>
    </row>
    <row r="510">
      <c r="M510" s="4"/>
      <c r="N510" s="11"/>
    </row>
    <row r="511">
      <c r="M511" s="4"/>
      <c r="N511" s="11"/>
    </row>
    <row r="512">
      <c r="M512" s="4"/>
      <c r="N512" s="11"/>
    </row>
    <row r="513">
      <c r="M513" s="4"/>
      <c r="N513" s="11"/>
    </row>
    <row r="514">
      <c r="M514" s="4"/>
      <c r="N514" s="11"/>
    </row>
    <row r="515">
      <c r="M515" s="4"/>
      <c r="N515" s="11"/>
    </row>
    <row r="516">
      <c r="M516" s="4"/>
      <c r="N516" s="11"/>
    </row>
    <row r="517">
      <c r="M517" s="4"/>
      <c r="N517" s="11"/>
    </row>
    <row r="518">
      <c r="M518" s="4"/>
      <c r="N518" s="11"/>
    </row>
    <row r="519">
      <c r="M519" s="4"/>
      <c r="N519" s="11"/>
    </row>
    <row r="520">
      <c r="M520" s="4"/>
      <c r="N520" s="11"/>
    </row>
    <row r="521">
      <c r="M521" s="4"/>
      <c r="N521" s="11"/>
    </row>
    <row r="522">
      <c r="M522" s="4"/>
      <c r="N522" s="11"/>
    </row>
    <row r="523">
      <c r="M523" s="4"/>
      <c r="N523" s="11"/>
    </row>
    <row r="524">
      <c r="M524" s="4"/>
      <c r="N524" s="11"/>
    </row>
    <row r="525">
      <c r="M525" s="4"/>
      <c r="N525" s="11"/>
    </row>
    <row r="526">
      <c r="M526" s="4"/>
      <c r="N526" s="11"/>
    </row>
    <row r="527">
      <c r="M527" s="4"/>
      <c r="N527" s="11"/>
    </row>
    <row r="528">
      <c r="M528" s="4"/>
      <c r="N528" s="11"/>
    </row>
    <row r="529">
      <c r="M529" s="4"/>
      <c r="N529" s="11"/>
    </row>
    <row r="530">
      <c r="M530" s="4"/>
      <c r="N530" s="11"/>
    </row>
    <row r="531">
      <c r="M531" s="4"/>
      <c r="N531" s="11"/>
    </row>
    <row r="532">
      <c r="M532" s="4"/>
      <c r="N532" s="11"/>
    </row>
    <row r="533">
      <c r="M533" s="4"/>
      <c r="N533" s="11"/>
    </row>
    <row r="534">
      <c r="M534" s="4"/>
      <c r="N534" s="11"/>
    </row>
    <row r="535">
      <c r="M535" s="4"/>
      <c r="N535" s="11"/>
    </row>
    <row r="536">
      <c r="M536" s="4"/>
      <c r="N536" s="11"/>
    </row>
    <row r="537">
      <c r="M537" s="4"/>
      <c r="N537" s="11"/>
    </row>
    <row r="538">
      <c r="M538" s="4"/>
      <c r="N538" s="11"/>
    </row>
    <row r="539">
      <c r="M539" s="4"/>
      <c r="N539" s="11"/>
    </row>
    <row r="540">
      <c r="M540" s="4"/>
      <c r="N540" s="11"/>
    </row>
    <row r="541">
      <c r="M541" s="4"/>
      <c r="N541" s="11"/>
    </row>
    <row r="542">
      <c r="M542" s="4"/>
      <c r="N542" s="11"/>
    </row>
    <row r="543">
      <c r="M543" s="4"/>
      <c r="N543" s="11"/>
    </row>
    <row r="544">
      <c r="M544" s="4"/>
      <c r="N544" s="11"/>
    </row>
    <row r="545">
      <c r="M545" s="4"/>
      <c r="N545" s="11"/>
    </row>
    <row r="546">
      <c r="M546" s="4"/>
      <c r="N546" s="11"/>
    </row>
    <row r="547">
      <c r="M547" s="4"/>
      <c r="N547" s="11"/>
    </row>
    <row r="548">
      <c r="M548" s="4"/>
      <c r="N548" s="11"/>
    </row>
    <row r="549">
      <c r="M549" s="4"/>
      <c r="N549" s="11"/>
    </row>
    <row r="550">
      <c r="M550" s="4"/>
      <c r="N550" s="11"/>
    </row>
    <row r="551">
      <c r="M551" s="4"/>
      <c r="N551" s="11"/>
    </row>
    <row r="552">
      <c r="M552" s="4"/>
      <c r="N552" s="11"/>
    </row>
    <row r="553">
      <c r="M553" s="4"/>
      <c r="N553" s="11"/>
    </row>
    <row r="554">
      <c r="M554" s="4"/>
      <c r="N554" s="11"/>
    </row>
    <row r="555">
      <c r="M555" s="4"/>
      <c r="N555" s="11"/>
    </row>
    <row r="556">
      <c r="M556" s="4"/>
      <c r="N556" s="11"/>
    </row>
    <row r="557">
      <c r="M557" s="4"/>
      <c r="N557" s="11"/>
    </row>
    <row r="558">
      <c r="M558" s="4"/>
      <c r="N558" s="11"/>
    </row>
    <row r="559">
      <c r="M559" s="4"/>
      <c r="N559" s="11"/>
    </row>
    <row r="560">
      <c r="M560" s="4"/>
      <c r="N560" s="11"/>
    </row>
    <row r="561">
      <c r="M561" s="4"/>
      <c r="N561" s="11"/>
    </row>
    <row r="562">
      <c r="M562" s="4"/>
      <c r="N562" s="11"/>
    </row>
    <row r="563">
      <c r="M563" s="4"/>
      <c r="N563" s="11"/>
    </row>
    <row r="564">
      <c r="M564" s="4"/>
      <c r="N564" s="11"/>
    </row>
    <row r="565">
      <c r="M565" s="4"/>
      <c r="N565" s="11"/>
    </row>
    <row r="566">
      <c r="M566" s="4"/>
      <c r="N566" s="11"/>
    </row>
    <row r="567">
      <c r="M567" s="4"/>
      <c r="N567" s="11"/>
    </row>
    <row r="568">
      <c r="M568" s="4"/>
      <c r="N568" s="11"/>
    </row>
    <row r="569">
      <c r="M569" s="4"/>
      <c r="N569" s="11"/>
    </row>
    <row r="570">
      <c r="M570" s="4"/>
      <c r="N570" s="11"/>
    </row>
    <row r="571">
      <c r="M571" s="4"/>
      <c r="N571" s="11"/>
    </row>
    <row r="572">
      <c r="M572" s="4"/>
      <c r="N572" s="11"/>
    </row>
    <row r="573">
      <c r="M573" s="4"/>
      <c r="N573" s="11"/>
    </row>
    <row r="574">
      <c r="M574" s="4"/>
      <c r="N574" s="11"/>
    </row>
    <row r="575">
      <c r="M575" s="4"/>
      <c r="N575" s="11"/>
    </row>
    <row r="576">
      <c r="M576" s="4"/>
      <c r="N576" s="11"/>
    </row>
    <row r="577">
      <c r="M577" s="4"/>
      <c r="N577" s="11"/>
    </row>
    <row r="578">
      <c r="M578" s="4"/>
      <c r="N578" s="11"/>
    </row>
    <row r="579">
      <c r="M579" s="4"/>
      <c r="N579" s="11"/>
    </row>
    <row r="580">
      <c r="M580" s="4"/>
      <c r="N580" s="11"/>
    </row>
    <row r="581">
      <c r="M581" s="4"/>
      <c r="N581" s="11"/>
    </row>
    <row r="582">
      <c r="M582" s="4"/>
      <c r="N582" s="11"/>
    </row>
    <row r="583">
      <c r="M583" s="4"/>
      <c r="N583" s="11"/>
    </row>
    <row r="584">
      <c r="M584" s="4"/>
      <c r="N584" s="11"/>
    </row>
    <row r="585">
      <c r="M585" s="4"/>
      <c r="N585" s="11"/>
    </row>
    <row r="586">
      <c r="M586" s="4"/>
      <c r="N586" s="11"/>
    </row>
    <row r="587">
      <c r="M587" s="4"/>
      <c r="N587" s="11"/>
    </row>
    <row r="588">
      <c r="M588" s="4"/>
      <c r="N588" s="11"/>
    </row>
    <row r="589">
      <c r="M589" s="4"/>
      <c r="N589" s="11"/>
    </row>
    <row r="590">
      <c r="M590" s="4"/>
      <c r="N590" s="11"/>
    </row>
    <row r="591">
      <c r="M591" s="4"/>
      <c r="N591" s="11"/>
    </row>
    <row r="592">
      <c r="M592" s="4"/>
      <c r="N592" s="11"/>
    </row>
    <row r="593">
      <c r="M593" s="4"/>
      <c r="N593" s="11"/>
    </row>
    <row r="594">
      <c r="M594" s="4"/>
      <c r="N594" s="11"/>
    </row>
    <row r="595">
      <c r="M595" s="4"/>
      <c r="N595" s="11"/>
    </row>
    <row r="596">
      <c r="M596" s="4"/>
      <c r="N596" s="11"/>
    </row>
    <row r="597">
      <c r="M597" s="4"/>
      <c r="N597" s="11"/>
    </row>
    <row r="598">
      <c r="M598" s="4"/>
      <c r="N598" s="11"/>
    </row>
    <row r="599">
      <c r="M599" s="4"/>
      <c r="N599" s="11"/>
    </row>
    <row r="600">
      <c r="M600" s="4"/>
      <c r="N600" s="11"/>
    </row>
    <row r="601">
      <c r="M601" s="4"/>
      <c r="N601" s="11"/>
    </row>
    <row r="602">
      <c r="M602" s="4"/>
      <c r="N602" s="11"/>
    </row>
    <row r="603">
      <c r="M603" s="4"/>
      <c r="N603" s="11"/>
    </row>
    <row r="604">
      <c r="M604" s="4"/>
      <c r="N604" s="11"/>
    </row>
    <row r="605">
      <c r="M605" s="4"/>
      <c r="N605" s="11"/>
    </row>
    <row r="606">
      <c r="M606" s="4"/>
      <c r="N606" s="11"/>
    </row>
    <row r="607">
      <c r="M607" s="4"/>
      <c r="N607" s="11"/>
    </row>
    <row r="608">
      <c r="M608" s="4"/>
      <c r="N608" s="11"/>
    </row>
    <row r="609">
      <c r="M609" s="4"/>
      <c r="N609" s="11"/>
    </row>
    <row r="610">
      <c r="M610" s="4"/>
      <c r="N610" s="11"/>
    </row>
    <row r="611">
      <c r="M611" s="4"/>
      <c r="N611" s="11"/>
    </row>
    <row r="612">
      <c r="M612" s="4"/>
      <c r="N612" s="11"/>
    </row>
    <row r="613">
      <c r="M613" s="4"/>
      <c r="N613" s="11"/>
    </row>
    <row r="614">
      <c r="M614" s="4"/>
      <c r="N614" s="11"/>
    </row>
    <row r="615">
      <c r="M615" s="4"/>
      <c r="N615" s="11"/>
    </row>
    <row r="616">
      <c r="M616" s="4"/>
      <c r="N616" s="11"/>
    </row>
    <row r="617">
      <c r="M617" s="4"/>
      <c r="N617" s="11"/>
    </row>
    <row r="618">
      <c r="M618" s="4"/>
      <c r="N618" s="11"/>
    </row>
    <row r="619">
      <c r="M619" s="4"/>
      <c r="N619" s="11"/>
    </row>
    <row r="620">
      <c r="M620" s="4"/>
      <c r="N620" s="11"/>
    </row>
    <row r="621">
      <c r="M621" s="4"/>
      <c r="N621" s="11"/>
    </row>
    <row r="622">
      <c r="M622" s="4"/>
      <c r="N622" s="11"/>
    </row>
    <row r="623">
      <c r="M623" s="4"/>
      <c r="N623" s="11"/>
    </row>
    <row r="624">
      <c r="M624" s="4"/>
      <c r="N624" s="11"/>
    </row>
    <row r="625">
      <c r="M625" s="4"/>
      <c r="N625" s="11"/>
    </row>
    <row r="626">
      <c r="M626" s="4"/>
      <c r="N626" s="11"/>
    </row>
    <row r="627">
      <c r="M627" s="4"/>
      <c r="N627" s="11"/>
    </row>
    <row r="628">
      <c r="M628" s="4"/>
      <c r="N628" s="11"/>
    </row>
    <row r="629">
      <c r="M629" s="4"/>
      <c r="N629" s="11"/>
    </row>
    <row r="630">
      <c r="M630" s="4"/>
      <c r="N630" s="11"/>
    </row>
    <row r="631">
      <c r="M631" s="4"/>
      <c r="N631" s="11"/>
    </row>
    <row r="632">
      <c r="M632" s="4"/>
      <c r="N632" s="11"/>
    </row>
    <row r="633">
      <c r="M633" s="4"/>
      <c r="N633" s="11"/>
    </row>
    <row r="634">
      <c r="M634" s="4"/>
      <c r="N634" s="11"/>
    </row>
    <row r="635">
      <c r="M635" s="4"/>
      <c r="N635" s="11"/>
    </row>
    <row r="636">
      <c r="M636" s="4"/>
      <c r="N636" s="11"/>
    </row>
    <row r="637">
      <c r="M637" s="4"/>
      <c r="N637" s="11"/>
    </row>
    <row r="638">
      <c r="M638" s="4"/>
      <c r="N638" s="11"/>
    </row>
    <row r="639">
      <c r="M639" s="4"/>
      <c r="N639" s="11"/>
    </row>
    <row r="640">
      <c r="M640" s="4"/>
      <c r="N640" s="11"/>
    </row>
    <row r="641">
      <c r="M641" s="4"/>
      <c r="N641" s="11"/>
    </row>
    <row r="642">
      <c r="M642" s="4"/>
      <c r="N642" s="11"/>
    </row>
    <row r="643">
      <c r="M643" s="4"/>
      <c r="N643" s="11"/>
    </row>
    <row r="644">
      <c r="M644" s="4"/>
      <c r="N644" s="11"/>
    </row>
    <row r="645">
      <c r="M645" s="4"/>
      <c r="N645" s="11"/>
    </row>
    <row r="646">
      <c r="M646" s="4"/>
      <c r="N646" s="11"/>
    </row>
    <row r="647">
      <c r="M647" s="4"/>
      <c r="N647" s="11"/>
    </row>
    <row r="648">
      <c r="M648" s="4"/>
      <c r="N648" s="11"/>
    </row>
    <row r="649">
      <c r="M649" s="4"/>
      <c r="N649" s="11"/>
    </row>
    <row r="650">
      <c r="M650" s="4"/>
      <c r="N650" s="11"/>
    </row>
    <row r="651">
      <c r="M651" s="4"/>
      <c r="N651" s="11"/>
    </row>
    <row r="652">
      <c r="M652" s="4"/>
      <c r="N652" s="11"/>
    </row>
    <row r="653">
      <c r="M653" s="4"/>
      <c r="N653" s="11"/>
    </row>
    <row r="654">
      <c r="M654" s="4"/>
      <c r="N654" s="11"/>
    </row>
    <row r="655">
      <c r="M655" s="4"/>
      <c r="N655" s="11"/>
    </row>
    <row r="656">
      <c r="M656" s="4"/>
      <c r="N656" s="11"/>
    </row>
    <row r="657">
      <c r="M657" s="4"/>
      <c r="N657" s="11"/>
    </row>
    <row r="658">
      <c r="M658" s="4"/>
      <c r="N658" s="11"/>
    </row>
    <row r="659">
      <c r="M659" s="4"/>
      <c r="N659" s="11"/>
    </row>
    <row r="660">
      <c r="M660" s="4"/>
      <c r="N660" s="11"/>
    </row>
    <row r="661">
      <c r="M661" s="4"/>
      <c r="N661" s="11"/>
    </row>
    <row r="662">
      <c r="M662" s="4"/>
      <c r="N662" s="11"/>
    </row>
    <row r="663">
      <c r="M663" s="4"/>
      <c r="N663" s="11"/>
    </row>
    <row r="664">
      <c r="M664" s="4"/>
      <c r="N664" s="11"/>
    </row>
    <row r="665">
      <c r="M665" s="4"/>
      <c r="N665" s="11"/>
    </row>
    <row r="666">
      <c r="M666" s="4"/>
      <c r="N666" s="11"/>
    </row>
    <row r="667">
      <c r="M667" s="4"/>
      <c r="N667" s="11"/>
    </row>
    <row r="668">
      <c r="M668" s="4"/>
      <c r="N668" s="11"/>
    </row>
    <row r="669">
      <c r="M669" s="4"/>
      <c r="N669" s="11"/>
    </row>
    <row r="670">
      <c r="M670" s="4"/>
      <c r="N670" s="11"/>
    </row>
    <row r="671">
      <c r="M671" s="4"/>
      <c r="N671" s="11"/>
    </row>
    <row r="672">
      <c r="M672" s="4"/>
      <c r="N672" s="11"/>
    </row>
    <row r="673">
      <c r="M673" s="4"/>
      <c r="N673" s="11"/>
    </row>
    <row r="674">
      <c r="M674" s="4"/>
      <c r="N674" s="11"/>
    </row>
    <row r="675">
      <c r="M675" s="4"/>
      <c r="N675" s="11"/>
    </row>
    <row r="676">
      <c r="M676" s="4"/>
      <c r="N676" s="11"/>
    </row>
    <row r="677">
      <c r="M677" s="4"/>
      <c r="N677" s="11"/>
    </row>
    <row r="678">
      <c r="M678" s="4"/>
      <c r="N678" s="11"/>
    </row>
    <row r="679">
      <c r="M679" s="4"/>
      <c r="N679" s="11"/>
    </row>
    <row r="680">
      <c r="M680" s="4"/>
      <c r="N680" s="11"/>
    </row>
    <row r="681">
      <c r="M681" s="4"/>
      <c r="N681" s="11"/>
    </row>
    <row r="682">
      <c r="M682" s="4"/>
      <c r="N682" s="11"/>
    </row>
    <row r="683">
      <c r="M683" s="4"/>
      <c r="N683" s="11"/>
    </row>
    <row r="684">
      <c r="M684" s="4"/>
      <c r="N684" s="11"/>
    </row>
    <row r="685">
      <c r="M685" s="4"/>
      <c r="N685" s="11"/>
    </row>
    <row r="686">
      <c r="M686" s="4"/>
      <c r="N686" s="11"/>
    </row>
    <row r="687">
      <c r="M687" s="4"/>
      <c r="N687" s="11"/>
    </row>
    <row r="688">
      <c r="M688" s="4"/>
      <c r="N688" s="11"/>
    </row>
    <row r="689">
      <c r="M689" s="4"/>
      <c r="N689" s="11"/>
    </row>
    <row r="690">
      <c r="M690" s="4"/>
      <c r="N690" s="11"/>
    </row>
    <row r="691">
      <c r="M691" s="4"/>
      <c r="N691" s="11"/>
    </row>
    <row r="692">
      <c r="M692" s="4"/>
      <c r="N692" s="11"/>
    </row>
    <row r="693">
      <c r="M693" s="4"/>
      <c r="N693" s="11"/>
    </row>
    <row r="694">
      <c r="M694" s="4"/>
      <c r="N694" s="11"/>
    </row>
    <row r="695">
      <c r="M695" s="4"/>
      <c r="N695" s="11"/>
    </row>
    <row r="696">
      <c r="M696" s="4"/>
      <c r="N696" s="11"/>
    </row>
    <row r="697">
      <c r="M697" s="4"/>
      <c r="N697" s="11"/>
    </row>
    <row r="698">
      <c r="M698" s="4"/>
      <c r="N698" s="11"/>
    </row>
    <row r="699">
      <c r="M699" s="4"/>
      <c r="N699" s="11"/>
    </row>
    <row r="700">
      <c r="M700" s="4"/>
      <c r="N700" s="11"/>
    </row>
    <row r="701">
      <c r="M701" s="4"/>
      <c r="N701" s="11"/>
    </row>
    <row r="702">
      <c r="M702" s="4"/>
      <c r="N702" s="11"/>
    </row>
    <row r="703">
      <c r="M703" s="4"/>
      <c r="N703" s="11"/>
    </row>
    <row r="704">
      <c r="M704" s="4"/>
      <c r="N704" s="11"/>
    </row>
    <row r="705">
      <c r="M705" s="4"/>
      <c r="N705" s="11"/>
    </row>
    <row r="706">
      <c r="M706" s="4"/>
      <c r="N706" s="11"/>
    </row>
    <row r="707">
      <c r="M707" s="4"/>
      <c r="N707" s="11"/>
    </row>
    <row r="708">
      <c r="M708" s="4"/>
      <c r="N708" s="11"/>
    </row>
    <row r="709">
      <c r="M709" s="4"/>
      <c r="N709" s="11"/>
    </row>
    <row r="710">
      <c r="M710" s="4"/>
      <c r="N710" s="11"/>
    </row>
    <row r="711">
      <c r="M711" s="4"/>
      <c r="N711" s="11"/>
    </row>
    <row r="712">
      <c r="M712" s="4"/>
      <c r="N712" s="11"/>
    </row>
    <row r="713">
      <c r="M713" s="4"/>
      <c r="N713" s="11"/>
    </row>
    <row r="714">
      <c r="M714" s="4"/>
      <c r="N714" s="11"/>
    </row>
    <row r="715">
      <c r="M715" s="4"/>
      <c r="N715" s="11"/>
    </row>
    <row r="716">
      <c r="M716" s="4"/>
      <c r="N716" s="11"/>
    </row>
    <row r="717">
      <c r="M717" s="4"/>
      <c r="N717" s="11"/>
    </row>
    <row r="718">
      <c r="M718" s="4"/>
      <c r="N718" s="11"/>
    </row>
    <row r="719">
      <c r="M719" s="4"/>
      <c r="N719" s="11"/>
    </row>
    <row r="720">
      <c r="M720" s="4"/>
      <c r="N720" s="11"/>
    </row>
    <row r="721">
      <c r="M721" s="4"/>
      <c r="N721" s="11"/>
    </row>
    <row r="722">
      <c r="M722" s="4"/>
      <c r="N722" s="11"/>
    </row>
    <row r="723">
      <c r="M723" s="4"/>
      <c r="N723" s="11"/>
    </row>
    <row r="724">
      <c r="M724" s="4"/>
      <c r="N724" s="11"/>
    </row>
    <row r="725">
      <c r="M725" s="4"/>
      <c r="N725" s="11"/>
    </row>
    <row r="726">
      <c r="M726" s="4"/>
      <c r="N726" s="11"/>
    </row>
    <row r="727">
      <c r="M727" s="4"/>
      <c r="N727" s="11"/>
    </row>
    <row r="728">
      <c r="M728" s="4"/>
      <c r="N728" s="11"/>
    </row>
    <row r="729">
      <c r="M729" s="4"/>
      <c r="N729" s="11"/>
    </row>
    <row r="730">
      <c r="M730" s="4"/>
      <c r="N730" s="11"/>
    </row>
    <row r="731">
      <c r="M731" s="4"/>
      <c r="N731" s="11"/>
    </row>
    <row r="732">
      <c r="M732" s="4"/>
      <c r="N732" s="11"/>
    </row>
    <row r="733">
      <c r="M733" s="4"/>
      <c r="N733" s="11"/>
    </row>
    <row r="734">
      <c r="M734" s="4"/>
      <c r="N734" s="11"/>
    </row>
    <row r="735">
      <c r="M735" s="4"/>
      <c r="N735" s="11"/>
    </row>
    <row r="736">
      <c r="M736" s="4"/>
      <c r="N736" s="11"/>
    </row>
    <row r="737">
      <c r="M737" s="4"/>
      <c r="N737" s="11"/>
    </row>
    <row r="738">
      <c r="M738" s="4"/>
      <c r="N738" s="11"/>
    </row>
    <row r="739">
      <c r="M739" s="4"/>
      <c r="N739" s="11"/>
    </row>
    <row r="740">
      <c r="M740" s="4"/>
      <c r="N740" s="11"/>
    </row>
    <row r="741">
      <c r="M741" s="4"/>
      <c r="N741" s="11"/>
    </row>
    <row r="742">
      <c r="M742" s="4"/>
      <c r="N742" s="11"/>
    </row>
    <row r="743">
      <c r="M743" s="4"/>
      <c r="N743" s="11"/>
    </row>
    <row r="744">
      <c r="M744" s="4"/>
      <c r="N744" s="11"/>
    </row>
    <row r="745">
      <c r="M745" s="4"/>
      <c r="N745" s="11"/>
    </row>
    <row r="746">
      <c r="M746" s="4"/>
      <c r="N746" s="11"/>
    </row>
    <row r="747">
      <c r="M747" s="4"/>
      <c r="N747" s="11"/>
    </row>
    <row r="748">
      <c r="M748" s="4"/>
      <c r="N748" s="11"/>
    </row>
    <row r="749">
      <c r="M749" s="4"/>
      <c r="N749" s="11"/>
    </row>
    <row r="750">
      <c r="M750" s="4"/>
      <c r="N750" s="11"/>
    </row>
    <row r="751">
      <c r="M751" s="4"/>
      <c r="N751" s="11"/>
    </row>
    <row r="752">
      <c r="M752" s="4"/>
      <c r="N752" s="11"/>
    </row>
    <row r="753">
      <c r="M753" s="4"/>
      <c r="N753" s="11"/>
    </row>
    <row r="754">
      <c r="M754" s="4"/>
      <c r="N754" s="11"/>
    </row>
    <row r="755">
      <c r="M755" s="4"/>
      <c r="N755" s="11"/>
    </row>
    <row r="756">
      <c r="M756" s="4"/>
      <c r="N756" s="11"/>
    </row>
    <row r="757">
      <c r="M757" s="4"/>
      <c r="N757" s="11"/>
    </row>
    <row r="758">
      <c r="M758" s="4"/>
      <c r="N758" s="11"/>
    </row>
    <row r="759">
      <c r="M759" s="4"/>
      <c r="N759" s="11"/>
    </row>
    <row r="760">
      <c r="M760" s="4"/>
      <c r="N760" s="11"/>
    </row>
    <row r="761">
      <c r="M761" s="4"/>
      <c r="N761" s="11"/>
    </row>
    <row r="762">
      <c r="M762" s="4"/>
      <c r="N762" s="11"/>
    </row>
    <row r="763">
      <c r="M763" s="4"/>
      <c r="N763" s="11"/>
    </row>
    <row r="764">
      <c r="M764" s="4"/>
      <c r="N764" s="11"/>
    </row>
    <row r="765">
      <c r="M765" s="4"/>
      <c r="N765" s="11"/>
    </row>
    <row r="766">
      <c r="M766" s="4"/>
      <c r="N766" s="11"/>
    </row>
    <row r="767">
      <c r="M767" s="4"/>
      <c r="N767" s="11"/>
    </row>
    <row r="768">
      <c r="M768" s="4"/>
      <c r="N768" s="11"/>
    </row>
    <row r="769">
      <c r="M769" s="4"/>
      <c r="N769" s="11"/>
    </row>
    <row r="770">
      <c r="M770" s="4"/>
      <c r="N770" s="11"/>
    </row>
    <row r="771">
      <c r="M771" s="4"/>
      <c r="N771" s="11"/>
    </row>
    <row r="772">
      <c r="M772" s="4"/>
      <c r="N772" s="11"/>
    </row>
    <row r="773">
      <c r="M773" s="4"/>
      <c r="N773" s="11"/>
    </row>
    <row r="774">
      <c r="M774" s="4"/>
      <c r="N774" s="11"/>
    </row>
    <row r="775">
      <c r="M775" s="4"/>
      <c r="N775" s="11"/>
    </row>
    <row r="776">
      <c r="M776" s="4"/>
      <c r="N776" s="11"/>
    </row>
    <row r="777">
      <c r="M777" s="4"/>
      <c r="N777" s="11"/>
    </row>
    <row r="778">
      <c r="M778" s="4"/>
      <c r="N778" s="11"/>
    </row>
    <row r="779">
      <c r="M779" s="4"/>
      <c r="N779" s="11"/>
    </row>
    <row r="780">
      <c r="M780" s="4"/>
      <c r="N780" s="11"/>
    </row>
    <row r="781">
      <c r="M781" s="4"/>
      <c r="N781" s="11"/>
    </row>
    <row r="782">
      <c r="M782" s="4"/>
      <c r="N782" s="11"/>
    </row>
    <row r="783">
      <c r="M783" s="4"/>
      <c r="N783" s="11"/>
    </row>
    <row r="784">
      <c r="M784" s="4"/>
      <c r="N784" s="11"/>
    </row>
    <row r="785">
      <c r="M785" s="4"/>
      <c r="N785" s="11"/>
    </row>
    <row r="786">
      <c r="M786" s="4"/>
      <c r="N786" s="11"/>
    </row>
    <row r="787">
      <c r="M787" s="4"/>
      <c r="N787" s="11"/>
    </row>
    <row r="788">
      <c r="M788" s="4"/>
      <c r="N788" s="11"/>
    </row>
    <row r="789">
      <c r="M789" s="4"/>
      <c r="N789" s="11"/>
    </row>
    <row r="790">
      <c r="M790" s="4"/>
      <c r="N790" s="11"/>
    </row>
    <row r="791">
      <c r="M791" s="4"/>
      <c r="N791" s="11"/>
    </row>
    <row r="792">
      <c r="M792" s="4"/>
      <c r="N792" s="11"/>
    </row>
    <row r="793">
      <c r="M793" s="4"/>
      <c r="N793" s="11"/>
    </row>
    <row r="794">
      <c r="M794" s="4"/>
      <c r="N794" s="11"/>
    </row>
    <row r="795">
      <c r="M795" s="4"/>
      <c r="N795" s="11"/>
    </row>
    <row r="796">
      <c r="M796" s="4"/>
      <c r="N796" s="11"/>
    </row>
    <row r="797">
      <c r="M797" s="4"/>
      <c r="N797" s="11"/>
    </row>
    <row r="798">
      <c r="M798" s="4"/>
      <c r="N798" s="11"/>
    </row>
    <row r="799">
      <c r="M799" s="4"/>
      <c r="N799" s="11"/>
    </row>
    <row r="800">
      <c r="M800" s="4"/>
      <c r="N800" s="11"/>
    </row>
    <row r="801">
      <c r="M801" s="4"/>
      <c r="N801" s="11"/>
    </row>
    <row r="802">
      <c r="M802" s="4"/>
      <c r="N802" s="11"/>
    </row>
    <row r="803">
      <c r="M803" s="4"/>
      <c r="N803" s="11"/>
    </row>
    <row r="804">
      <c r="M804" s="4"/>
      <c r="N804" s="11"/>
    </row>
    <row r="805">
      <c r="M805" s="4"/>
      <c r="N805" s="11"/>
    </row>
    <row r="806">
      <c r="M806" s="4"/>
      <c r="N806" s="11"/>
    </row>
    <row r="807">
      <c r="M807" s="4"/>
      <c r="N807" s="11"/>
    </row>
    <row r="808">
      <c r="M808" s="4"/>
      <c r="N808" s="11"/>
    </row>
    <row r="809">
      <c r="M809" s="4"/>
      <c r="N809" s="11"/>
    </row>
    <row r="810">
      <c r="M810" s="4"/>
      <c r="N810" s="11"/>
    </row>
    <row r="811">
      <c r="M811" s="4"/>
      <c r="N811" s="11"/>
    </row>
    <row r="812">
      <c r="M812" s="4"/>
      <c r="N812" s="11"/>
    </row>
    <row r="813">
      <c r="M813" s="4"/>
      <c r="N813" s="11"/>
    </row>
    <row r="814">
      <c r="M814" s="4"/>
      <c r="N814" s="11"/>
    </row>
    <row r="815">
      <c r="M815" s="4"/>
      <c r="N815" s="11"/>
    </row>
    <row r="816">
      <c r="M816" s="4"/>
      <c r="N816" s="11"/>
    </row>
    <row r="817">
      <c r="M817" s="4"/>
      <c r="N817" s="11"/>
    </row>
    <row r="818">
      <c r="M818" s="4"/>
      <c r="N818" s="11"/>
    </row>
    <row r="819">
      <c r="M819" s="4"/>
      <c r="N819" s="11"/>
    </row>
    <row r="820">
      <c r="M820" s="4"/>
      <c r="N820" s="11"/>
    </row>
    <row r="821">
      <c r="M821" s="4"/>
      <c r="N821" s="11"/>
    </row>
    <row r="822">
      <c r="M822" s="4"/>
      <c r="N822" s="11"/>
    </row>
    <row r="823">
      <c r="M823" s="4"/>
      <c r="N823" s="11"/>
    </row>
    <row r="824">
      <c r="M824" s="4"/>
      <c r="N824" s="11"/>
    </row>
    <row r="825">
      <c r="M825" s="4"/>
      <c r="N825" s="11"/>
    </row>
    <row r="826">
      <c r="M826" s="4"/>
      <c r="N826" s="11"/>
    </row>
    <row r="827">
      <c r="M827" s="4"/>
      <c r="N827" s="11"/>
    </row>
    <row r="828">
      <c r="M828" s="4"/>
      <c r="N828" s="11"/>
    </row>
    <row r="829">
      <c r="M829" s="4"/>
      <c r="N829" s="11"/>
    </row>
    <row r="830">
      <c r="M830" s="4"/>
      <c r="N830" s="11"/>
    </row>
    <row r="831">
      <c r="M831" s="4"/>
      <c r="N831" s="11"/>
    </row>
    <row r="832">
      <c r="M832" s="4"/>
      <c r="N832" s="11"/>
    </row>
    <row r="833">
      <c r="M833" s="4"/>
      <c r="N833" s="11"/>
    </row>
    <row r="834">
      <c r="M834" s="4"/>
      <c r="N834" s="11"/>
    </row>
    <row r="835">
      <c r="M835" s="4"/>
      <c r="N835" s="11"/>
    </row>
    <row r="836">
      <c r="M836" s="4"/>
      <c r="N836" s="11"/>
    </row>
    <row r="837">
      <c r="M837" s="4"/>
      <c r="N837" s="11"/>
    </row>
    <row r="838">
      <c r="M838" s="4"/>
      <c r="N838" s="11"/>
    </row>
    <row r="839">
      <c r="M839" s="4"/>
      <c r="N839" s="11"/>
    </row>
    <row r="840">
      <c r="M840" s="4"/>
      <c r="N840" s="11"/>
    </row>
    <row r="841">
      <c r="M841" s="4"/>
      <c r="N841" s="11"/>
    </row>
    <row r="842">
      <c r="M842" s="4"/>
      <c r="N842" s="11"/>
    </row>
    <row r="843">
      <c r="M843" s="4"/>
      <c r="N843" s="11"/>
    </row>
    <row r="844">
      <c r="M844" s="4"/>
      <c r="N844" s="11"/>
    </row>
    <row r="845">
      <c r="M845" s="4"/>
      <c r="N845" s="11"/>
    </row>
    <row r="846">
      <c r="M846" s="4"/>
      <c r="N846" s="11"/>
    </row>
    <row r="847">
      <c r="M847" s="4"/>
      <c r="N847" s="11"/>
    </row>
    <row r="848">
      <c r="M848" s="4"/>
      <c r="N848" s="11"/>
    </row>
    <row r="849">
      <c r="M849" s="4"/>
      <c r="N849" s="11"/>
    </row>
    <row r="850">
      <c r="M850" s="4"/>
      <c r="N850" s="11"/>
    </row>
    <row r="851">
      <c r="M851" s="4"/>
      <c r="N851" s="11"/>
    </row>
    <row r="852">
      <c r="M852" s="4"/>
      <c r="N852" s="11"/>
    </row>
    <row r="853">
      <c r="M853" s="4"/>
      <c r="N853" s="11"/>
    </row>
    <row r="854">
      <c r="M854" s="4"/>
      <c r="N854" s="11"/>
    </row>
    <row r="855">
      <c r="M855" s="4"/>
      <c r="N855" s="11"/>
    </row>
    <row r="856">
      <c r="M856" s="4"/>
      <c r="N856" s="11"/>
    </row>
    <row r="857">
      <c r="M857" s="4"/>
      <c r="N857" s="11"/>
    </row>
    <row r="858">
      <c r="M858" s="4"/>
      <c r="N858" s="11"/>
    </row>
    <row r="859">
      <c r="M859" s="4"/>
      <c r="N859" s="11"/>
    </row>
    <row r="860">
      <c r="M860" s="4"/>
      <c r="N860" s="11"/>
    </row>
    <row r="861">
      <c r="M861" s="4"/>
      <c r="N861" s="11"/>
    </row>
    <row r="862">
      <c r="M862" s="4"/>
      <c r="N862" s="11"/>
    </row>
    <row r="863">
      <c r="M863" s="4"/>
      <c r="N863" s="11"/>
    </row>
    <row r="864">
      <c r="M864" s="4"/>
      <c r="N864" s="11"/>
    </row>
    <row r="865">
      <c r="M865" s="4"/>
      <c r="N865" s="11"/>
    </row>
    <row r="866">
      <c r="M866" s="4"/>
      <c r="N866" s="11"/>
    </row>
    <row r="867">
      <c r="M867" s="4"/>
      <c r="N867" s="11"/>
    </row>
    <row r="868">
      <c r="M868" s="4"/>
      <c r="N868" s="11"/>
    </row>
    <row r="869">
      <c r="M869" s="4"/>
      <c r="N869" s="11"/>
    </row>
    <row r="870">
      <c r="M870" s="4"/>
      <c r="N870" s="11"/>
    </row>
    <row r="871">
      <c r="M871" s="4"/>
      <c r="N871" s="11"/>
    </row>
    <row r="872">
      <c r="M872" s="4"/>
      <c r="N872" s="11"/>
    </row>
    <row r="873">
      <c r="M873" s="4"/>
      <c r="N873" s="11"/>
    </row>
    <row r="874">
      <c r="M874" s="4"/>
      <c r="N874" s="11"/>
    </row>
    <row r="875">
      <c r="M875" s="4"/>
      <c r="N875" s="11"/>
    </row>
    <row r="876">
      <c r="M876" s="4"/>
      <c r="N876" s="11"/>
    </row>
    <row r="877">
      <c r="M877" s="4"/>
      <c r="N877" s="11"/>
    </row>
    <row r="878">
      <c r="M878" s="4"/>
      <c r="N878" s="11"/>
    </row>
    <row r="879">
      <c r="M879" s="4"/>
      <c r="N879" s="11"/>
    </row>
    <row r="880">
      <c r="M880" s="4"/>
      <c r="N880" s="11"/>
    </row>
    <row r="881">
      <c r="M881" s="4"/>
      <c r="N881" s="11"/>
    </row>
    <row r="882">
      <c r="M882" s="4"/>
      <c r="N882" s="11"/>
    </row>
    <row r="883">
      <c r="M883" s="4"/>
      <c r="N883" s="11"/>
    </row>
    <row r="884">
      <c r="M884" s="4"/>
      <c r="N884" s="11"/>
    </row>
    <row r="885">
      <c r="M885" s="4"/>
      <c r="N885" s="11"/>
    </row>
    <row r="886">
      <c r="M886" s="4"/>
      <c r="N886" s="11"/>
    </row>
    <row r="887">
      <c r="M887" s="4"/>
      <c r="N887" s="11"/>
    </row>
    <row r="888">
      <c r="M888" s="4"/>
      <c r="N888" s="11"/>
    </row>
    <row r="889">
      <c r="M889" s="4"/>
      <c r="N889" s="11"/>
    </row>
    <row r="890">
      <c r="M890" s="4"/>
      <c r="N890" s="11"/>
    </row>
    <row r="891">
      <c r="M891" s="4"/>
      <c r="N891" s="11"/>
    </row>
    <row r="892">
      <c r="M892" s="4"/>
      <c r="N892" s="11"/>
    </row>
    <row r="893">
      <c r="M893" s="4"/>
      <c r="N893" s="11"/>
    </row>
    <row r="894">
      <c r="M894" s="4"/>
      <c r="N894" s="11"/>
    </row>
    <row r="895">
      <c r="M895" s="4"/>
      <c r="N895" s="11"/>
    </row>
    <row r="896">
      <c r="M896" s="4"/>
      <c r="N896" s="11"/>
    </row>
    <row r="897">
      <c r="M897" s="4"/>
      <c r="N897" s="11"/>
    </row>
    <row r="898">
      <c r="M898" s="4"/>
      <c r="N898" s="11"/>
    </row>
    <row r="899">
      <c r="M899" s="4"/>
      <c r="N899" s="11"/>
    </row>
    <row r="900">
      <c r="M900" s="4"/>
      <c r="N900" s="11"/>
    </row>
    <row r="901">
      <c r="M901" s="4"/>
      <c r="N901" s="11"/>
    </row>
    <row r="902">
      <c r="M902" s="4"/>
      <c r="N902" s="11"/>
    </row>
    <row r="903">
      <c r="M903" s="4"/>
      <c r="N903" s="11"/>
    </row>
    <row r="904">
      <c r="M904" s="4"/>
      <c r="N904" s="11"/>
    </row>
    <row r="905">
      <c r="M905" s="4"/>
      <c r="N905" s="11"/>
    </row>
    <row r="906">
      <c r="M906" s="4"/>
      <c r="N906" s="11"/>
    </row>
    <row r="907">
      <c r="M907" s="4"/>
      <c r="N907" s="11"/>
    </row>
    <row r="908">
      <c r="M908" s="4"/>
      <c r="N908" s="11"/>
    </row>
    <row r="909">
      <c r="M909" s="4"/>
      <c r="N909" s="11"/>
    </row>
    <row r="910">
      <c r="M910" s="4"/>
      <c r="N910" s="11"/>
    </row>
    <row r="911">
      <c r="M911" s="4"/>
      <c r="N911" s="11"/>
    </row>
    <row r="912">
      <c r="M912" s="4"/>
      <c r="N912" s="11"/>
    </row>
    <row r="913">
      <c r="M913" s="4"/>
      <c r="N913" s="11"/>
    </row>
    <row r="914">
      <c r="M914" s="4"/>
      <c r="N914" s="11"/>
    </row>
    <row r="915">
      <c r="M915" s="4"/>
      <c r="N915" s="11"/>
    </row>
    <row r="916">
      <c r="M916" s="4"/>
      <c r="N916" s="11"/>
    </row>
    <row r="917">
      <c r="M917" s="4"/>
      <c r="N917" s="11"/>
    </row>
    <row r="918">
      <c r="M918" s="4"/>
      <c r="N918" s="11"/>
    </row>
    <row r="919">
      <c r="M919" s="4"/>
      <c r="N919" s="11"/>
    </row>
    <row r="920">
      <c r="M920" s="4"/>
      <c r="N920" s="11"/>
    </row>
    <row r="921">
      <c r="M921" s="4"/>
      <c r="N921" s="11"/>
    </row>
    <row r="922">
      <c r="M922" s="4"/>
      <c r="N922" s="11"/>
    </row>
    <row r="923">
      <c r="M923" s="4"/>
      <c r="N923" s="11"/>
    </row>
    <row r="924">
      <c r="M924" s="4"/>
      <c r="N924" s="11"/>
    </row>
    <row r="925">
      <c r="M925" s="4"/>
      <c r="N925" s="11"/>
    </row>
    <row r="926">
      <c r="M926" s="4"/>
      <c r="N926" s="11"/>
    </row>
    <row r="927">
      <c r="M927" s="4"/>
      <c r="N927" s="11"/>
    </row>
    <row r="928">
      <c r="M928" s="4"/>
      <c r="N928" s="11"/>
    </row>
    <row r="929">
      <c r="M929" s="4"/>
      <c r="N929" s="11"/>
    </row>
    <row r="930">
      <c r="M930" s="4"/>
      <c r="N930" s="11"/>
    </row>
    <row r="931">
      <c r="M931" s="4"/>
      <c r="N931" s="11"/>
    </row>
    <row r="932">
      <c r="M932" s="4"/>
      <c r="N932" s="11"/>
    </row>
    <row r="933">
      <c r="M933" s="4"/>
      <c r="N933" s="11"/>
    </row>
    <row r="934">
      <c r="M934" s="4"/>
      <c r="N934" s="11"/>
    </row>
    <row r="935">
      <c r="M935" s="4"/>
      <c r="N935" s="11"/>
    </row>
    <row r="936">
      <c r="M936" s="4"/>
      <c r="N936" s="11"/>
    </row>
    <row r="937">
      <c r="M937" s="4"/>
      <c r="N937" s="11"/>
    </row>
    <row r="938">
      <c r="M938" s="4"/>
      <c r="N938" s="11"/>
    </row>
    <row r="939">
      <c r="M939" s="4"/>
      <c r="N939" s="11"/>
    </row>
    <row r="940">
      <c r="M940" s="4"/>
      <c r="N940" s="11"/>
    </row>
    <row r="941">
      <c r="M941" s="4"/>
      <c r="N941" s="11"/>
    </row>
    <row r="942">
      <c r="M942" s="4"/>
      <c r="N942" s="11"/>
    </row>
    <row r="943">
      <c r="M943" s="4"/>
      <c r="N943" s="11"/>
    </row>
    <row r="944">
      <c r="M944" s="4"/>
      <c r="N944" s="11"/>
    </row>
    <row r="945">
      <c r="M945" s="4"/>
      <c r="N945" s="11"/>
    </row>
    <row r="946">
      <c r="M946" s="4"/>
      <c r="N946" s="11"/>
    </row>
    <row r="947">
      <c r="M947" s="4"/>
      <c r="N947" s="11"/>
    </row>
    <row r="948">
      <c r="M948" s="4"/>
      <c r="N948" s="11"/>
    </row>
    <row r="949">
      <c r="M949" s="4"/>
      <c r="N949" s="11"/>
    </row>
    <row r="950">
      <c r="M950" s="4"/>
      <c r="N950" s="11"/>
    </row>
    <row r="951">
      <c r="M951" s="4"/>
      <c r="N951" s="11"/>
    </row>
    <row r="952">
      <c r="M952" s="4"/>
      <c r="N952" s="11"/>
    </row>
    <row r="953">
      <c r="M953" s="4"/>
      <c r="N953" s="11"/>
    </row>
    <row r="954">
      <c r="M954" s="4"/>
      <c r="N954" s="11"/>
    </row>
    <row r="955">
      <c r="M955" s="4"/>
      <c r="N955" s="11"/>
    </row>
    <row r="956">
      <c r="M956" s="4"/>
      <c r="N956" s="11"/>
    </row>
    <row r="957">
      <c r="M957" s="4"/>
      <c r="N957" s="11"/>
    </row>
    <row r="958">
      <c r="M958" s="4"/>
      <c r="N958" s="11"/>
    </row>
    <row r="959">
      <c r="M959" s="4"/>
      <c r="N959" s="11"/>
    </row>
    <row r="960">
      <c r="M960" s="4"/>
      <c r="N960" s="11"/>
    </row>
    <row r="961">
      <c r="M961" s="4"/>
      <c r="N961" s="11"/>
    </row>
    <row r="962">
      <c r="M962" s="4"/>
      <c r="N962" s="11"/>
    </row>
    <row r="963">
      <c r="M963" s="4"/>
      <c r="N963" s="11"/>
    </row>
    <row r="964">
      <c r="M964" s="4"/>
      <c r="N964" s="11"/>
    </row>
    <row r="965">
      <c r="M965" s="4"/>
      <c r="N965" s="11"/>
    </row>
    <row r="966">
      <c r="M966" s="4"/>
      <c r="N966" s="11"/>
    </row>
    <row r="967">
      <c r="M967" s="4"/>
      <c r="N967" s="11"/>
    </row>
    <row r="968">
      <c r="M968" s="4"/>
      <c r="N968" s="11"/>
    </row>
    <row r="969">
      <c r="M969" s="4"/>
      <c r="N969" s="11"/>
    </row>
    <row r="970">
      <c r="M970" s="4"/>
      <c r="N970" s="11"/>
    </row>
    <row r="971">
      <c r="M971" s="4"/>
      <c r="N971" s="11"/>
    </row>
    <row r="972">
      <c r="M972" s="4"/>
      <c r="N972" s="11"/>
    </row>
    <row r="973">
      <c r="M973" s="4"/>
      <c r="N973" s="11"/>
    </row>
    <row r="974">
      <c r="M974" s="4"/>
      <c r="N974" s="11"/>
    </row>
    <row r="975">
      <c r="M975" s="4"/>
      <c r="N975" s="11"/>
    </row>
    <row r="976">
      <c r="M976" s="4"/>
      <c r="N976" s="11"/>
    </row>
    <row r="977">
      <c r="M977" s="4"/>
      <c r="N977" s="11"/>
    </row>
    <row r="978">
      <c r="M978" s="4"/>
      <c r="N978" s="11"/>
    </row>
    <row r="979">
      <c r="M979" s="4"/>
      <c r="N979" s="11"/>
    </row>
    <row r="980">
      <c r="M980" s="4"/>
      <c r="N980" s="11"/>
    </row>
    <row r="981">
      <c r="M981" s="4"/>
      <c r="N981" s="11"/>
    </row>
    <row r="982">
      <c r="M982" s="4"/>
      <c r="N982" s="11"/>
    </row>
    <row r="983">
      <c r="M983" s="4"/>
      <c r="N983" s="11"/>
    </row>
    <row r="984">
      <c r="M984" s="4"/>
      <c r="N984" s="11"/>
    </row>
    <row r="985">
      <c r="M985" s="4"/>
      <c r="N985" s="11"/>
    </row>
    <row r="986">
      <c r="M986" s="4"/>
      <c r="N986" s="11"/>
    </row>
    <row r="987">
      <c r="M987" s="4"/>
      <c r="N987" s="11"/>
    </row>
    <row r="988">
      <c r="M988" s="4"/>
      <c r="N988" s="11"/>
    </row>
    <row r="989">
      <c r="M989" s="4"/>
      <c r="N989" s="11"/>
    </row>
    <row r="990">
      <c r="M990" s="4"/>
      <c r="N990" s="11"/>
    </row>
    <row r="991">
      <c r="M991" s="4"/>
      <c r="N991" s="11"/>
    </row>
    <row r="992">
      <c r="M992" s="4"/>
      <c r="N992" s="11"/>
    </row>
    <row r="993">
      <c r="M993" s="4"/>
      <c r="N993" s="11"/>
    </row>
    <row r="994">
      <c r="M994" s="4"/>
      <c r="N994" s="11"/>
    </row>
    <row r="995">
      <c r="M995" s="4"/>
      <c r="N995" s="11"/>
    </row>
    <row r="996">
      <c r="M996" s="4"/>
      <c r="N996" s="11"/>
    </row>
    <row r="997">
      <c r="M997" s="4"/>
      <c r="N997" s="11"/>
    </row>
    <row r="998">
      <c r="M998" s="4"/>
      <c r="N998" s="11"/>
    </row>
    <row r="999">
      <c r="M999" s="4"/>
      <c r="N999" s="11"/>
    </row>
    <row r="1000">
      <c r="M1000" s="4"/>
      <c r="N1000" s="11"/>
    </row>
    <row r="1001">
      <c r="M1001" s="4"/>
      <c r="N1001" s="11"/>
    </row>
    <row r="1002">
      <c r="M1002" s="4"/>
      <c r="N1002" s="11"/>
    </row>
    <row r="1003">
      <c r="M1003" s="4"/>
      <c r="N1003" s="11"/>
    </row>
    <row r="1004">
      <c r="M1004" s="4"/>
      <c r="N1004" s="11"/>
    </row>
    <row r="1005">
      <c r="M1005" s="4"/>
      <c r="N1005" s="11"/>
    </row>
    <row r="1006">
      <c r="M1006" s="4"/>
      <c r="N1006" s="11"/>
    </row>
    <row r="1007">
      <c r="M1007" s="4"/>
      <c r="N1007" s="11"/>
    </row>
    <row r="1008">
      <c r="M1008" s="4"/>
      <c r="N1008" s="11"/>
    </row>
    <row r="1009">
      <c r="M1009" s="4"/>
      <c r="N1009" s="11"/>
    </row>
    <row r="1010">
      <c r="M1010" s="4"/>
      <c r="N1010" s="11"/>
    </row>
    <row r="1011">
      <c r="M1011" s="4"/>
      <c r="N1011" s="11"/>
    </row>
    <row r="1012">
      <c r="M1012" s="4"/>
      <c r="N1012" s="11"/>
    </row>
    <row r="1013">
      <c r="M1013" s="4"/>
      <c r="N1013" s="11"/>
    </row>
    <row r="1014">
      <c r="M1014" s="4"/>
      <c r="N1014" s="11"/>
    </row>
  </sheetData>
  <autoFilter ref="$A$1:$K$25"/>
  <mergeCells count="2">
    <mergeCell ref="D27:K27"/>
    <mergeCell ref="D48:I48"/>
  </mergeCells>
  <conditionalFormatting sqref="D2:D26 D28:D46">
    <cfRule type="colorScale" priority="1">
      <colorScale>
        <cfvo type="formula" val="0"/>
        <cfvo type="formula" val="0.5"/>
        <cfvo type="formula" val="1"/>
        <color rgb="FFFFFFFF"/>
        <color rgb="FFF3BEB9"/>
        <color rgb="FFE67C73"/>
      </colorScale>
    </cfRule>
  </conditionalFormatting>
  <conditionalFormatting sqref="E2:J25 E28:J46">
    <cfRule type="colorScale" priority="2">
      <colorScale>
        <cfvo type="formula" val="1"/>
        <cfvo type="formula" val="3"/>
        <cfvo type="formula" val="5"/>
        <color rgb="FFEA9999"/>
        <color rgb="FFFFE599"/>
        <color rgb="FF9FC5E8"/>
      </colorScale>
    </cfRule>
  </conditionalFormatting>
  <conditionalFormatting sqref="E2:J25">
    <cfRule type="expression" dxfId="0" priority="3">
      <formula>E2=MAX(E$6:E$25)</formula>
    </cfRule>
  </conditionalFormatting>
  <conditionalFormatting sqref="E38:J42">
    <cfRule type="expression" dxfId="0" priority="4">
      <formula>E38=MAX(E$38:E$42)</formula>
    </cfRule>
  </conditionalFormatting>
  <conditionalFormatting sqref="E43:J46">
    <cfRule type="expression" dxfId="0" priority="5">
      <formula>E43=MAX(E$43:E$46)</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9:D67">
    <cfRule type="colorScale" priority="7">
      <colorScale>
        <cfvo type="min"/>
        <cfvo type="max"/>
        <color rgb="FFFFFFFF"/>
        <color rgb="FFE67C73"/>
      </colorScale>
    </cfRule>
  </conditionalFormatting>
  <conditionalFormatting sqref="E49:I67">
    <cfRule type="colorScale" priority="8">
      <colorScale>
        <cfvo type="min"/>
        <cfvo type="percent" val="50"/>
        <cfvo type="max"/>
        <color rgb="FFFFFFFF"/>
        <color rgb="FFF3BEB9"/>
        <color rgb="FFE67C73"/>
      </colorScale>
    </cfRule>
  </conditionalFormatting>
  <conditionalFormatting sqref="E28:J37">
    <cfRule type="expression" dxfId="0" priority="9">
      <formula>E28=MAX(E$28:E$32)</formula>
    </cfRule>
  </conditionalFormatting>
  <dataValidations>
    <dataValidation type="list" allowBlank="1" showErrorMessage="1" sqref="C2:C25 C43:C46 C64:C67">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20</v>
      </c>
      <c r="B1" s="10">
        <v>1.0</v>
      </c>
    </row>
    <row r="2">
      <c r="A2" s="10" t="s">
        <v>24</v>
      </c>
      <c r="B2" s="10">
        <v>2.0</v>
      </c>
    </row>
    <row r="3">
      <c r="A3" s="10" t="s">
        <v>25</v>
      </c>
      <c r="B3" s="10">
        <v>3.0</v>
      </c>
    </row>
    <row r="4">
      <c r="A4" s="10" t="s">
        <v>26</v>
      </c>
      <c r="B4" s="10">
        <v>4.0</v>
      </c>
    </row>
    <row r="5">
      <c r="A5" s="10" t="s">
        <v>21</v>
      </c>
      <c r="B5" s="10">
        <v>10.0</v>
      </c>
    </row>
    <row r="6">
      <c r="A6" s="10" t="s">
        <v>22</v>
      </c>
      <c r="B6" s="10">
        <v>11.0</v>
      </c>
    </row>
    <row r="7">
      <c r="A7" s="10" t="s">
        <v>8</v>
      </c>
      <c r="B7" s="10">
        <v>12.0</v>
      </c>
    </row>
    <row r="8">
      <c r="A8" s="10" t="s">
        <v>23</v>
      </c>
      <c r="B8" s="10">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31</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16</v>
      </c>
      <c r="D2" s="54" t="s">
        <v>35</v>
      </c>
      <c r="E2" s="55">
        <f>IFERROR(__xludf.DUMMYFUNCTION("COUNTA(SPLIT(D2,"" ""))/COUNTA(SPLIT($B$2,"" ""))"),0.038130381303813035)</f>
        <v>0.0381303813</v>
      </c>
      <c r="F2" s="7">
        <v>3.0</v>
      </c>
      <c r="G2" s="7">
        <v>5.0</v>
      </c>
      <c r="H2" s="7">
        <v>5.0</v>
      </c>
      <c r="I2" s="7">
        <v>5.0</v>
      </c>
      <c r="J2" s="7">
        <v>2.0</v>
      </c>
      <c r="K2" s="56"/>
      <c r="L2" s="56"/>
      <c r="M2" s="56"/>
      <c r="N2" s="56"/>
      <c r="O2" s="56"/>
      <c r="P2" s="56"/>
      <c r="Q2" s="56"/>
      <c r="R2" s="56"/>
      <c r="S2" s="56"/>
      <c r="T2" s="56"/>
      <c r="U2" s="56"/>
      <c r="V2" s="56"/>
      <c r="W2" s="56"/>
      <c r="X2" s="56"/>
      <c r="Y2" s="56"/>
      <c r="Z2" s="56"/>
      <c r="AA2" s="56"/>
      <c r="AB2" s="56"/>
    </row>
    <row r="3" ht="225.0" customHeight="1">
      <c r="C3" s="7" t="s">
        <v>17</v>
      </c>
      <c r="D3" s="54" t="s">
        <v>36</v>
      </c>
      <c r="E3" s="57">
        <f>IFERROR(__xludf.DUMMYFUNCTION("COUNTA(SPLIT(D3,"" ""))/COUNTA(SPLIT($B$2,"" ""))"),0.06765067650676507)</f>
        <v>0.06765067651</v>
      </c>
      <c r="F3" s="7"/>
      <c r="G3" s="7"/>
      <c r="H3" s="7"/>
      <c r="I3" s="7"/>
      <c r="J3" s="7"/>
      <c r="K3" s="56"/>
      <c r="L3" s="56"/>
      <c r="M3" s="56"/>
      <c r="N3" s="56"/>
      <c r="O3" s="56"/>
      <c r="P3" s="56"/>
      <c r="Q3" s="56"/>
      <c r="R3" s="56"/>
      <c r="S3" s="56"/>
      <c r="T3" s="56"/>
      <c r="U3" s="56"/>
      <c r="V3" s="56"/>
      <c r="W3" s="56"/>
      <c r="X3" s="56"/>
      <c r="Y3" s="56"/>
      <c r="Z3" s="56"/>
      <c r="AA3" s="56"/>
      <c r="AB3" s="56"/>
    </row>
    <row r="4" ht="225.0" customHeight="1">
      <c r="C4" s="7" t="s">
        <v>18</v>
      </c>
      <c r="D4" s="54" t="s">
        <v>37</v>
      </c>
      <c r="E4" s="57">
        <f>IFERROR(__xludf.DUMMYFUNCTION("COUNTA(SPLIT(D4,"" ""))/COUNTA(SPLIT($B$2,"" ""))"),0.23985239852398524)</f>
        <v>0.2398523985</v>
      </c>
      <c r="F4" s="7">
        <v>5.0</v>
      </c>
      <c r="G4" s="7">
        <v>5.0</v>
      </c>
      <c r="H4" s="7">
        <v>5.0</v>
      </c>
      <c r="I4" s="7">
        <v>4.0</v>
      </c>
      <c r="J4" s="7">
        <v>5.0</v>
      </c>
      <c r="K4" s="56"/>
      <c r="L4" s="56"/>
      <c r="M4" s="56"/>
      <c r="N4" s="56"/>
      <c r="O4" s="56"/>
      <c r="P4" s="56"/>
      <c r="Q4" s="56"/>
      <c r="R4" s="56"/>
      <c r="S4" s="56"/>
      <c r="T4" s="56"/>
      <c r="U4" s="56"/>
      <c r="V4" s="56"/>
      <c r="W4" s="56"/>
      <c r="X4" s="56"/>
      <c r="Y4" s="56"/>
      <c r="Z4" s="56"/>
      <c r="AA4" s="56"/>
      <c r="AB4" s="56"/>
    </row>
    <row r="5" ht="225.0" customHeight="1">
      <c r="C5" s="7" t="s">
        <v>19</v>
      </c>
      <c r="D5" s="54" t="s">
        <v>38</v>
      </c>
      <c r="E5" s="57">
        <f>IFERROR(__xludf.DUMMYFUNCTION("COUNTA(SPLIT(D5,"" ""))/COUNTA(SPLIT($B$2,"" ""))"),0.09471094710947109)</f>
        <v>0.09471094711</v>
      </c>
      <c r="F5" s="7">
        <v>5.0</v>
      </c>
      <c r="G5" s="7">
        <v>5.0</v>
      </c>
      <c r="H5" s="7">
        <v>5.0</v>
      </c>
      <c r="I5" s="7">
        <v>5.0</v>
      </c>
      <c r="J5" s="7">
        <v>4.0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61" t="s">
        <v>39</v>
      </c>
      <c r="B7" s="62" t="s">
        <v>40</v>
      </c>
      <c r="C7" s="63" t="s">
        <v>16</v>
      </c>
      <c r="D7" s="64" t="s">
        <v>41</v>
      </c>
      <c r="E7" s="65">
        <f>IFERROR(__xludf.DUMMYFUNCTION("COUNTA(SPLIT(D7,"" ""))/COUNTA(SPLIT($B$7,"" ""))"),0.03857566765578635)</f>
        <v>0.03857566766</v>
      </c>
      <c r="F7" s="63">
        <v>5.0</v>
      </c>
      <c r="G7" s="63">
        <v>5.0</v>
      </c>
      <c r="H7" s="63">
        <v>5.0</v>
      </c>
      <c r="I7" s="63">
        <v>3.0</v>
      </c>
      <c r="J7" s="63">
        <v>1.0</v>
      </c>
      <c r="K7" s="66"/>
      <c r="L7" s="66"/>
      <c r="M7" s="66"/>
      <c r="N7" s="66"/>
      <c r="O7" s="66"/>
      <c r="P7" s="66"/>
      <c r="Q7" s="66"/>
      <c r="R7" s="66"/>
      <c r="S7" s="66"/>
      <c r="T7" s="66"/>
      <c r="U7" s="66"/>
      <c r="V7" s="66"/>
      <c r="W7" s="66"/>
      <c r="X7" s="66"/>
      <c r="Y7" s="66"/>
      <c r="Z7" s="66"/>
      <c r="AA7" s="66"/>
      <c r="AB7" s="66"/>
    </row>
    <row r="8" ht="225.0" customHeight="1">
      <c r="C8" s="7" t="s">
        <v>17</v>
      </c>
      <c r="D8" s="54" t="s">
        <v>42</v>
      </c>
      <c r="E8" s="57">
        <f>IFERROR(__xludf.DUMMYFUNCTION("COUNTA(SPLIT(D8,"" ""))/COUNTA(SPLIT($B$7,"" ""))"),0.12166172106824925)</f>
        <v>0.1216617211</v>
      </c>
      <c r="F8" s="7"/>
      <c r="G8" s="7"/>
      <c r="H8" s="7"/>
      <c r="I8" s="7"/>
      <c r="J8" s="7"/>
      <c r="K8" s="56"/>
      <c r="L8" s="56"/>
      <c r="M8" s="56"/>
      <c r="N8" s="56"/>
      <c r="O8" s="56"/>
      <c r="P8" s="56"/>
      <c r="Q8" s="56"/>
      <c r="R8" s="56"/>
      <c r="S8" s="56"/>
      <c r="T8" s="56"/>
      <c r="U8" s="56"/>
      <c r="V8" s="56"/>
      <c r="W8" s="56"/>
      <c r="X8" s="56"/>
      <c r="Y8" s="56"/>
      <c r="Z8" s="56"/>
      <c r="AA8" s="56"/>
      <c r="AB8" s="56"/>
    </row>
    <row r="9" ht="225.0" customHeight="1">
      <c r="C9" s="7" t="s">
        <v>18</v>
      </c>
      <c r="D9" s="54" t="s">
        <v>43</v>
      </c>
      <c r="E9" s="57">
        <f>IFERROR(__xludf.DUMMYFUNCTION("COUNTA(SPLIT(D9,"" ""))/COUNTA(SPLIT($B$7,"" ""))"),0.18694362017804153)</f>
        <v>0.1869436202</v>
      </c>
      <c r="F9" s="7">
        <v>5.0</v>
      </c>
      <c r="G9" s="7">
        <v>5.0</v>
      </c>
      <c r="H9" s="7">
        <v>5.0</v>
      </c>
      <c r="I9" s="7">
        <v>4.0</v>
      </c>
      <c r="J9" s="7">
        <v>5.0</v>
      </c>
      <c r="K9" s="56"/>
      <c r="L9" s="56"/>
      <c r="M9" s="56"/>
      <c r="N9" s="56"/>
      <c r="O9" s="56"/>
      <c r="P9" s="56"/>
      <c r="Q9" s="56"/>
      <c r="R9" s="56"/>
      <c r="S9" s="56"/>
      <c r="T9" s="56"/>
      <c r="U9" s="56"/>
      <c r="V9" s="56"/>
      <c r="W9" s="56"/>
      <c r="X9" s="56"/>
      <c r="Y9" s="56"/>
      <c r="Z9" s="56"/>
      <c r="AA9" s="56"/>
      <c r="AB9" s="56"/>
    </row>
    <row r="10" ht="225.0" customHeight="1">
      <c r="C10" s="7" t="s">
        <v>19</v>
      </c>
      <c r="D10" s="67" t="s">
        <v>44</v>
      </c>
      <c r="E10" s="57">
        <f>IFERROR(__xludf.DUMMYFUNCTION("COUNTA(SPLIT(D10,"" ""))/COUNTA(SPLIT($B$7,"" ""))"),0.14540059347181009)</f>
        <v>0.1454005935</v>
      </c>
      <c r="F10" s="7">
        <v>5.0</v>
      </c>
      <c r="G10" s="7">
        <v>5.0</v>
      </c>
      <c r="H10" s="7">
        <v>5.0</v>
      </c>
      <c r="I10" s="7">
        <v>5.0</v>
      </c>
      <c r="J10" s="7">
        <v>5.0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61" t="s">
        <v>45</v>
      </c>
      <c r="B12" s="62" t="s">
        <v>46</v>
      </c>
      <c r="C12" s="63" t="s">
        <v>16</v>
      </c>
      <c r="D12" s="64" t="s">
        <v>47</v>
      </c>
      <c r="E12" s="68">
        <f>IFERROR(__xludf.DUMMYFUNCTION("COUNTA(SPLIT(D12,"" ""))/COUNTA(SPLIT($B$12,"" ""))"),0.017139479905437353)</f>
        <v>0.01713947991</v>
      </c>
      <c r="F12" s="63">
        <v>5.0</v>
      </c>
      <c r="G12" s="63">
        <v>5.0</v>
      </c>
      <c r="H12" s="63">
        <v>5.0</v>
      </c>
      <c r="I12" s="63">
        <v>5.0</v>
      </c>
      <c r="J12" s="63">
        <v>2.0</v>
      </c>
      <c r="K12" s="66"/>
      <c r="L12" s="66"/>
      <c r="M12" s="66"/>
      <c r="N12" s="66"/>
      <c r="O12" s="66"/>
      <c r="P12" s="66"/>
      <c r="Q12" s="66"/>
      <c r="R12" s="66"/>
      <c r="S12" s="66"/>
      <c r="T12" s="66"/>
      <c r="U12" s="66"/>
      <c r="V12" s="66"/>
      <c r="W12" s="66"/>
      <c r="X12" s="66"/>
      <c r="Y12" s="66"/>
      <c r="Z12" s="66"/>
      <c r="AA12" s="66"/>
      <c r="AB12" s="66"/>
    </row>
    <row r="13" ht="225.0" customHeight="1">
      <c r="C13" s="7" t="s">
        <v>17</v>
      </c>
      <c r="D13" s="54" t="s">
        <v>48</v>
      </c>
      <c r="E13" s="57">
        <f>IFERROR(__xludf.DUMMYFUNCTION("COUNTA(SPLIT(D13,"" ""))/COUNTA(SPLIT($B$12,"" ""))"),0.06619385342789598)</f>
        <v>0.06619385343</v>
      </c>
      <c r="F13" s="7"/>
      <c r="G13" s="7"/>
      <c r="H13" s="7"/>
      <c r="I13" s="7"/>
      <c r="J13" s="7"/>
      <c r="K13" s="56"/>
      <c r="L13" s="56"/>
      <c r="M13" s="56"/>
      <c r="N13" s="56"/>
      <c r="O13" s="56"/>
      <c r="P13" s="56"/>
      <c r="Q13" s="56"/>
      <c r="R13" s="56"/>
      <c r="S13" s="56"/>
      <c r="T13" s="56"/>
      <c r="U13" s="56"/>
      <c r="V13" s="56"/>
      <c r="W13" s="56"/>
      <c r="X13" s="56"/>
      <c r="Y13" s="56"/>
      <c r="Z13" s="56"/>
      <c r="AA13" s="56"/>
      <c r="AB13" s="56"/>
    </row>
    <row r="14" ht="225.0" customHeight="1">
      <c r="C14" s="7" t="s">
        <v>18</v>
      </c>
      <c r="D14" s="54" t="s">
        <v>49</v>
      </c>
      <c r="E14" s="57">
        <f>IFERROR(__xludf.DUMMYFUNCTION("COUNTA(SPLIT(D14,"" ""))/COUNTA(SPLIT($B$12,"" ""))"),0.1867612293144208)</f>
        <v>0.1867612293</v>
      </c>
      <c r="F14" s="7">
        <v>5.0</v>
      </c>
      <c r="G14" s="7">
        <v>5.0</v>
      </c>
      <c r="H14" s="7">
        <v>5.0</v>
      </c>
      <c r="I14" s="7">
        <v>3.0</v>
      </c>
      <c r="J14" s="7">
        <v>5.0</v>
      </c>
      <c r="K14" s="56"/>
      <c r="L14" s="56"/>
      <c r="M14" s="56"/>
      <c r="N14" s="56"/>
      <c r="O14" s="56"/>
      <c r="P14" s="56"/>
      <c r="Q14" s="56"/>
      <c r="R14" s="56"/>
      <c r="S14" s="56"/>
      <c r="T14" s="56"/>
      <c r="U14" s="56"/>
      <c r="V14" s="56"/>
      <c r="W14" s="56"/>
      <c r="X14" s="56"/>
      <c r="Y14" s="56"/>
      <c r="Z14" s="56"/>
      <c r="AA14" s="56"/>
      <c r="AB14" s="56"/>
    </row>
    <row r="15" ht="225.0" customHeight="1">
      <c r="C15" s="7" t="s">
        <v>19</v>
      </c>
      <c r="D15" s="54" t="s">
        <v>50</v>
      </c>
      <c r="E15" s="57">
        <f>IFERROR(__xludf.DUMMYFUNCTION("COUNTA(SPLIT(D15,"" ""))/COUNTA(SPLIT($B$12,"" ""))"),0.08392434988179669)</f>
        <v>0.08392434988</v>
      </c>
      <c r="F15" s="7">
        <v>5.0</v>
      </c>
      <c r="G15" s="7">
        <v>5.0</v>
      </c>
      <c r="H15" s="7">
        <v>5.0</v>
      </c>
      <c r="I15" s="7">
        <v>5.0</v>
      </c>
      <c r="J15" s="7">
        <v>5.0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51</v>
      </c>
      <c r="B17" s="62" t="s">
        <v>52</v>
      </c>
      <c r="C17" s="63" t="s">
        <v>16</v>
      </c>
      <c r="D17" s="64" t="s">
        <v>53</v>
      </c>
      <c r="E17" s="69">
        <f>IFERROR(__xludf.DUMMYFUNCTION("COUNTA(SPLIT(D17,"" ""))/COUNTA(SPLIT($B$17,"" ""))"),0.02275960170697013)</f>
        <v>0.02275960171</v>
      </c>
      <c r="F17" s="63">
        <v>5.0</v>
      </c>
      <c r="G17" s="63">
        <v>5.0</v>
      </c>
      <c r="H17" s="63">
        <v>5.0</v>
      </c>
      <c r="I17" s="63">
        <v>5.0</v>
      </c>
      <c r="J17" s="63">
        <v>2.0</v>
      </c>
      <c r="K17" s="66"/>
      <c r="L17" s="66"/>
      <c r="M17" s="66"/>
      <c r="N17" s="66"/>
      <c r="O17" s="66"/>
      <c r="P17" s="66"/>
      <c r="Q17" s="66"/>
      <c r="R17" s="66"/>
      <c r="S17" s="66"/>
      <c r="T17" s="66"/>
      <c r="U17" s="66"/>
      <c r="V17" s="66"/>
      <c r="W17" s="66"/>
      <c r="X17" s="66"/>
      <c r="Y17" s="66"/>
      <c r="Z17" s="66"/>
      <c r="AA17" s="66"/>
      <c r="AB17" s="66"/>
    </row>
    <row r="18" ht="225.0" customHeight="1">
      <c r="C18" s="7" t="s">
        <v>17</v>
      </c>
      <c r="D18" s="54" t="s">
        <v>54</v>
      </c>
      <c r="E18" s="57">
        <f>IFERROR(__xludf.DUMMYFUNCTION("COUNTA(SPLIT(D18,"" ""))/COUNTA(SPLIT($B$17,"" ""))"),0.16358463726884778)</f>
        <v>0.1635846373</v>
      </c>
      <c r="F18" s="7"/>
      <c r="G18" s="7"/>
      <c r="H18" s="7"/>
      <c r="I18" s="7"/>
      <c r="J18" s="7"/>
      <c r="K18" s="56"/>
      <c r="L18" s="56"/>
      <c r="M18" s="56"/>
      <c r="N18" s="56"/>
      <c r="O18" s="56"/>
      <c r="P18" s="56"/>
      <c r="Q18" s="56"/>
      <c r="R18" s="56"/>
      <c r="S18" s="56"/>
      <c r="T18" s="56"/>
      <c r="U18" s="56"/>
      <c r="V18" s="56"/>
      <c r="W18" s="56"/>
      <c r="X18" s="56"/>
      <c r="Y18" s="56"/>
      <c r="Z18" s="56"/>
      <c r="AA18" s="56"/>
      <c r="AB18" s="56"/>
    </row>
    <row r="19" ht="225.0" customHeight="1">
      <c r="C19" s="7" t="s">
        <v>18</v>
      </c>
      <c r="D19" s="54" t="s">
        <v>55</v>
      </c>
      <c r="E19" s="57">
        <f>IFERROR(__xludf.DUMMYFUNCTION("COUNTA(SPLIT(D19,"" ""))/COUNTA(SPLIT($B$17,"" ""))"),0.32716927453769556)</f>
        <v>0.3271692745</v>
      </c>
      <c r="F19" s="7">
        <v>5.0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C20" s="7" t="s">
        <v>19</v>
      </c>
      <c r="D20" s="54" t="s">
        <v>56</v>
      </c>
      <c r="E20" s="57">
        <f>IFERROR(__xludf.DUMMYFUNCTION("COUNTA(SPLIT(D20,"" ""))/COUNTA(SPLIT($B$17,"" ""))"),0.10953058321479374)</f>
        <v>0.1095305832</v>
      </c>
      <c r="F20" s="7">
        <v>5.0</v>
      </c>
      <c r="G20" s="7">
        <v>5.0</v>
      </c>
      <c r="H20" s="7">
        <v>5.0</v>
      </c>
      <c r="I20" s="7">
        <v>5.0</v>
      </c>
      <c r="J20" s="7">
        <v>3.0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16</v>
      </c>
      <c r="D22" s="64" t="s">
        <v>59</v>
      </c>
      <c r="E22" s="70">
        <f>IFERROR(__xludf.DUMMYFUNCTION("COUNTA(SPLIT(D22,"" ""))/COUNTA(SPLIT($B$22,"" ""))"),0.019438444924406047)</f>
        <v>0.01943844492</v>
      </c>
      <c r="F22" s="63">
        <v>5.0</v>
      </c>
      <c r="G22" s="63">
        <v>5.0</v>
      </c>
      <c r="H22" s="63">
        <v>5.0</v>
      </c>
      <c r="I22" s="63">
        <v>5.0</v>
      </c>
      <c r="J22" s="63">
        <v>2.0</v>
      </c>
      <c r="K22" s="66"/>
      <c r="L22" s="66"/>
      <c r="M22" s="66"/>
      <c r="N22" s="66"/>
      <c r="O22" s="66"/>
      <c r="P22" s="66"/>
      <c r="Q22" s="66"/>
      <c r="R22" s="66"/>
      <c r="S22" s="66"/>
      <c r="T22" s="66"/>
      <c r="U22" s="66"/>
      <c r="V22" s="66"/>
      <c r="W22" s="66"/>
      <c r="X22" s="66"/>
      <c r="Y22" s="66"/>
      <c r="Z22" s="66"/>
      <c r="AA22" s="66"/>
      <c r="AB22" s="66"/>
    </row>
    <row r="23" ht="225.0" customHeight="1">
      <c r="C23" s="7" t="s">
        <v>17</v>
      </c>
      <c r="D23" s="54" t="s">
        <v>60</v>
      </c>
      <c r="E23" s="57">
        <f>IFERROR(__xludf.DUMMYFUNCTION("COUNTA(SPLIT(D23,"" ""))/COUNTA(SPLIT($B$22,"" ""))"),0.08423326133909287)</f>
        <v>0.08423326134</v>
      </c>
      <c r="F23" s="7"/>
      <c r="G23" s="7"/>
      <c r="H23" s="7"/>
      <c r="I23" s="7"/>
      <c r="J23" s="7"/>
      <c r="K23" s="56"/>
      <c r="L23" s="56"/>
      <c r="M23" s="56"/>
      <c r="N23" s="56"/>
      <c r="O23" s="56"/>
      <c r="P23" s="56"/>
      <c r="Q23" s="56"/>
      <c r="R23" s="56"/>
      <c r="S23" s="56"/>
      <c r="T23" s="56"/>
      <c r="U23" s="56"/>
      <c r="V23" s="56"/>
      <c r="W23" s="56"/>
      <c r="X23" s="56"/>
      <c r="Y23" s="56"/>
      <c r="Z23" s="56"/>
      <c r="AA23" s="56"/>
      <c r="AB23" s="56"/>
    </row>
    <row r="24" ht="225.0" customHeight="1">
      <c r="C24" s="7" t="s">
        <v>18</v>
      </c>
      <c r="D24" s="54" t="s">
        <v>61</v>
      </c>
      <c r="E24" s="57">
        <f>IFERROR(__xludf.DUMMYFUNCTION("COUNTA(SPLIT(D24,"" ""))/COUNTA(SPLIT($B$22,"" ""))"),0.20518358531317496)</f>
        <v>0.2051835853</v>
      </c>
      <c r="F24" s="7">
        <v>5.0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ht="225.0" customHeight="1">
      <c r="C25" s="7" t="s">
        <v>19</v>
      </c>
      <c r="D25" s="54" t="s">
        <v>62</v>
      </c>
      <c r="E25" s="57">
        <f>IFERROR(__xludf.DUMMYFUNCTION("COUNTA(SPLIT(D25,"" ""))/COUNTA(SPLIT($B$22,"" ""))"),0.07919366450683946)</f>
        <v>0.07919366451</v>
      </c>
      <c r="F25" s="7">
        <v>5.0</v>
      </c>
      <c r="G25" s="7">
        <v>5.0</v>
      </c>
      <c r="H25" s="7">
        <v>5.0</v>
      </c>
      <c r="I25" s="7">
        <v>5.0</v>
      </c>
      <c r="J25" s="7">
        <v>5.0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16</v>
      </c>
      <c r="D27" s="64" t="s">
        <v>65</v>
      </c>
      <c r="E27" s="69">
        <f>IFERROR(__xludf.DUMMYFUNCTION("COUNTA(SPLIT(D27,"" ""))/COUNTA(SPLIT($B$27,"" ""))"),0.04238921001926782)</f>
        <v>0.04238921002</v>
      </c>
      <c r="F27" s="63">
        <v>5.0</v>
      </c>
      <c r="G27" s="63">
        <v>5.0</v>
      </c>
      <c r="H27" s="63">
        <v>5.0</v>
      </c>
      <c r="I27" s="63">
        <v>5.0</v>
      </c>
      <c r="J27" s="63">
        <v>2.0</v>
      </c>
      <c r="K27" s="66"/>
      <c r="L27" s="66"/>
      <c r="M27" s="66"/>
      <c r="N27" s="66"/>
      <c r="O27" s="66"/>
      <c r="P27" s="66"/>
      <c r="Q27" s="66"/>
      <c r="R27" s="66"/>
      <c r="S27" s="66"/>
      <c r="T27" s="66"/>
      <c r="U27" s="66"/>
      <c r="V27" s="66"/>
      <c r="W27" s="66"/>
      <c r="X27" s="66"/>
      <c r="Y27" s="66"/>
      <c r="Z27" s="66"/>
      <c r="AA27" s="66"/>
      <c r="AB27" s="66"/>
    </row>
    <row r="28" ht="225.0" customHeight="1">
      <c r="C28" s="7" t="s">
        <v>17</v>
      </c>
      <c r="D28" s="54" t="s">
        <v>66</v>
      </c>
      <c r="E28" s="71">
        <f>IFERROR(__xludf.DUMMYFUNCTION("COUNTA(SPLIT(D28,"" ""))/COUNTA(SPLIT($B$27,"" ""))"),0.17533718689788053)</f>
        <v>0.1753371869</v>
      </c>
      <c r="F28" s="7"/>
      <c r="G28" s="7"/>
      <c r="H28" s="7"/>
      <c r="I28" s="7"/>
      <c r="J28" s="7"/>
      <c r="K28" s="56"/>
      <c r="L28" s="56"/>
      <c r="M28" s="56"/>
      <c r="N28" s="56"/>
      <c r="O28" s="56"/>
      <c r="P28" s="56"/>
      <c r="Q28" s="56"/>
      <c r="R28" s="56"/>
      <c r="S28" s="56"/>
      <c r="T28" s="56"/>
      <c r="U28" s="56"/>
      <c r="V28" s="56"/>
      <c r="W28" s="56"/>
      <c r="X28" s="56"/>
      <c r="Y28" s="56"/>
      <c r="Z28" s="56"/>
      <c r="AA28" s="56"/>
      <c r="AB28" s="56"/>
    </row>
    <row r="29" ht="225.0" customHeight="1">
      <c r="C29" s="7" t="s">
        <v>18</v>
      </c>
      <c r="D29" s="54" t="s">
        <v>67</v>
      </c>
      <c r="E29" s="71">
        <f>IFERROR(__xludf.DUMMYFUNCTION("COUNTA(SPLIT(D29,"" ""))/COUNTA(SPLIT($B$27,"" ""))"),0.3371868978805395)</f>
        <v>0.3371868979</v>
      </c>
      <c r="F29" s="7">
        <v>5.0</v>
      </c>
      <c r="G29" s="7">
        <v>5.0</v>
      </c>
      <c r="H29" s="7">
        <v>5.0</v>
      </c>
      <c r="I29" s="7">
        <v>5.0</v>
      </c>
      <c r="J29" s="7">
        <v>4.0</v>
      </c>
      <c r="K29" s="56"/>
      <c r="L29" s="56"/>
      <c r="M29" s="56"/>
      <c r="N29" s="56"/>
      <c r="O29" s="56"/>
      <c r="P29" s="56"/>
      <c r="Q29" s="56"/>
      <c r="R29" s="56"/>
      <c r="S29" s="56"/>
      <c r="T29" s="56"/>
      <c r="U29" s="56"/>
      <c r="V29" s="56"/>
      <c r="W29" s="56"/>
      <c r="X29" s="56"/>
      <c r="Y29" s="56"/>
      <c r="Z29" s="56"/>
      <c r="AA29" s="56"/>
      <c r="AB29" s="56"/>
    </row>
    <row r="30" ht="225.0" customHeight="1">
      <c r="C30" s="7" t="s">
        <v>19</v>
      </c>
      <c r="D30" s="54" t="s">
        <v>68</v>
      </c>
      <c r="E30" s="71">
        <f>IFERROR(__xludf.DUMMYFUNCTION("COUNTA(SPLIT(D30,"" ""))/COUNTA(SPLIT($B$27,"" ""))"),0.16570327552986513)</f>
        <v>0.1657032755</v>
      </c>
      <c r="F30" s="7">
        <v>5.0</v>
      </c>
      <c r="G30" s="7">
        <v>5.0</v>
      </c>
      <c r="H30" s="7">
        <v>5.0</v>
      </c>
      <c r="I30" s="7">
        <v>5.0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70</v>
      </c>
      <c r="C32" s="63" t="s">
        <v>16</v>
      </c>
      <c r="D32" s="64" t="s">
        <v>71</v>
      </c>
      <c r="E32" s="72">
        <f>IFERROR(__xludf.DUMMYFUNCTION("COUNTA(SPLIT(D32,"" ""))/COUNTA(SPLIT($B$32,"" ""))"),0.08648648648648649)</f>
        <v>0.08648648649</v>
      </c>
      <c r="F32" s="63">
        <v>5.0</v>
      </c>
      <c r="G32" s="63">
        <v>5.0</v>
      </c>
      <c r="H32" s="63">
        <v>5.0</v>
      </c>
      <c r="I32" s="63">
        <v>5.0</v>
      </c>
      <c r="J32" s="63">
        <v>2.0</v>
      </c>
      <c r="K32" s="66"/>
      <c r="L32" s="66"/>
      <c r="M32" s="66"/>
      <c r="N32" s="66"/>
      <c r="O32" s="66"/>
      <c r="P32" s="66"/>
      <c r="Q32" s="66"/>
      <c r="R32" s="66"/>
      <c r="S32" s="66"/>
      <c r="T32" s="66"/>
      <c r="U32" s="66"/>
      <c r="V32" s="66"/>
      <c r="W32" s="66"/>
      <c r="X32" s="66"/>
      <c r="Y32" s="66"/>
      <c r="Z32" s="66"/>
      <c r="AA32" s="66"/>
      <c r="AB32" s="66"/>
    </row>
    <row r="33" ht="225.0" customHeight="1">
      <c r="C33" s="7" t="s">
        <v>17</v>
      </c>
      <c r="D33" s="54" t="s">
        <v>72</v>
      </c>
      <c r="E33" s="73">
        <f>IFERROR(__xludf.DUMMYFUNCTION("COUNTA(SPLIT(D33,"" ""))/COUNTA(SPLIT($B$32,"" ""))"),0.33513513513513515)</f>
        <v>0.3351351351</v>
      </c>
      <c r="F33" s="7"/>
      <c r="G33" s="7"/>
      <c r="H33" s="7"/>
      <c r="I33" s="7"/>
      <c r="J33" s="7"/>
      <c r="K33" s="56"/>
      <c r="L33" s="56"/>
      <c r="M33" s="56"/>
      <c r="N33" s="56"/>
      <c r="O33" s="56"/>
      <c r="P33" s="56"/>
      <c r="Q33" s="56"/>
      <c r="R33" s="56"/>
      <c r="S33" s="56"/>
      <c r="T33" s="56"/>
      <c r="U33" s="56"/>
      <c r="V33" s="56"/>
      <c r="W33" s="56"/>
      <c r="X33" s="56"/>
      <c r="Y33" s="56"/>
      <c r="Z33" s="56"/>
      <c r="AA33" s="56"/>
      <c r="AB33" s="56"/>
    </row>
    <row r="34" ht="225.0" customHeight="1">
      <c r="C34" s="7" t="s">
        <v>18</v>
      </c>
      <c r="D34" s="54" t="s">
        <v>73</v>
      </c>
      <c r="E34" s="73">
        <f>IFERROR(__xludf.DUMMYFUNCTION("COUNTA(SPLIT(D34,"" ""))/COUNTA(SPLIT($B$32,"" ""))"),0.5297297297297298)</f>
        <v>0.5297297297</v>
      </c>
      <c r="F34" s="7">
        <v>5.0</v>
      </c>
      <c r="G34" s="7">
        <v>5.0</v>
      </c>
      <c r="H34" s="7">
        <v>5.0</v>
      </c>
      <c r="I34" s="7">
        <v>5.0</v>
      </c>
      <c r="J34" s="7">
        <v>5.0</v>
      </c>
      <c r="K34" s="56"/>
      <c r="L34" s="56"/>
      <c r="M34" s="56"/>
      <c r="N34" s="56"/>
      <c r="O34" s="56"/>
      <c r="P34" s="56"/>
      <c r="Q34" s="56"/>
      <c r="R34" s="56"/>
      <c r="S34" s="56"/>
      <c r="T34" s="56"/>
      <c r="U34" s="56"/>
      <c r="V34" s="56"/>
      <c r="W34" s="56"/>
      <c r="X34" s="56"/>
      <c r="Y34" s="56"/>
      <c r="Z34" s="56"/>
      <c r="AA34" s="56"/>
      <c r="AB34" s="56"/>
    </row>
    <row r="35" ht="225.0" customHeight="1">
      <c r="C35" s="7" t="s">
        <v>19</v>
      </c>
      <c r="D35" s="54" t="s">
        <v>74</v>
      </c>
      <c r="E35" s="73">
        <f>IFERROR(__xludf.DUMMYFUNCTION("COUNTA(SPLIT(D35,"" ""))/COUNTA(SPLIT($B$32,"" ""))"),0.3783783783783784)</f>
        <v>0.3783783784</v>
      </c>
      <c r="F35" s="7">
        <v>5.0</v>
      </c>
      <c r="G35" s="7">
        <v>5.0</v>
      </c>
      <c r="H35" s="7">
        <v>5.0</v>
      </c>
      <c r="I35" s="7">
        <v>5.0</v>
      </c>
      <c r="J35" s="7">
        <v>5.0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16</v>
      </c>
      <c r="D37" s="64" t="s">
        <v>77</v>
      </c>
      <c r="E37" s="74">
        <f>IFERROR(__xludf.DUMMYFUNCTION("COUNTA(SPLIT(D37,"" ""))/COUNTA(SPLIT($B$37,"" ""))"),0.03780964797913951)</f>
        <v>0.03780964798</v>
      </c>
      <c r="F37" s="63">
        <v>5.0</v>
      </c>
      <c r="G37" s="63">
        <v>5.0</v>
      </c>
      <c r="H37" s="63">
        <v>5.0</v>
      </c>
      <c r="I37" s="63">
        <v>4.0</v>
      </c>
      <c r="J37" s="63">
        <v>2.0</v>
      </c>
      <c r="K37" s="66"/>
      <c r="L37" s="66"/>
      <c r="M37" s="66"/>
      <c r="N37" s="66"/>
      <c r="O37" s="66"/>
      <c r="P37" s="66"/>
      <c r="Q37" s="66"/>
      <c r="R37" s="66"/>
      <c r="S37" s="66"/>
      <c r="T37" s="66"/>
      <c r="U37" s="66"/>
      <c r="V37" s="66"/>
      <c r="W37" s="66"/>
      <c r="X37" s="66"/>
      <c r="Y37" s="66"/>
      <c r="Z37" s="66"/>
      <c r="AA37" s="66"/>
      <c r="AB37" s="66"/>
    </row>
    <row r="38" ht="225.0" customHeight="1">
      <c r="C38" s="7" t="s">
        <v>17</v>
      </c>
      <c r="D38" s="54" t="s">
        <v>78</v>
      </c>
      <c r="E38" s="75">
        <f>IFERROR(__xludf.DUMMYFUNCTION("COUNTA(SPLIT(D38,"" ""))/COUNTA(SPLIT($B$37,"" ""))"),0.06910039113428944)</f>
        <v>0.06910039113</v>
      </c>
      <c r="F38" s="7"/>
      <c r="G38" s="7"/>
      <c r="H38" s="7"/>
      <c r="I38" s="7"/>
      <c r="J38" s="7"/>
      <c r="K38" s="56"/>
      <c r="L38" s="56"/>
      <c r="M38" s="56"/>
      <c r="N38" s="56"/>
      <c r="O38" s="56"/>
      <c r="P38" s="56"/>
      <c r="Q38" s="56"/>
      <c r="R38" s="56"/>
      <c r="S38" s="56"/>
      <c r="T38" s="56"/>
      <c r="U38" s="56"/>
      <c r="V38" s="56"/>
      <c r="W38" s="56"/>
      <c r="X38" s="56"/>
      <c r="Y38" s="56"/>
      <c r="Z38" s="56"/>
      <c r="AA38" s="56"/>
      <c r="AB38" s="56"/>
    </row>
    <row r="39" ht="225.0" customHeight="1">
      <c r="C39" s="7" t="s">
        <v>18</v>
      </c>
      <c r="D39" s="54" t="s">
        <v>79</v>
      </c>
      <c r="E39" s="75">
        <f>IFERROR(__xludf.DUMMYFUNCTION("COUNTA(SPLIT(D39,"" ""))/COUNTA(SPLIT($B$37,"" ""))"),0.37027379400260757)</f>
        <v>0.370273794</v>
      </c>
      <c r="F39" s="7">
        <v>5.0</v>
      </c>
      <c r="G39" s="7">
        <v>5.0</v>
      </c>
      <c r="H39" s="7">
        <v>5.0</v>
      </c>
      <c r="I39" s="7">
        <v>3.0</v>
      </c>
      <c r="J39" s="7">
        <v>5.0</v>
      </c>
      <c r="K39" s="56"/>
      <c r="L39" s="56"/>
      <c r="M39" s="56"/>
      <c r="N39" s="56"/>
      <c r="O39" s="56"/>
      <c r="P39" s="56"/>
      <c r="Q39" s="56"/>
      <c r="R39" s="56"/>
      <c r="S39" s="56"/>
      <c r="T39" s="56"/>
      <c r="U39" s="56"/>
      <c r="V39" s="56"/>
      <c r="W39" s="56"/>
      <c r="X39" s="56"/>
      <c r="Y39" s="56"/>
      <c r="Z39" s="56"/>
      <c r="AA39" s="56"/>
      <c r="AB39" s="56"/>
    </row>
    <row r="40" ht="225.0" customHeight="1">
      <c r="C40" s="7" t="s">
        <v>19</v>
      </c>
      <c r="D40" s="54" t="s">
        <v>80</v>
      </c>
      <c r="E40" s="75">
        <f>IFERROR(__xludf.DUMMYFUNCTION("COUNTA(SPLIT(D40,"" ""))/COUNTA(SPLIT($B$37,"" ""))"),0.06910039113428944)</f>
        <v>0.06910039113</v>
      </c>
      <c r="F40" s="7">
        <v>5.0</v>
      </c>
      <c r="G40" s="7">
        <v>5.0</v>
      </c>
      <c r="H40" s="7">
        <v>5.0</v>
      </c>
      <c r="I40" s="7">
        <v>5.0</v>
      </c>
      <c r="J40" s="7">
        <v>5.0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16</v>
      </c>
      <c r="D42" s="64" t="s">
        <v>83</v>
      </c>
      <c r="E42" s="76">
        <f>IFERROR(__xludf.DUMMYFUNCTION("COUNTA(SPLIT(D42,"" ""))/COUNTA(SPLIT($B$42,"" ""))"),0.0182328190743338)</f>
        <v>0.01823281907</v>
      </c>
      <c r="F42" s="63">
        <v>5.0</v>
      </c>
      <c r="G42" s="63">
        <v>5.0</v>
      </c>
      <c r="H42" s="63">
        <v>5.0</v>
      </c>
      <c r="I42" s="63">
        <v>5.0</v>
      </c>
      <c r="J42" s="63">
        <v>2.0</v>
      </c>
      <c r="K42" s="66"/>
      <c r="L42" s="66"/>
      <c r="M42" s="66"/>
      <c r="N42" s="66"/>
      <c r="O42" s="66"/>
      <c r="P42" s="66"/>
      <c r="Q42" s="66"/>
      <c r="R42" s="66"/>
      <c r="S42" s="66"/>
      <c r="T42" s="66"/>
      <c r="U42" s="66"/>
      <c r="V42" s="66"/>
      <c r="W42" s="66"/>
      <c r="X42" s="66"/>
      <c r="Y42" s="66"/>
      <c r="Z42" s="66"/>
      <c r="AA42" s="66"/>
      <c r="AB42" s="66"/>
    </row>
    <row r="43" ht="225.0" customHeight="1">
      <c r="C43" s="7" t="s">
        <v>17</v>
      </c>
      <c r="D43" s="54" t="s">
        <v>84</v>
      </c>
      <c r="E43" s="77">
        <f>IFERROR(__xludf.DUMMYFUNCTION("COUNTA(SPLIT(D43,"" ""))/COUNTA(SPLIT($B$42,"" ""))"),0.06872370266479663)</f>
        <v>0.06872370266</v>
      </c>
      <c r="F43" s="7"/>
      <c r="G43" s="7"/>
      <c r="H43" s="7"/>
      <c r="I43" s="7"/>
      <c r="J43" s="7"/>
      <c r="K43" s="56"/>
      <c r="L43" s="56"/>
      <c r="M43" s="56"/>
      <c r="N43" s="56"/>
      <c r="O43" s="56"/>
      <c r="P43" s="56"/>
      <c r="Q43" s="56"/>
      <c r="R43" s="56"/>
      <c r="S43" s="56"/>
      <c r="T43" s="56"/>
      <c r="U43" s="56"/>
      <c r="V43" s="56"/>
      <c r="W43" s="56"/>
      <c r="X43" s="56"/>
      <c r="Y43" s="56"/>
      <c r="Z43" s="56"/>
      <c r="AA43" s="56"/>
      <c r="AB43" s="56"/>
    </row>
    <row r="44" ht="225.0" customHeight="1">
      <c r="C44" s="7" t="s">
        <v>18</v>
      </c>
      <c r="D44" s="54" t="s">
        <v>85</v>
      </c>
      <c r="E44" s="77">
        <f>IFERROR(__xludf.DUMMYFUNCTION("COUNTA(SPLIT(D44,"" ""))/COUNTA(SPLIT($B$42,"" ""))"),0.1879382889200561)</f>
        <v>0.1879382889</v>
      </c>
      <c r="F44" s="7">
        <v>5.0</v>
      </c>
      <c r="G44" s="7">
        <v>5.0</v>
      </c>
      <c r="H44" s="7">
        <v>5.0</v>
      </c>
      <c r="I44" s="7">
        <v>3.0</v>
      </c>
      <c r="J44" s="7">
        <v>5.0</v>
      </c>
      <c r="K44" s="56"/>
      <c r="L44" s="56"/>
      <c r="M44" s="56"/>
      <c r="N44" s="56"/>
      <c r="O44" s="56"/>
      <c r="P44" s="56"/>
      <c r="Q44" s="56"/>
      <c r="R44" s="56"/>
      <c r="S44" s="56"/>
      <c r="T44" s="56"/>
      <c r="U44" s="56"/>
      <c r="V44" s="56"/>
      <c r="W44" s="56"/>
      <c r="X44" s="56"/>
      <c r="Y44" s="56"/>
      <c r="Z44" s="56"/>
      <c r="AA44" s="56"/>
      <c r="AB44" s="56"/>
    </row>
    <row r="45" ht="225.0" customHeight="1">
      <c r="C45" s="7" t="s">
        <v>19</v>
      </c>
      <c r="D45" s="54" t="s">
        <v>86</v>
      </c>
      <c r="E45" s="77">
        <f>IFERROR(__xludf.DUMMYFUNCTION("COUNTA(SPLIT(D45,"" ""))/COUNTA(SPLIT($B$42,"" ""))"),0.10238429172510519)</f>
        <v>0.1023842917</v>
      </c>
      <c r="F45" s="7">
        <v>5.0</v>
      </c>
      <c r="G45" s="7">
        <v>5.0</v>
      </c>
      <c r="H45" s="7">
        <v>5.0</v>
      </c>
      <c r="I45" s="7">
        <v>5.0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88</v>
      </c>
      <c r="C47" s="63" t="s">
        <v>16</v>
      </c>
      <c r="D47" s="64" t="s">
        <v>89</v>
      </c>
      <c r="E47" s="78">
        <f>IFERROR(__xludf.DUMMYFUNCTION("COUNTA(SPLIT(D47,"" ""))/COUNTA(SPLIT($B$47,"" ""))"),0.011435832274459974)</f>
        <v>0.01143583227</v>
      </c>
      <c r="F47" s="63">
        <v>5.0</v>
      </c>
      <c r="G47" s="63">
        <v>5.0</v>
      </c>
      <c r="H47" s="63">
        <v>5.0</v>
      </c>
      <c r="I47" s="63">
        <v>4.0</v>
      </c>
      <c r="J47" s="63">
        <v>2.0</v>
      </c>
      <c r="K47" s="66"/>
      <c r="L47" s="66"/>
      <c r="M47" s="66"/>
      <c r="N47" s="66"/>
      <c r="O47" s="66"/>
      <c r="P47" s="66"/>
      <c r="Q47" s="66"/>
      <c r="R47" s="66"/>
      <c r="S47" s="66"/>
      <c r="T47" s="66"/>
      <c r="U47" s="66"/>
      <c r="V47" s="66"/>
      <c r="W47" s="66"/>
      <c r="X47" s="66"/>
      <c r="Y47" s="66"/>
      <c r="Z47" s="66"/>
      <c r="AA47" s="66"/>
      <c r="AB47" s="66"/>
    </row>
    <row r="48" ht="225.0" customHeight="1">
      <c r="C48" s="7" t="s">
        <v>17</v>
      </c>
      <c r="D48" s="54" t="s">
        <v>90</v>
      </c>
      <c r="E48" s="57">
        <f>IFERROR(__xludf.DUMMYFUNCTION("COUNTA(SPLIT(D48,"" ""))/COUNTA(SPLIT($B$47,"" ""))"),0.12833545108005082)</f>
        <v>0.1283354511</v>
      </c>
      <c r="F48" s="7"/>
      <c r="G48" s="7"/>
      <c r="H48" s="7"/>
      <c r="I48" s="7"/>
      <c r="J48" s="7"/>
      <c r="K48" s="56"/>
      <c r="L48" s="56"/>
      <c r="M48" s="56"/>
      <c r="N48" s="56"/>
      <c r="O48" s="56"/>
      <c r="P48" s="56"/>
      <c r="Q48" s="56"/>
      <c r="R48" s="56"/>
      <c r="S48" s="56"/>
      <c r="T48" s="56"/>
      <c r="U48" s="56"/>
      <c r="V48" s="56"/>
      <c r="W48" s="56"/>
      <c r="X48" s="56"/>
      <c r="Y48" s="56"/>
      <c r="Z48" s="56"/>
      <c r="AA48" s="56"/>
      <c r="AB48" s="56"/>
    </row>
    <row r="49" ht="225.0" customHeight="1">
      <c r="C49" s="7" t="s">
        <v>18</v>
      </c>
      <c r="D49" s="54" t="s">
        <v>91</v>
      </c>
      <c r="E49" s="57">
        <f>IFERROR(__xludf.DUMMYFUNCTION("COUNTA(SPLIT(D49,"" ""))/COUNTA(SPLIT($B$47,"" ""))"),0.1823379923761118)</f>
        <v>0.1823379924</v>
      </c>
      <c r="F49" s="7">
        <v>5.0</v>
      </c>
      <c r="G49" s="7">
        <v>5.0</v>
      </c>
      <c r="H49" s="7">
        <v>5.0</v>
      </c>
      <c r="I49" s="7">
        <v>4.0</v>
      </c>
      <c r="J49" s="7">
        <v>5.0</v>
      </c>
      <c r="K49" s="56"/>
      <c r="L49" s="56"/>
      <c r="M49" s="56"/>
      <c r="N49" s="56"/>
      <c r="O49" s="56"/>
      <c r="P49" s="56"/>
      <c r="Q49" s="56"/>
      <c r="R49" s="56"/>
      <c r="S49" s="56"/>
      <c r="T49" s="56"/>
      <c r="U49" s="56"/>
      <c r="V49" s="56"/>
      <c r="W49" s="56"/>
      <c r="X49" s="56"/>
      <c r="Y49" s="56"/>
      <c r="Z49" s="56"/>
      <c r="AA49" s="56"/>
      <c r="AB49" s="56"/>
    </row>
    <row r="50" ht="225.0" customHeight="1">
      <c r="C50" s="7" t="s">
        <v>19</v>
      </c>
      <c r="D50" s="54" t="s">
        <v>92</v>
      </c>
      <c r="E50" s="57">
        <f>IFERROR(__xludf.DUMMYFUNCTION("COUNTA(SPLIT(D50,"" ""))/COUNTA(SPLIT($B$47,"" ""))"),0.10038119440914867)</f>
        <v>0.1003811944</v>
      </c>
      <c r="F50" s="7">
        <v>5.0</v>
      </c>
      <c r="G50" s="7">
        <v>5.0</v>
      </c>
      <c r="H50" s="7">
        <v>5.0</v>
      </c>
      <c r="I50" s="7">
        <v>5.0</v>
      </c>
      <c r="J50" s="7">
        <v>4.0</v>
      </c>
      <c r="K50" s="56"/>
      <c r="L50" s="56"/>
      <c r="M50" s="56"/>
      <c r="N50" s="56"/>
      <c r="O50" s="56"/>
      <c r="P50" s="56"/>
      <c r="Q50" s="56"/>
      <c r="R50" s="56"/>
      <c r="S50" s="56"/>
      <c r="T50" s="56"/>
      <c r="U50" s="56"/>
      <c r="V50" s="56"/>
      <c r="W50" s="56"/>
      <c r="X50" s="56"/>
      <c r="Y50" s="56"/>
      <c r="Z50" s="56"/>
      <c r="AA50" s="56"/>
      <c r="AB50" s="56"/>
    </row>
    <row r="51">
      <c r="A51" s="56"/>
      <c r="B51" s="56"/>
      <c r="C51" s="58"/>
      <c r="D51" s="59"/>
      <c r="E51" s="79"/>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9"/>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9"/>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9"/>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9"/>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9"/>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9"/>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9"/>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9"/>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9"/>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9"/>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9"/>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9"/>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9"/>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9"/>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9"/>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9"/>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9"/>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9"/>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9"/>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9"/>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9"/>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9"/>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9"/>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9"/>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9"/>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9"/>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9"/>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9"/>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9"/>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9"/>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9"/>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9"/>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9"/>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9"/>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9"/>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9"/>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9"/>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9"/>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9"/>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9"/>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9"/>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9"/>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9"/>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9"/>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9"/>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9"/>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9"/>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9"/>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9"/>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9"/>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9"/>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9"/>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9"/>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9"/>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9"/>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9"/>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9"/>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9"/>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9"/>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9"/>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9"/>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9"/>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9"/>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9"/>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9"/>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9"/>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9"/>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9"/>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9"/>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9"/>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9"/>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9"/>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9"/>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9"/>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9"/>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9"/>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9"/>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9"/>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9"/>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9"/>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9"/>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9"/>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9"/>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9"/>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9"/>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9"/>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9"/>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9"/>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9"/>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9"/>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9"/>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9"/>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9"/>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9"/>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9"/>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9"/>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9"/>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9"/>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9"/>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9"/>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9"/>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9"/>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9"/>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9"/>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9"/>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9"/>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9"/>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9"/>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9"/>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9"/>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9"/>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9"/>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9"/>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9"/>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9"/>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9"/>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9"/>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9"/>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9"/>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9"/>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9"/>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9"/>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9"/>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9"/>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9"/>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9"/>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9"/>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9"/>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9"/>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9"/>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9"/>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9"/>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9"/>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9"/>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9"/>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9"/>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9"/>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9"/>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9"/>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9"/>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9"/>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9"/>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9"/>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9"/>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9"/>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9"/>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9"/>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9"/>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9"/>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9"/>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9"/>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9"/>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9"/>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9"/>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9"/>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9"/>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9"/>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9"/>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9"/>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9"/>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9"/>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9"/>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9"/>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9"/>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9"/>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9"/>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9"/>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9"/>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9"/>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9"/>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9"/>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9"/>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9"/>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9"/>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9"/>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9"/>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9"/>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9"/>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9"/>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9"/>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9"/>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9"/>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9"/>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9"/>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9"/>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9"/>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9"/>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9"/>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9"/>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9"/>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9"/>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9"/>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9"/>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9"/>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9"/>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9"/>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9"/>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9"/>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9"/>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9"/>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9"/>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9"/>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9"/>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9"/>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9"/>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9"/>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9"/>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9"/>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9"/>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9"/>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9"/>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9"/>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9"/>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9"/>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9"/>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9"/>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9"/>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9"/>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9"/>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9"/>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9"/>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9"/>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9"/>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9"/>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9"/>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9"/>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9"/>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9"/>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9"/>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9"/>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9"/>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9"/>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9"/>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9"/>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9"/>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9"/>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9"/>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9"/>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9"/>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9"/>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9"/>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9"/>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9"/>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9"/>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9"/>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9"/>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9"/>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9"/>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9"/>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9"/>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9"/>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9"/>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9"/>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9"/>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9"/>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9"/>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9"/>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9"/>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9"/>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9"/>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9"/>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9"/>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9"/>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9"/>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9"/>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9"/>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9"/>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9"/>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9"/>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9"/>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9"/>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9"/>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9"/>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9"/>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9"/>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9"/>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9"/>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9"/>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9"/>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9"/>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9"/>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9"/>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9"/>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9"/>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9"/>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9"/>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9"/>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9"/>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9"/>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9"/>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9"/>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9"/>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9"/>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9"/>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9"/>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9"/>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9"/>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9"/>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9"/>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9"/>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9"/>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9"/>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9"/>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9"/>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9"/>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9"/>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9"/>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9"/>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9"/>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9"/>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9"/>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9"/>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9"/>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9"/>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9"/>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9"/>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9"/>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9"/>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9"/>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9"/>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9"/>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9"/>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9"/>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9"/>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9"/>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9"/>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9"/>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9"/>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9"/>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9"/>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9"/>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9"/>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9"/>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9"/>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9"/>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9"/>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9"/>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9"/>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9"/>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9"/>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9"/>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9"/>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9"/>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9"/>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9"/>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9"/>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9"/>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9"/>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9"/>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9"/>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9"/>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9"/>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9"/>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9"/>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9"/>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9"/>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9"/>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9"/>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9"/>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9"/>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9"/>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9"/>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9"/>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9"/>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9"/>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9"/>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9"/>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9"/>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9"/>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9"/>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9"/>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9"/>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9"/>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9"/>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9"/>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9"/>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9"/>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9"/>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9"/>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9"/>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9"/>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9"/>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9"/>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9"/>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9"/>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9"/>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9"/>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9"/>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9"/>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9"/>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9"/>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9"/>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9"/>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9"/>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9"/>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9"/>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9"/>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9"/>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9"/>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9"/>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9"/>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9"/>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9"/>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9"/>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9"/>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9"/>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9"/>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9"/>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9"/>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9"/>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9"/>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9"/>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9"/>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9"/>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9"/>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9"/>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9"/>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9"/>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9"/>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9"/>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9"/>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9"/>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9"/>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9"/>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9"/>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9"/>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9"/>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9"/>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9"/>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9"/>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9"/>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9"/>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9"/>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9"/>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9"/>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9"/>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9"/>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9"/>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9"/>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9"/>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9"/>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9"/>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9"/>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9"/>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9"/>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9"/>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9"/>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9"/>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9"/>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9"/>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9"/>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9"/>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9"/>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9"/>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9"/>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9"/>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9"/>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9"/>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9"/>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9"/>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9"/>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9"/>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9"/>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9"/>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9"/>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9"/>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9"/>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9"/>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9"/>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9"/>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9"/>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9"/>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9"/>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9"/>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9"/>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9"/>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9"/>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9"/>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9"/>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9"/>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9"/>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9"/>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9"/>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9"/>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9"/>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9"/>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9"/>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9"/>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9"/>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9"/>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9"/>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9"/>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9"/>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9"/>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9"/>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9"/>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9"/>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9"/>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9"/>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9"/>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9"/>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9"/>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9"/>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9"/>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9"/>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9"/>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9"/>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9"/>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9"/>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9"/>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9"/>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9"/>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9"/>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9"/>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9"/>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9"/>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9"/>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9"/>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9"/>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9"/>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9"/>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9"/>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9"/>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9"/>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9"/>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9"/>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9"/>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9"/>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9"/>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9"/>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9"/>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9"/>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9"/>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9"/>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9"/>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9"/>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9"/>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9"/>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9"/>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9"/>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9"/>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9"/>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9"/>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9"/>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9"/>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9"/>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9"/>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9"/>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9"/>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9"/>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9"/>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9"/>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9"/>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9"/>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9"/>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9"/>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9"/>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9"/>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9"/>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9"/>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9"/>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9"/>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9"/>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9"/>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9"/>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9"/>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9"/>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9"/>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9"/>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9"/>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9"/>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9"/>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9"/>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9"/>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9"/>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9"/>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9"/>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9"/>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9"/>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9"/>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9"/>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9"/>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9"/>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9"/>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9"/>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9"/>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9"/>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9"/>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9"/>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9"/>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9"/>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9"/>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9"/>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9"/>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9"/>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9"/>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9"/>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9"/>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9"/>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9"/>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9"/>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9"/>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9"/>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9"/>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9"/>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9"/>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9"/>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9"/>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9"/>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9"/>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9"/>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9"/>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9"/>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9"/>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9"/>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9"/>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9"/>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9"/>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9"/>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9"/>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9"/>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9"/>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9"/>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9"/>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9"/>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9"/>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9"/>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9"/>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9"/>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9"/>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9"/>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9"/>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9"/>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9"/>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9"/>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9"/>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9"/>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9"/>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9"/>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9"/>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9"/>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9"/>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9"/>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9"/>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9"/>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9"/>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9"/>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9"/>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9"/>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9"/>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9"/>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9"/>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9"/>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9"/>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9"/>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9"/>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9"/>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9"/>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9"/>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9"/>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9"/>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9"/>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9"/>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9"/>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9"/>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9"/>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9"/>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9"/>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9"/>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9"/>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9"/>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9"/>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9"/>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9"/>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9"/>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9"/>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9"/>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9"/>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9"/>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9"/>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9"/>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9"/>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9"/>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9"/>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9"/>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9"/>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9"/>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9"/>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9"/>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9"/>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9"/>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9"/>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9"/>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9"/>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9"/>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9"/>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9"/>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9"/>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9"/>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9"/>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9"/>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9"/>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9"/>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9"/>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9"/>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9"/>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9"/>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9"/>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9"/>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9"/>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9"/>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9"/>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9"/>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9"/>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9"/>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9"/>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9"/>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9"/>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9"/>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9"/>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9"/>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9"/>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9"/>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9"/>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9"/>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9"/>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9"/>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9"/>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9"/>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9"/>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9"/>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9"/>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9"/>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9"/>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9"/>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9"/>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9"/>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9"/>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9"/>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9"/>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9"/>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9"/>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9"/>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9"/>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9"/>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9"/>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9"/>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9"/>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9"/>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9"/>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9"/>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9"/>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9"/>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9"/>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9"/>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9"/>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9"/>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9"/>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9"/>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9"/>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9"/>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9"/>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9"/>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9"/>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9"/>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9"/>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9"/>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9"/>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9"/>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9"/>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9"/>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9"/>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9"/>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9"/>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9"/>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9"/>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9"/>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9"/>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9"/>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9"/>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9"/>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9"/>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9"/>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9"/>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9"/>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9"/>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9"/>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9"/>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9"/>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9"/>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9"/>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9"/>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9"/>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9"/>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9"/>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9"/>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9"/>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9"/>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9"/>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9"/>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9"/>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9"/>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9"/>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9"/>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9"/>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9"/>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9"/>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9"/>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9"/>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9"/>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9"/>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9"/>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9"/>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9"/>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9"/>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9"/>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9"/>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9"/>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9"/>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9"/>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9"/>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9"/>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9"/>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9"/>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9"/>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9"/>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9"/>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9"/>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9"/>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9"/>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9"/>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9"/>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9"/>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9"/>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9"/>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9"/>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9"/>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9"/>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9"/>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9"/>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9"/>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9"/>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9"/>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9"/>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9"/>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9"/>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9"/>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9"/>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9"/>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9"/>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9"/>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9"/>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9"/>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9"/>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9"/>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9"/>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9"/>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9"/>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9"/>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9"/>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9"/>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9"/>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9"/>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9"/>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9"/>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9"/>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9"/>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9"/>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9"/>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9"/>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9"/>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9"/>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9"/>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9"/>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9"/>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9"/>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9"/>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9"/>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9"/>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9"/>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9"/>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9"/>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9"/>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9"/>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9"/>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9"/>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9"/>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9"/>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9"/>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9"/>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9"/>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9"/>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9"/>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9"/>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9"/>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9"/>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9"/>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9"/>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9"/>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9"/>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9"/>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9"/>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9"/>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9"/>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9"/>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9"/>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9"/>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9"/>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9"/>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9"/>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9"/>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9"/>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9"/>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9"/>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9"/>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9"/>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9"/>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9"/>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9"/>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9"/>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9"/>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9"/>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9"/>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9"/>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9"/>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9"/>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9"/>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9"/>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9"/>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9"/>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9"/>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9"/>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9"/>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9"/>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9"/>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9"/>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9"/>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9"/>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9"/>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9"/>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row r="992">
      <c r="A992" s="56"/>
      <c r="B992" s="56"/>
      <c r="C992" s="58"/>
      <c r="D992" s="59"/>
      <c r="E992" s="79"/>
      <c r="F992" s="58"/>
      <c r="G992" s="58"/>
      <c r="H992" s="58"/>
      <c r="I992" s="58"/>
      <c r="J992" s="58"/>
      <c r="K992" s="56"/>
      <c r="L992" s="56"/>
      <c r="M992" s="56"/>
      <c r="N992" s="56"/>
      <c r="O992" s="56"/>
      <c r="P992" s="56"/>
      <c r="Q992" s="56"/>
      <c r="R992" s="56"/>
      <c r="S992" s="56"/>
      <c r="T992" s="56"/>
      <c r="U992" s="56"/>
      <c r="V992" s="56"/>
      <c r="W992" s="56"/>
      <c r="X992" s="56"/>
      <c r="Y992" s="56"/>
      <c r="Z992" s="56"/>
      <c r="AA992" s="56"/>
      <c r="AB992" s="56"/>
    </row>
    <row r="993">
      <c r="A993" s="56"/>
      <c r="B993" s="56"/>
      <c r="C993" s="58"/>
      <c r="D993" s="59"/>
      <c r="E993" s="79"/>
      <c r="F993" s="58"/>
      <c r="G993" s="58"/>
      <c r="H993" s="58"/>
      <c r="I993" s="58"/>
      <c r="J993" s="58"/>
      <c r="K993" s="56"/>
      <c r="L993" s="56"/>
      <c r="M993" s="56"/>
      <c r="N993" s="56"/>
      <c r="O993" s="56"/>
      <c r="P993" s="56"/>
      <c r="Q993" s="56"/>
      <c r="R993" s="56"/>
      <c r="S993" s="56"/>
      <c r="T993" s="56"/>
      <c r="U993" s="56"/>
      <c r="V993" s="56"/>
      <c r="W993" s="56"/>
      <c r="X993" s="56"/>
      <c r="Y993" s="56"/>
      <c r="Z993" s="56"/>
      <c r="AA993" s="56"/>
      <c r="AB993" s="56"/>
    </row>
    <row r="994">
      <c r="A994" s="56"/>
      <c r="B994" s="56"/>
      <c r="C994" s="58"/>
      <c r="D994" s="59"/>
      <c r="E994" s="79"/>
      <c r="F994" s="58"/>
      <c r="G994" s="58"/>
      <c r="H994" s="58"/>
      <c r="I994" s="58"/>
      <c r="J994" s="58"/>
      <c r="K994" s="56"/>
      <c r="L994" s="56"/>
      <c r="M994" s="56"/>
      <c r="N994" s="56"/>
      <c r="O994" s="56"/>
      <c r="P994" s="56"/>
      <c r="Q994" s="56"/>
      <c r="R994" s="56"/>
      <c r="S994" s="56"/>
      <c r="T994" s="56"/>
      <c r="U994" s="56"/>
      <c r="V994" s="56"/>
      <c r="W994" s="56"/>
      <c r="X994" s="56"/>
      <c r="Y994" s="56"/>
      <c r="Z994" s="56"/>
      <c r="AA994" s="56"/>
      <c r="AB994" s="56"/>
    </row>
    <row r="995">
      <c r="A995" s="56"/>
      <c r="B995" s="56"/>
      <c r="C995" s="58"/>
      <c r="D995" s="59"/>
      <c r="E995" s="79"/>
      <c r="F995" s="58"/>
      <c r="G995" s="58"/>
      <c r="H995" s="58"/>
      <c r="I995" s="58"/>
      <c r="J995" s="58"/>
      <c r="K995" s="56"/>
      <c r="L995" s="56"/>
      <c r="M995" s="56"/>
      <c r="N995" s="56"/>
      <c r="O995" s="56"/>
      <c r="P995" s="56"/>
      <c r="Q995" s="56"/>
      <c r="R995" s="56"/>
      <c r="S995" s="56"/>
      <c r="T995" s="56"/>
      <c r="U995" s="56"/>
      <c r="V995" s="56"/>
      <c r="W995" s="56"/>
      <c r="X995" s="56"/>
      <c r="Y995" s="56"/>
      <c r="Z995" s="56"/>
      <c r="AA995" s="56"/>
      <c r="AB995" s="56"/>
    </row>
    <row r="996">
      <c r="A996" s="56"/>
      <c r="B996" s="56"/>
      <c r="C996" s="58"/>
      <c r="D996" s="59"/>
      <c r="E996" s="79"/>
      <c r="F996" s="58"/>
      <c r="G996" s="58"/>
      <c r="H996" s="58"/>
      <c r="I996" s="58"/>
      <c r="J996" s="58"/>
      <c r="K996" s="56"/>
      <c r="L996" s="56"/>
      <c r="M996" s="56"/>
      <c r="N996" s="56"/>
      <c r="O996" s="56"/>
      <c r="P996" s="56"/>
      <c r="Q996" s="56"/>
      <c r="R996" s="56"/>
      <c r="S996" s="56"/>
      <c r="T996" s="56"/>
      <c r="U996" s="56"/>
      <c r="V996" s="56"/>
      <c r="W996" s="56"/>
      <c r="X996" s="56"/>
      <c r="Y996" s="56"/>
      <c r="Z996" s="56"/>
      <c r="AA996" s="56"/>
      <c r="AB996" s="56"/>
    </row>
    <row r="997">
      <c r="A997" s="56"/>
      <c r="B997" s="56"/>
      <c r="C997" s="58"/>
      <c r="D997" s="59"/>
      <c r="E997" s="79"/>
      <c r="F997" s="58"/>
      <c r="G997" s="58"/>
      <c r="H997" s="58"/>
      <c r="I997" s="58"/>
      <c r="J997" s="58"/>
      <c r="K997" s="56"/>
      <c r="L997" s="56"/>
      <c r="M997" s="56"/>
      <c r="N997" s="56"/>
      <c r="O997" s="56"/>
      <c r="P997" s="56"/>
      <c r="Q997" s="56"/>
      <c r="R997" s="56"/>
      <c r="S997" s="56"/>
      <c r="T997" s="56"/>
      <c r="U997" s="56"/>
      <c r="V997" s="56"/>
      <c r="W997" s="56"/>
      <c r="X997" s="56"/>
      <c r="Y997" s="56"/>
      <c r="Z997" s="56"/>
      <c r="AA997" s="56"/>
      <c r="AB997" s="56"/>
    </row>
    <row r="998">
      <c r="A998" s="56"/>
      <c r="B998" s="56"/>
      <c r="C998" s="58"/>
      <c r="D998" s="59"/>
      <c r="E998" s="79"/>
      <c r="F998" s="58"/>
      <c r="G998" s="58"/>
      <c r="H998" s="58"/>
      <c r="I998" s="58"/>
      <c r="J998" s="58"/>
      <c r="K998" s="56"/>
      <c r="L998" s="56"/>
      <c r="M998" s="56"/>
      <c r="N998" s="56"/>
      <c r="O998" s="56"/>
      <c r="P998" s="56"/>
      <c r="Q998" s="56"/>
      <c r="R998" s="56"/>
      <c r="S998" s="56"/>
      <c r="T998" s="56"/>
      <c r="U998" s="56"/>
      <c r="V998" s="56"/>
      <c r="W998" s="56"/>
      <c r="X998" s="56"/>
      <c r="Y998" s="56"/>
      <c r="Z998" s="56"/>
      <c r="AA998" s="56"/>
      <c r="AB998" s="56"/>
    </row>
    <row r="999">
      <c r="A999" s="56"/>
      <c r="B999" s="56"/>
      <c r="C999" s="58"/>
      <c r="D999" s="59"/>
      <c r="E999" s="79"/>
      <c r="F999" s="58"/>
      <c r="G999" s="58"/>
      <c r="H999" s="58"/>
      <c r="I999" s="58"/>
      <c r="J999" s="58"/>
      <c r="K999" s="56"/>
      <c r="L999" s="56"/>
      <c r="M999" s="56"/>
      <c r="N999" s="56"/>
      <c r="O999" s="56"/>
      <c r="P999" s="56"/>
      <c r="Q999" s="56"/>
      <c r="R999" s="56"/>
      <c r="S999" s="56"/>
      <c r="T999" s="56"/>
      <c r="U999" s="56"/>
      <c r="V999" s="56"/>
      <c r="W999" s="56"/>
      <c r="X999" s="56"/>
      <c r="Y999" s="56"/>
      <c r="Z999" s="56"/>
      <c r="AA999" s="56"/>
      <c r="AB999" s="56"/>
    </row>
    <row r="1000">
      <c r="A1000" s="56"/>
      <c r="B1000" s="56"/>
      <c r="C1000" s="58"/>
      <c r="D1000" s="59"/>
      <c r="E1000" s="79"/>
      <c r="F1000" s="58"/>
      <c r="G1000" s="58"/>
      <c r="H1000" s="58"/>
      <c r="I1000" s="58"/>
      <c r="J1000" s="58"/>
      <c r="K1000" s="56"/>
      <c r="L1000" s="56"/>
      <c r="M1000" s="56"/>
      <c r="N1000" s="56"/>
      <c r="O1000" s="56"/>
      <c r="P1000" s="56"/>
      <c r="Q1000" s="56"/>
      <c r="R1000" s="56"/>
      <c r="S1000" s="56"/>
      <c r="T1000" s="56"/>
      <c r="U1000" s="56"/>
      <c r="V1000" s="56"/>
      <c r="W1000" s="56"/>
      <c r="X1000" s="56"/>
      <c r="Y1000" s="56"/>
      <c r="Z1000" s="56"/>
      <c r="AA1000" s="56"/>
      <c r="AB1000" s="56"/>
    </row>
    <row r="1001">
      <c r="A1001" s="56"/>
      <c r="B1001" s="56"/>
      <c r="C1001" s="58"/>
      <c r="D1001" s="59"/>
      <c r="E1001" s="79"/>
      <c r="F1001" s="58"/>
      <c r="G1001" s="58"/>
      <c r="H1001" s="58"/>
      <c r="I1001" s="58"/>
      <c r="J1001" s="58"/>
      <c r="K1001" s="56"/>
      <c r="L1001" s="56"/>
      <c r="M1001" s="56"/>
      <c r="N1001" s="56"/>
      <c r="O1001" s="56"/>
      <c r="P1001" s="56"/>
      <c r="Q1001" s="56"/>
      <c r="R1001" s="56"/>
      <c r="S1001" s="56"/>
      <c r="T1001" s="56"/>
      <c r="U1001" s="56"/>
      <c r="V1001" s="56"/>
      <c r="W1001" s="56"/>
      <c r="X1001" s="56"/>
      <c r="Y1001" s="56"/>
      <c r="Z1001" s="56"/>
      <c r="AA1001" s="56"/>
      <c r="AB1001" s="56"/>
    </row>
    <row r="1002">
      <c r="A1002" s="56"/>
      <c r="B1002" s="56"/>
      <c r="C1002" s="58"/>
      <c r="D1002" s="59"/>
      <c r="E1002" s="79"/>
      <c r="F1002" s="58"/>
      <c r="G1002" s="58"/>
      <c r="H1002" s="58"/>
      <c r="I1002" s="58"/>
      <c r="J1002" s="58"/>
      <c r="K1002" s="56"/>
      <c r="L1002" s="56"/>
      <c r="M1002" s="56"/>
      <c r="N1002" s="56"/>
      <c r="O1002" s="56"/>
      <c r="P1002" s="56"/>
      <c r="Q1002" s="56"/>
      <c r="R1002" s="56"/>
      <c r="S1002" s="56"/>
      <c r="T1002" s="56"/>
      <c r="U1002" s="56"/>
      <c r="V1002" s="56"/>
      <c r="W1002" s="56"/>
      <c r="X1002" s="56"/>
      <c r="Y1002" s="56"/>
      <c r="Z1002" s="56"/>
      <c r="AA1002" s="56"/>
      <c r="AB1002" s="56"/>
    </row>
    <row r="1003">
      <c r="A1003" s="56"/>
      <c r="B1003" s="56"/>
      <c r="C1003" s="58"/>
      <c r="D1003" s="59"/>
      <c r="E1003" s="79"/>
      <c r="F1003" s="58"/>
      <c r="G1003" s="58"/>
      <c r="H1003" s="58"/>
      <c r="I1003" s="58"/>
      <c r="J1003" s="58"/>
      <c r="K1003" s="56"/>
      <c r="L1003" s="56"/>
      <c r="M1003" s="56"/>
      <c r="N1003" s="56"/>
      <c r="O1003" s="56"/>
      <c r="P1003" s="56"/>
      <c r="Q1003" s="56"/>
      <c r="R1003" s="56"/>
      <c r="S1003" s="56"/>
      <c r="T1003" s="56"/>
      <c r="U1003" s="56"/>
      <c r="V1003" s="56"/>
      <c r="W1003" s="56"/>
      <c r="X1003" s="56"/>
      <c r="Y1003" s="56"/>
      <c r="Z1003" s="56"/>
      <c r="AA1003" s="56"/>
      <c r="AB1003" s="56"/>
    </row>
    <row r="1004">
      <c r="A1004" s="56"/>
      <c r="B1004" s="56"/>
      <c r="C1004" s="58"/>
      <c r="D1004" s="59"/>
      <c r="E1004" s="79"/>
      <c r="F1004" s="58"/>
      <c r="G1004" s="58"/>
      <c r="H1004" s="58"/>
      <c r="I1004" s="58"/>
      <c r="J1004" s="58"/>
      <c r="K1004" s="56"/>
      <c r="L1004" s="56"/>
      <c r="M1004" s="56"/>
      <c r="N1004" s="56"/>
      <c r="O1004" s="56"/>
      <c r="P1004" s="56"/>
      <c r="Q1004" s="56"/>
      <c r="R1004" s="56"/>
      <c r="S1004" s="56"/>
      <c r="T1004" s="56"/>
      <c r="U1004" s="56"/>
      <c r="V1004" s="56"/>
      <c r="W1004" s="56"/>
      <c r="X1004" s="56"/>
      <c r="Y1004" s="56"/>
      <c r="Z1004" s="56"/>
      <c r="AA1004" s="56"/>
      <c r="AB1004" s="56"/>
    </row>
    <row r="1005">
      <c r="A1005" s="56"/>
      <c r="B1005" s="56"/>
      <c r="C1005" s="58"/>
      <c r="D1005" s="59"/>
      <c r="E1005" s="79"/>
      <c r="F1005" s="58"/>
      <c r="G1005" s="58"/>
      <c r="H1005" s="58"/>
      <c r="I1005" s="58"/>
      <c r="J1005" s="58"/>
      <c r="K1005" s="56"/>
      <c r="L1005" s="56"/>
      <c r="M1005" s="56"/>
      <c r="N1005" s="56"/>
      <c r="O1005" s="56"/>
      <c r="P1005" s="56"/>
      <c r="Q1005" s="56"/>
      <c r="R1005" s="56"/>
      <c r="S1005" s="56"/>
      <c r="T1005" s="56"/>
      <c r="U1005" s="56"/>
      <c r="V1005" s="56"/>
      <c r="W1005" s="56"/>
      <c r="X1005" s="56"/>
      <c r="Y1005" s="56"/>
      <c r="Z1005" s="56"/>
      <c r="AA1005" s="56"/>
      <c r="AB1005"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7:E10 E12:E15 E17:E20 E22:E25 E27:E30 E32:E35 E37:E40 E42:E45 E47:E50">
    <cfRule type="colorScale" priority="1">
      <colorScale>
        <cfvo type="formula" val="0"/>
        <cfvo type="formula" val="0.5"/>
        <cfvo type="formula" val="1"/>
        <color rgb="FFFFFFFF"/>
        <color rgb="FFF3BEB9"/>
        <color rgb="FFE67C73"/>
      </colorScale>
    </cfRule>
  </conditionalFormatting>
  <conditionalFormatting sqref="E2:E1005">
    <cfRule type="colorScale" priority="2">
      <colorScale>
        <cfvo type="formula" val="0"/>
        <cfvo type="formula" val="1"/>
        <color rgb="FFFFFFFF"/>
        <color rgb="FFE67C73"/>
      </colorScale>
    </cfRule>
  </conditionalFormatting>
  <dataValidations>
    <dataValidation type="list" allowBlank="1" showErrorMessage="1" sqref="F2:J1005">
      <formula1>"1,2,3,4,5"</formula1>
    </dataValidation>
    <dataValidation type="list" allowBlank="1" showErrorMessage="1" sqref="C2:C5 C7:C10 C12:C15 C17:C20 C22:C25 C27:C30 C32:C35 C37:C40 C42:C45 C47:C50">
      <formula1>"Heading,Jeremy,Naiara,Begoña,Alba"</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93</v>
      </c>
      <c r="E2" s="80">
        <f>IFERROR(__xludf.DUMMYFUNCTION("COUNTA(SPLIT(D2,"" ""))/COUNTA(SPLIT($B$2,"" ""))"),0.1992619926199262)</f>
        <v>0.1992619926</v>
      </c>
      <c r="F2" s="7">
        <v>3.0</v>
      </c>
      <c r="G2" s="7">
        <v>5.0</v>
      </c>
      <c r="H2" s="7">
        <v>5.0</v>
      </c>
      <c r="I2" s="7">
        <v>3.0</v>
      </c>
      <c r="J2" s="7">
        <v>5.0</v>
      </c>
      <c r="K2" s="56"/>
      <c r="L2" s="56"/>
      <c r="M2" s="56"/>
      <c r="N2" s="56"/>
      <c r="O2" s="56"/>
      <c r="P2" s="56"/>
      <c r="Q2" s="56"/>
      <c r="R2" s="56"/>
      <c r="S2" s="56"/>
      <c r="T2" s="56"/>
      <c r="U2" s="56"/>
      <c r="V2" s="56"/>
      <c r="W2" s="56"/>
      <c r="X2" s="56"/>
      <c r="Y2" s="56"/>
      <c r="Z2" s="56"/>
      <c r="AA2" s="56"/>
      <c r="AB2" s="56"/>
    </row>
    <row r="3" ht="225.0" customHeight="1">
      <c r="C3" s="7" t="s">
        <v>22</v>
      </c>
      <c r="D3" s="54" t="s">
        <v>94</v>
      </c>
      <c r="E3" s="81">
        <f>IFERROR(__xludf.DUMMYFUNCTION("COUNTA(SPLIT(D3,"" ""))/COUNTA(SPLIT($B$2,"" ""))"),0.17835178351783518)</f>
        <v>0.1783517835</v>
      </c>
      <c r="F3" s="7">
        <v>3.0</v>
      </c>
      <c r="G3" s="7">
        <v>4.0</v>
      </c>
      <c r="H3" s="7">
        <v>5.0</v>
      </c>
      <c r="I3" s="7">
        <v>3.0</v>
      </c>
      <c r="J3" s="7">
        <v>5.0</v>
      </c>
      <c r="K3" s="56"/>
      <c r="L3" s="56"/>
      <c r="M3" s="56"/>
      <c r="N3" s="56"/>
      <c r="O3" s="56"/>
      <c r="P3" s="56"/>
      <c r="Q3" s="56"/>
      <c r="R3" s="56"/>
      <c r="S3" s="56"/>
      <c r="T3" s="56"/>
      <c r="U3" s="56"/>
      <c r="V3" s="56"/>
      <c r="W3" s="56"/>
      <c r="X3" s="56"/>
      <c r="Y3" s="56"/>
      <c r="Z3" s="56"/>
      <c r="AA3" s="56"/>
      <c r="AB3" s="56"/>
    </row>
    <row r="4" ht="225.0" customHeight="1">
      <c r="A4" s="82"/>
      <c r="C4" s="7" t="s">
        <v>8</v>
      </c>
      <c r="D4" s="54" t="s">
        <v>95</v>
      </c>
      <c r="E4" s="83">
        <f>IFERROR(__xludf.DUMMYFUNCTION("COUNTA(SPLIT(D4,"" ""))/COUNTA(SPLIT($B$2,"" ""))"),0.2078720787207872)</f>
        <v>0.2078720787</v>
      </c>
      <c r="F4" s="7">
        <v>3.0</v>
      </c>
      <c r="G4" s="7">
        <v>5.0</v>
      </c>
      <c r="H4" s="7">
        <v>5.0</v>
      </c>
      <c r="I4" s="7">
        <v>4.0</v>
      </c>
      <c r="J4" s="7">
        <v>5.0</v>
      </c>
      <c r="K4" s="56"/>
      <c r="L4" s="56"/>
      <c r="M4" s="56"/>
      <c r="N4" s="56"/>
      <c r="O4" s="56"/>
      <c r="P4" s="56"/>
      <c r="Q4" s="56"/>
      <c r="R4" s="56"/>
      <c r="S4" s="56"/>
      <c r="T4" s="56"/>
      <c r="U4" s="56"/>
      <c r="V4" s="56"/>
      <c r="W4" s="56"/>
      <c r="X4" s="56"/>
      <c r="Y4" s="56"/>
      <c r="Z4" s="56"/>
      <c r="AA4" s="56"/>
      <c r="AB4" s="56"/>
    </row>
    <row r="5" ht="225.0" customHeight="1">
      <c r="A5" s="82"/>
      <c r="C5" s="7" t="s">
        <v>23</v>
      </c>
      <c r="D5" s="54" t="s">
        <v>96</v>
      </c>
      <c r="E5" s="84">
        <f>IFERROR(__xludf.DUMMYFUNCTION("COUNTA(SPLIT(D5,"" ""))/COUNTA(SPLIT($B$2,"" ""))"),0.15006150061500614)</f>
        <v>0.1500615006</v>
      </c>
      <c r="F5" s="7">
        <v>4.0</v>
      </c>
      <c r="G5" s="7">
        <v>5.0</v>
      </c>
      <c r="H5" s="7">
        <v>1.0</v>
      </c>
      <c r="I5" s="7">
        <v>4.0</v>
      </c>
      <c r="J5" s="7">
        <v>5.0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5" t="s">
        <v>39</v>
      </c>
      <c r="B7" s="62" t="s">
        <v>40</v>
      </c>
      <c r="C7" s="63" t="s">
        <v>21</v>
      </c>
      <c r="D7" s="64" t="s">
        <v>97</v>
      </c>
      <c r="E7" s="86">
        <f>IFERROR(__xludf.DUMMYFUNCTION("COUNTA(SPLIT(D7,"" ""))/COUNTA(SPLIT($B$7,"" ""))"),0.1552917903066271)</f>
        <v>0.1552917903</v>
      </c>
      <c r="F7" s="63">
        <v>2.0</v>
      </c>
      <c r="G7" s="63">
        <v>4.0</v>
      </c>
      <c r="H7" s="63">
        <v>5.0</v>
      </c>
      <c r="I7" s="63">
        <v>3.0</v>
      </c>
      <c r="J7" s="63">
        <v>5.0</v>
      </c>
      <c r="K7" s="66"/>
      <c r="L7" s="66"/>
      <c r="M7" s="66"/>
      <c r="N7" s="66"/>
      <c r="O7" s="66"/>
      <c r="P7" s="66"/>
      <c r="Q7" s="66"/>
      <c r="R7" s="66"/>
      <c r="S7" s="66"/>
      <c r="T7" s="66"/>
      <c r="U7" s="66"/>
      <c r="V7" s="66"/>
      <c r="W7" s="66"/>
      <c r="X7" s="66"/>
      <c r="Y7" s="66"/>
      <c r="Z7" s="66"/>
      <c r="AA7" s="66"/>
      <c r="AB7" s="66"/>
    </row>
    <row r="8" ht="225.0" customHeight="1">
      <c r="A8" s="87"/>
      <c r="C8" s="7" t="s">
        <v>22</v>
      </c>
      <c r="D8" s="54" t="s">
        <v>98</v>
      </c>
      <c r="E8" s="88">
        <f>IFERROR(__xludf.DUMMYFUNCTION("COUNTA(SPLIT(D8,"" ""))/COUNTA(SPLIT($B$7,"" ""))"),0.1543026706231454)</f>
        <v>0.1543026706</v>
      </c>
      <c r="F8" s="7">
        <v>3.0</v>
      </c>
      <c r="G8" s="7">
        <v>4.0</v>
      </c>
      <c r="H8" s="7">
        <v>5.0</v>
      </c>
      <c r="I8" s="7">
        <v>3.0</v>
      </c>
      <c r="J8" s="7">
        <v>5.0</v>
      </c>
      <c r="K8" s="56"/>
      <c r="L8" s="56"/>
      <c r="M8" s="56"/>
      <c r="N8" s="56"/>
      <c r="O8" s="56"/>
      <c r="P8" s="56"/>
      <c r="Q8" s="56"/>
      <c r="R8" s="56"/>
      <c r="S8" s="56"/>
      <c r="T8" s="56"/>
      <c r="U8" s="56"/>
      <c r="V8" s="56"/>
      <c r="W8" s="56"/>
      <c r="X8" s="56"/>
      <c r="Y8" s="56"/>
      <c r="Z8" s="56"/>
      <c r="AA8" s="56"/>
      <c r="AB8" s="56"/>
    </row>
    <row r="9" ht="225.0" customHeight="1">
      <c r="A9" s="87"/>
      <c r="C9" s="7" t="s">
        <v>8</v>
      </c>
      <c r="D9" s="54" t="s">
        <v>99</v>
      </c>
      <c r="E9" s="89">
        <f>IFERROR(__xludf.DUMMYFUNCTION("COUNTA(SPLIT(D9,"" ""))/COUNTA(SPLIT($B$7,"" ""))"),0.1543026706231454)</f>
        <v>0.1543026706</v>
      </c>
      <c r="F9" s="7">
        <v>3.0</v>
      </c>
      <c r="G9" s="7">
        <v>5.0</v>
      </c>
      <c r="H9" s="7">
        <v>5.0</v>
      </c>
      <c r="I9" s="7">
        <v>5.0</v>
      </c>
      <c r="J9" s="7">
        <v>4.0</v>
      </c>
      <c r="K9" s="56"/>
      <c r="L9" s="56"/>
      <c r="M9" s="56"/>
      <c r="N9" s="56"/>
      <c r="O9" s="56"/>
      <c r="P9" s="56"/>
      <c r="Q9" s="56"/>
      <c r="R9" s="56"/>
      <c r="S9" s="56"/>
      <c r="T9" s="56"/>
      <c r="U9" s="56"/>
      <c r="V9" s="56"/>
      <c r="W9" s="56"/>
      <c r="X9" s="56"/>
      <c r="Y9" s="56"/>
      <c r="Z9" s="56"/>
      <c r="AA9" s="56"/>
      <c r="AB9" s="56"/>
    </row>
    <row r="10" ht="225.0" customHeight="1">
      <c r="A10" s="87"/>
      <c r="C10" s="7" t="s">
        <v>23</v>
      </c>
      <c r="D10" s="54" t="s">
        <v>100</v>
      </c>
      <c r="E10" s="90">
        <f>IFERROR(__xludf.DUMMYFUNCTION("COUNTA(SPLIT(D10,"" ""))/COUNTA(SPLIT($B$7,"" ""))"),0.11275964391691394)</f>
        <v>0.1127596439</v>
      </c>
      <c r="F10" s="7">
        <v>4.0</v>
      </c>
      <c r="G10" s="7">
        <v>4.0</v>
      </c>
      <c r="H10" s="7">
        <v>5.0</v>
      </c>
      <c r="I10" s="7">
        <v>4.0</v>
      </c>
      <c r="J10" s="7">
        <v>5.0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5" t="s">
        <v>101</v>
      </c>
      <c r="B12" s="62" t="s">
        <v>46</v>
      </c>
      <c r="C12" s="63" t="s">
        <v>21</v>
      </c>
      <c r="D12" s="64" t="s">
        <v>102</v>
      </c>
      <c r="E12" s="91">
        <f>IFERROR(__xludf.DUMMYFUNCTION("COUNTA(SPLIT(D12,"" ""))/COUNTA(SPLIT($B$12,"" ""))"),0.08806146572104019)</f>
        <v>0.08806146572</v>
      </c>
      <c r="F12" s="63">
        <v>2.0</v>
      </c>
      <c r="G12" s="63">
        <v>5.0</v>
      </c>
      <c r="H12" s="63">
        <v>5.0</v>
      </c>
      <c r="I12" s="63">
        <v>4.0</v>
      </c>
      <c r="J12" s="63">
        <v>5.0</v>
      </c>
      <c r="K12" s="66"/>
      <c r="L12" s="66"/>
      <c r="M12" s="66"/>
      <c r="N12" s="66"/>
      <c r="O12" s="66"/>
      <c r="P12" s="66"/>
      <c r="Q12" s="66"/>
      <c r="R12" s="66"/>
      <c r="S12" s="66"/>
      <c r="T12" s="66"/>
      <c r="U12" s="66"/>
      <c r="V12" s="66"/>
      <c r="W12" s="66"/>
      <c r="X12" s="66"/>
      <c r="Y12" s="66"/>
      <c r="Z12" s="66"/>
      <c r="AA12" s="66"/>
      <c r="AB12" s="66"/>
    </row>
    <row r="13" ht="225.0" customHeight="1">
      <c r="A13" s="87"/>
      <c r="C13" s="7" t="s">
        <v>22</v>
      </c>
      <c r="D13" s="54" t="s">
        <v>103</v>
      </c>
      <c r="E13" s="92">
        <f>IFERROR(__xludf.DUMMYFUNCTION("COUNTA(SPLIT(D13,"" ""))/COUNTA(SPLIT($B$12,"" ""))"),0.10815602836879433)</f>
        <v>0.1081560284</v>
      </c>
      <c r="F13" s="7">
        <v>3.0</v>
      </c>
      <c r="G13" s="7">
        <v>5.0</v>
      </c>
      <c r="H13" s="7">
        <v>5.0</v>
      </c>
      <c r="I13" s="7">
        <v>4.0</v>
      </c>
      <c r="J13" s="7">
        <v>5.0</v>
      </c>
      <c r="K13" s="56"/>
      <c r="L13" s="56"/>
      <c r="M13" s="56"/>
      <c r="N13" s="56"/>
      <c r="O13" s="56"/>
      <c r="P13" s="56"/>
      <c r="Q13" s="56"/>
      <c r="R13" s="56"/>
      <c r="S13" s="56"/>
      <c r="T13" s="56"/>
      <c r="U13" s="56"/>
      <c r="V13" s="56"/>
      <c r="W13" s="56"/>
      <c r="X13" s="56"/>
      <c r="Y13" s="56"/>
      <c r="Z13" s="56"/>
      <c r="AA13" s="56"/>
      <c r="AB13" s="56"/>
    </row>
    <row r="14" ht="225.0" customHeight="1">
      <c r="A14" s="87"/>
      <c r="C14" s="7" t="s">
        <v>8</v>
      </c>
      <c r="D14" s="54" t="s">
        <v>104</v>
      </c>
      <c r="E14" s="93">
        <f>IFERROR(__xludf.DUMMYFUNCTION("COUNTA(SPLIT(D14,"" ""))/COUNTA(SPLIT($B$12,"" ""))"),0.09810874704491726)</f>
        <v>0.09810874704</v>
      </c>
      <c r="F14" s="7">
        <v>3.0</v>
      </c>
      <c r="G14" s="7">
        <v>5.0</v>
      </c>
      <c r="H14" s="7">
        <v>5.0</v>
      </c>
      <c r="I14" s="7">
        <v>5.0</v>
      </c>
      <c r="J14" s="7">
        <v>4.0</v>
      </c>
      <c r="K14" s="56"/>
      <c r="L14" s="56"/>
      <c r="M14" s="56"/>
      <c r="N14" s="56"/>
      <c r="O14" s="56"/>
      <c r="P14" s="56"/>
      <c r="Q14" s="56"/>
      <c r="R14" s="56"/>
      <c r="S14" s="56"/>
      <c r="T14" s="56"/>
      <c r="U14" s="56"/>
      <c r="V14" s="56"/>
      <c r="W14" s="56"/>
      <c r="X14" s="56"/>
      <c r="Y14" s="56"/>
      <c r="Z14" s="56"/>
      <c r="AA14" s="56"/>
      <c r="AB14" s="56"/>
    </row>
    <row r="15" ht="225.0" customHeight="1">
      <c r="A15" s="87"/>
      <c r="C15" s="7" t="s">
        <v>23</v>
      </c>
      <c r="D15" s="54" t="s">
        <v>105</v>
      </c>
      <c r="E15" s="94">
        <f>IFERROR(__xludf.DUMMYFUNCTION("COUNTA(SPLIT(D15,"" ""))/COUNTA(SPLIT($B$12,"" ""))"),0.07742316784869976)</f>
        <v>0.07742316785</v>
      </c>
      <c r="F15" s="7">
        <v>4.0</v>
      </c>
      <c r="G15" s="7">
        <v>4.0</v>
      </c>
      <c r="H15" s="7">
        <v>5.0</v>
      </c>
      <c r="I15" s="7">
        <v>5.0</v>
      </c>
      <c r="J15" s="7">
        <v>4.0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5" t="s">
        <v>51</v>
      </c>
      <c r="B17" s="62" t="s">
        <v>52</v>
      </c>
      <c r="C17" s="63" t="s">
        <v>21</v>
      </c>
      <c r="D17" s="64" t="s">
        <v>106</v>
      </c>
      <c r="E17" s="95">
        <f>IFERROR(__xludf.DUMMYFUNCTION("COUNTA(SPLIT(D17,"" ""))/COUNTA(SPLIT($B$17,"" ""))"),0.20910384068278806)</f>
        <v>0.2091038407</v>
      </c>
      <c r="F17" s="63">
        <v>3.0</v>
      </c>
      <c r="G17" s="63">
        <v>5.0</v>
      </c>
      <c r="H17" s="63">
        <v>5.0</v>
      </c>
      <c r="I17" s="63">
        <v>4.0</v>
      </c>
      <c r="J17" s="63">
        <v>5.0</v>
      </c>
      <c r="K17" s="66"/>
      <c r="L17" s="66"/>
      <c r="M17" s="66"/>
      <c r="N17" s="66"/>
      <c r="O17" s="66"/>
      <c r="P17" s="66"/>
      <c r="Q17" s="66"/>
      <c r="R17" s="66"/>
      <c r="S17" s="66"/>
      <c r="T17" s="66"/>
      <c r="U17" s="66"/>
      <c r="V17" s="66"/>
      <c r="W17" s="66"/>
      <c r="X17" s="66"/>
      <c r="Y17" s="66"/>
      <c r="Z17" s="66"/>
      <c r="AA17" s="66"/>
      <c r="AB17" s="66"/>
    </row>
    <row r="18" ht="225.0" customHeight="1">
      <c r="A18" s="87"/>
      <c r="C18" s="7" t="s">
        <v>22</v>
      </c>
      <c r="D18" s="54" t="s">
        <v>107</v>
      </c>
      <c r="E18" s="96">
        <f>IFERROR(__xludf.DUMMYFUNCTION("COUNTA(SPLIT(D18,"" ""))/COUNTA(SPLIT($B$17,"" ""))"),0.20625889046941678)</f>
        <v>0.2062588905</v>
      </c>
      <c r="F18" s="7">
        <v>3.0</v>
      </c>
      <c r="G18" s="7">
        <v>4.0</v>
      </c>
      <c r="H18" s="7">
        <v>5.0</v>
      </c>
      <c r="I18" s="7">
        <v>4.0</v>
      </c>
      <c r="J18" s="7">
        <v>5.0</v>
      </c>
      <c r="K18" s="56"/>
      <c r="L18" s="56"/>
      <c r="M18" s="56"/>
      <c r="N18" s="56"/>
      <c r="O18" s="56"/>
      <c r="P18" s="56"/>
      <c r="Q18" s="56"/>
      <c r="R18" s="56"/>
      <c r="S18" s="56"/>
      <c r="T18" s="56"/>
      <c r="U18" s="56"/>
      <c r="V18" s="56"/>
      <c r="W18" s="56"/>
      <c r="X18" s="56"/>
      <c r="Y18" s="56"/>
      <c r="Z18" s="56"/>
      <c r="AA18" s="56"/>
      <c r="AB18" s="56"/>
    </row>
    <row r="19" ht="225.0" customHeight="1">
      <c r="A19" s="87"/>
      <c r="C19" s="7" t="s">
        <v>8</v>
      </c>
      <c r="D19" s="54" t="s">
        <v>108</v>
      </c>
      <c r="E19" s="97">
        <f>IFERROR(__xludf.DUMMYFUNCTION("COUNTA(SPLIT(D19,"" ""))/COUNTA(SPLIT($B$17,"" ""))"),0.22759601706970128)</f>
        <v>0.2275960171</v>
      </c>
      <c r="F19" s="7">
        <v>2.0</v>
      </c>
      <c r="G19" s="7">
        <v>5.0</v>
      </c>
      <c r="H19" s="7">
        <v>5.0</v>
      </c>
      <c r="I19" s="7">
        <v>3.0</v>
      </c>
      <c r="J19" s="7">
        <v>5.0</v>
      </c>
      <c r="K19" s="56"/>
      <c r="L19" s="56"/>
      <c r="M19" s="56"/>
      <c r="N19" s="56"/>
      <c r="O19" s="56"/>
      <c r="P19" s="56"/>
      <c r="Q19" s="56"/>
      <c r="R19" s="56"/>
      <c r="S19" s="56"/>
      <c r="T19" s="56"/>
      <c r="U19" s="56"/>
      <c r="V19" s="56"/>
      <c r="W19" s="56"/>
      <c r="X19" s="56"/>
      <c r="Y19" s="56"/>
      <c r="Z19" s="56"/>
      <c r="AA19" s="56"/>
      <c r="AB19" s="56"/>
    </row>
    <row r="20" ht="225.0" customHeight="1">
      <c r="A20" s="87"/>
      <c r="C20" s="7" t="s">
        <v>23</v>
      </c>
      <c r="D20" s="54" t="s">
        <v>109</v>
      </c>
      <c r="E20" s="98">
        <f>IFERROR(__xludf.DUMMYFUNCTION("COUNTA(SPLIT(D20,"" ""))/COUNTA(SPLIT($B$17,"" ""))"),0.15647226173541964)</f>
        <v>0.1564722617</v>
      </c>
      <c r="F20" s="7">
        <v>3.0</v>
      </c>
      <c r="G20" s="7">
        <v>5.0</v>
      </c>
      <c r="H20" s="7">
        <v>5.0</v>
      </c>
      <c r="I20" s="7">
        <v>3.0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5" t="s">
        <v>57</v>
      </c>
      <c r="B22" s="62" t="s">
        <v>58</v>
      </c>
      <c r="C22" s="63" t="s">
        <v>21</v>
      </c>
      <c r="D22" s="64" t="s">
        <v>110</v>
      </c>
      <c r="E22" s="99">
        <f>IFERROR(__xludf.DUMMYFUNCTION("COUNTA(SPLIT(D22,"" ""))/COUNTA(SPLIT($B$22,"" ""))"),0.09719222462203024)</f>
        <v>0.09719222462</v>
      </c>
      <c r="F22" s="63">
        <v>3.0</v>
      </c>
      <c r="G22" s="63">
        <v>5.0</v>
      </c>
      <c r="H22" s="63">
        <v>5.0</v>
      </c>
      <c r="I22" s="63">
        <v>4.0</v>
      </c>
      <c r="J22" s="63">
        <v>5.0</v>
      </c>
      <c r="K22" s="66"/>
      <c r="L22" s="66"/>
      <c r="M22" s="66"/>
      <c r="N22" s="66"/>
      <c r="O22" s="66"/>
      <c r="P22" s="66"/>
      <c r="Q22" s="66"/>
      <c r="R22" s="66"/>
      <c r="S22" s="66"/>
      <c r="T22" s="66"/>
      <c r="U22" s="66"/>
      <c r="V22" s="66"/>
      <c r="W22" s="66"/>
      <c r="X22" s="66"/>
      <c r="Y22" s="66"/>
      <c r="Z22" s="66"/>
      <c r="AA22" s="66"/>
      <c r="AB22" s="66"/>
    </row>
    <row r="23" ht="225.0" customHeight="1">
      <c r="A23" s="87"/>
      <c r="C23" s="7" t="s">
        <v>22</v>
      </c>
      <c r="D23" s="54" t="s">
        <v>111</v>
      </c>
      <c r="E23" s="100">
        <f>IFERROR(__xludf.DUMMYFUNCTION("COUNTA(SPLIT(D23,"" ""))/COUNTA(SPLIT($B$22,"" ""))"),0.06551475881929446)</f>
        <v>0.06551475882</v>
      </c>
      <c r="F23" s="7">
        <v>4.0</v>
      </c>
      <c r="G23" s="7">
        <v>5.0</v>
      </c>
      <c r="H23" s="7">
        <v>5.0</v>
      </c>
      <c r="I23" s="7">
        <v>4.0</v>
      </c>
      <c r="J23" s="7">
        <v>5.0</v>
      </c>
      <c r="K23" s="56"/>
      <c r="L23" s="56"/>
      <c r="M23" s="56"/>
      <c r="N23" s="56"/>
      <c r="O23" s="56"/>
      <c r="P23" s="56"/>
      <c r="Q23" s="56"/>
      <c r="R23" s="56"/>
      <c r="S23" s="56"/>
      <c r="T23" s="56"/>
      <c r="U23" s="56"/>
      <c r="V23" s="56"/>
      <c r="W23" s="56"/>
      <c r="X23" s="56"/>
      <c r="Y23" s="56"/>
      <c r="Z23" s="56"/>
      <c r="AA23" s="56"/>
      <c r="AB23" s="56"/>
    </row>
    <row r="24" ht="225.0" customHeight="1">
      <c r="A24" s="87"/>
      <c r="C24" s="7" t="s">
        <v>8</v>
      </c>
      <c r="D24" s="54" t="s">
        <v>112</v>
      </c>
      <c r="E24" s="101">
        <f>IFERROR(__xludf.DUMMYFUNCTION("COUNTA(SPLIT(D24,"" ""))/COUNTA(SPLIT($B$22,"" ""))"),0.10871130309575235)</f>
        <v>0.1087113031</v>
      </c>
      <c r="F24" s="7">
        <v>3.0</v>
      </c>
      <c r="G24" s="7">
        <v>4.0</v>
      </c>
      <c r="H24" s="7">
        <v>5.0</v>
      </c>
      <c r="I24" s="7">
        <v>4.0</v>
      </c>
      <c r="J24" s="7">
        <v>4.0</v>
      </c>
      <c r="K24" s="56"/>
      <c r="L24" s="56"/>
      <c r="M24" s="56"/>
      <c r="N24" s="56"/>
      <c r="O24" s="56"/>
      <c r="P24" s="56"/>
      <c r="Q24" s="56"/>
      <c r="R24" s="56"/>
      <c r="S24" s="56"/>
      <c r="T24" s="56"/>
      <c r="U24" s="56"/>
      <c r="V24" s="56"/>
      <c r="W24" s="56"/>
      <c r="X24" s="56"/>
      <c r="Y24" s="56"/>
      <c r="Z24" s="56"/>
      <c r="AA24" s="56"/>
      <c r="AB24" s="56"/>
    </row>
    <row r="25" ht="225.0" customHeight="1">
      <c r="A25" s="87"/>
      <c r="C25" s="7" t="s">
        <v>23</v>
      </c>
      <c r="D25" s="54" t="s">
        <v>113</v>
      </c>
      <c r="E25" s="102">
        <f>IFERROR(__xludf.DUMMYFUNCTION("COUNTA(SPLIT(D25,"" ""))/COUNTA(SPLIT($B$22,"" ""))"),0.07991360691144708)</f>
        <v>0.07991360691</v>
      </c>
      <c r="F25" s="7">
        <v>3.0</v>
      </c>
      <c r="G25" s="7">
        <v>5.0</v>
      </c>
      <c r="H25" s="7">
        <v>5.0</v>
      </c>
      <c r="I25" s="7">
        <v>3.0</v>
      </c>
      <c r="J25" s="7">
        <v>4.0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103" t="s">
        <v>114</v>
      </c>
      <c r="E27" s="104">
        <f>IFERROR(__xludf.DUMMYFUNCTION("COUNTA(SPLIT(D27,"" ""))/COUNTA(SPLIT($B$27,"" ""))"),0.26396917148362237)</f>
        <v>0.2639691715</v>
      </c>
      <c r="F27" s="63">
        <v>3.0</v>
      </c>
      <c r="G27" s="63">
        <v>5.0</v>
      </c>
      <c r="H27" s="63">
        <v>5.0</v>
      </c>
      <c r="I27" s="63">
        <v>3.0</v>
      </c>
      <c r="J27" s="63">
        <v>5.0</v>
      </c>
      <c r="K27" s="66"/>
      <c r="L27" s="66"/>
      <c r="M27" s="66"/>
      <c r="N27" s="66"/>
      <c r="O27" s="66"/>
      <c r="P27" s="66"/>
      <c r="Q27" s="66"/>
      <c r="R27" s="66"/>
      <c r="S27" s="66"/>
      <c r="T27" s="66"/>
      <c r="U27" s="66"/>
      <c r="V27" s="66"/>
      <c r="W27" s="66"/>
      <c r="X27" s="66"/>
      <c r="Y27" s="66"/>
      <c r="Z27" s="66"/>
      <c r="AA27" s="66"/>
      <c r="AB27" s="66"/>
    </row>
    <row r="28" ht="225.0" customHeight="1">
      <c r="C28" s="7" t="s">
        <v>22</v>
      </c>
      <c r="D28" s="54" t="s">
        <v>115</v>
      </c>
      <c r="E28" s="105">
        <f>IFERROR(__xludf.DUMMYFUNCTION("COUNTA(SPLIT(D28,"" ""))/COUNTA(SPLIT($B$27,"" ""))"),0.20616570327552985)</f>
        <v>0.2061657033</v>
      </c>
      <c r="F28" s="7">
        <v>4.0</v>
      </c>
      <c r="G28" s="7">
        <v>5.0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116</v>
      </c>
      <c r="E29" s="98">
        <f>IFERROR(__xludf.DUMMYFUNCTION("COUNTA(SPLIT(D29,"" ""))/COUNTA(SPLIT($B$27,"" ""))"),0.26396917148362237)</f>
        <v>0.2639691715</v>
      </c>
      <c r="F29" s="7">
        <v>3.0</v>
      </c>
      <c r="G29" s="7">
        <v>4.0</v>
      </c>
      <c r="H29" s="7">
        <v>5.0</v>
      </c>
      <c r="I29" s="7">
        <v>3.0</v>
      </c>
      <c r="J29" s="7">
        <v>4.0</v>
      </c>
      <c r="K29" s="56"/>
      <c r="L29" s="56"/>
      <c r="M29" s="56"/>
      <c r="N29" s="56"/>
      <c r="O29" s="56"/>
      <c r="P29" s="56"/>
      <c r="Q29" s="56"/>
      <c r="R29" s="56"/>
      <c r="S29" s="56"/>
      <c r="T29" s="56"/>
      <c r="U29" s="56"/>
      <c r="V29" s="56"/>
      <c r="W29" s="56"/>
      <c r="X29" s="56"/>
      <c r="Y29" s="56"/>
      <c r="Z29" s="56"/>
      <c r="AA29" s="56"/>
      <c r="AB29" s="56"/>
    </row>
    <row r="30" ht="225.0" customHeight="1">
      <c r="C30" s="7" t="s">
        <v>23</v>
      </c>
      <c r="D30" s="54" t="s">
        <v>117</v>
      </c>
      <c r="E30" s="106">
        <f>IFERROR(__xludf.DUMMYFUNCTION("COUNTA(SPLIT(D30,"" ""))/COUNTA(SPLIT($B$27,"" ""))"),0.15028901734104047)</f>
        <v>0.1502890173</v>
      </c>
      <c r="F30" s="7">
        <v>4.0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118</v>
      </c>
      <c r="C32" s="63" t="s">
        <v>21</v>
      </c>
      <c r="D32" s="64" t="s">
        <v>119</v>
      </c>
      <c r="E32" s="76">
        <f>IFERROR(__xludf.DUMMYFUNCTION("COUNTA(SPLIT(D32,"" ""))/COUNTA(SPLIT($B$32,"" ""))"),0.41081081081081083)</f>
        <v>0.4108108108</v>
      </c>
      <c r="F32" s="63">
        <v>4.0</v>
      </c>
      <c r="G32" s="63">
        <v>5.0</v>
      </c>
      <c r="H32" s="63">
        <v>5.0</v>
      </c>
      <c r="I32" s="63">
        <v>4.0</v>
      </c>
      <c r="J32" s="63">
        <v>5.0</v>
      </c>
      <c r="K32" s="66"/>
      <c r="L32" s="66"/>
      <c r="M32" s="66"/>
      <c r="N32" s="66"/>
      <c r="O32" s="66"/>
      <c r="P32" s="66"/>
      <c r="Q32" s="66"/>
      <c r="R32" s="66"/>
      <c r="S32" s="66"/>
      <c r="T32" s="66"/>
      <c r="U32" s="66"/>
      <c r="V32" s="66"/>
      <c r="W32" s="66"/>
      <c r="X32" s="66"/>
      <c r="Y32" s="66"/>
      <c r="Z32" s="66"/>
      <c r="AA32" s="66"/>
      <c r="AB32" s="66"/>
    </row>
    <row r="33" ht="225.0" customHeight="1">
      <c r="C33" s="7" t="s">
        <v>22</v>
      </c>
      <c r="D33" s="107" t="s">
        <v>120</v>
      </c>
      <c r="E33" s="108">
        <f>IFERROR(__xludf.DUMMYFUNCTION("COUNTA(SPLIT(D33,"" ""))/COUNTA(SPLIT($B$32,"" ""))"),0.4702702702702703)</f>
        <v>0.4702702703</v>
      </c>
      <c r="F33" s="7">
        <v>4.0</v>
      </c>
      <c r="G33" s="7">
        <v>5.0</v>
      </c>
      <c r="H33" s="7">
        <v>5.0</v>
      </c>
      <c r="I33" s="7">
        <v>4.0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54" t="s">
        <v>121</v>
      </c>
      <c r="E34" s="109">
        <f>IFERROR(__xludf.DUMMYFUNCTION("COUNTA(SPLIT(D34,"" ""))/COUNTA(SPLIT($B$32,"" ""))"),0.7513513513513513)</f>
        <v>0.7513513514</v>
      </c>
      <c r="F34" s="7">
        <v>3.0</v>
      </c>
      <c r="G34" s="7">
        <v>5.0</v>
      </c>
      <c r="H34" s="7">
        <v>5.0</v>
      </c>
      <c r="I34" s="7">
        <v>3.0</v>
      </c>
      <c r="J34" s="7">
        <v>5.0</v>
      </c>
      <c r="K34" s="56"/>
      <c r="L34" s="56"/>
      <c r="M34" s="56"/>
      <c r="N34" s="56"/>
      <c r="O34" s="56"/>
      <c r="P34" s="56"/>
      <c r="Q34" s="56"/>
      <c r="R34" s="56"/>
      <c r="S34" s="56"/>
      <c r="T34" s="56"/>
      <c r="U34" s="56"/>
      <c r="V34" s="56"/>
      <c r="W34" s="56"/>
      <c r="X34" s="56"/>
      <c r="Y34" s="56"/>
      <c r="Z34" s="56"/>
      <c r="AA34" s="56"/>
      <c r="AB34" s="56"/>
    </row>
    <row r="35" ht="225.0" customHeight="1">
      <c r="C35" s="7" t="s">
        <v>23</v>
      </c>
      <c r="D35" s="54" t="s">
        <v>122</v>
      </c>
      <c r="E35" s="72">
        <f>IFERROR(__xludf.DUMMYFUNCTION("COUNTA(SPLIT(D35,"" ""))/COUNTA(SPLIT($B$32,"" ""))"),0.372972972972973)</f>
        <v>0.372972973</v>
      </c>
      <c r="F35" s="7">
        <v>4.0</v>
      </c>
      <c r="G35" s="7">
        <v>5.0</v>
      </c>
      <c r="H35" s="7">
        <v>5.0</v>
      </c>
      <c r="I35" s="7">
        <v>4.0</v>
      </c>
      <c r="J35" s="7">
        <v>5.0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123</v>
      </c>
      <c r="E37" s="81">
        <f>IFERROR(__xludf.DUMMYFUNCTION("COUNTA(SPLIT(D37,"" ""))/COUNTA(SPLIT($B$37,"" ""))"),0.12516297262059975)</f>
        <v>0.1251629726</v>
      </c>
      <c r="F37" s="63">
        <v>2.0</v>
      </c>
      <c r="G37" s="63">
        <v>4.0</v>
      </c>
      <c r="H37" s="63">
        <v>5.0</v>
      </c>
      <c r="I37" s="63">
        <v>4.0</v>
      </c>
      <c r="J37" s="63">
        <v>5.0</v>
      </c>
      <c r="K37" s="66"/>
      <c r="L37" s="66"/>
      <c r="M37" s="66"/>
      <c r="N37" s="66"/>
      <c r="O37" s="66"/>
      <c r="P37" s="66"/>
      <c r="Q37" s="66"/>
      <c r="R37" s="66"/>
      <c r="S37" s="66"/>
      <c r="T37" s="66"/>
      <c r="U37" s="66"/>
      <c r="V37" s="66"/>
      <c r="W37" s="66"/>
      <c r="X37" s="66"/>
      <c r="Y37" s="66"/>
      <c r="Z37" s="66"/>
      <c r="AA37" s="66"/>
      <c r="AB37" s="66"/>
    </row>
    <row r="38" ht="225.0" customHeight="1">
      <c r="C38" s="7" t="s">
        <v>22</v>
      </c>
      <c r="D38" s="54" t="s">
        <v>124</v>
      </c>
      <c r="E38" s="110">
        <f>IFERROR(__xludf.DUMMYFUNCTION("COUNTA(SPLIT(D38,"" ""))/COUNTA(SPLIT($B$37,"" ""))"),0.1290743155149935)</f>
        <v>0.1290743155</v>
      </c>
      <c r="F38" s="7">
        <v>3.0</v>
      </c>
      <c r="G38" s="7">
        <v>4.0</v>
      </c>
      <c r="H38" s="7">
        <v>5.0</v>
      </c>
      <c r="I38" s="7">
        <v>4.0</v>
      </c>
      <c r="J38" s="7">
        <v>4.0</v>
      </c>
      <c r="K38" s="56"/>
      <c r="L38" s="56"/>
      <c r="M38" s="56"/>
      <c r="N38" s="56"/>
      <c r="O38" s="56"/>
      <c r="P38" s="56"/>
      <c r="Q38" s="56"/>
      <c r="R38" s="56"/>
      <c r="S38" s="56"/>
      <c r="T38" s="56"/>
      <c r="U38" s="56"/>
      <c r="V38" s="56"/>
      <c r="W38" s="56"/>
      <c r="X38" s="56"/>
      <c r="Y38" s="56"/>
      <c r="Z38" s="56"/>
      <c r="AA38" s="56"/>
      <c r="AB38" s="56"/>
    </row>
    <row r="39" ht="225.0" customHeight="1">
      <c r="C39" s="7" t="s">
        <v>8</v>
      </c>
      <c r="D39" s="54" t="s">
        <v>125</v>
      </c>
      <c r="E39" s="94">
        <f>IFERROR(__xludf.DUMMYFUNCTION("COUNTA(SPLIT(D39,"" ""))/COUNTA(SPLIT($B$37,"" ""))"),0.1577574967405476)</f>
        <v>0.1577574967</v>
      </c>
      <c r="F39" s="7">
        <v>3.0</v>
      </c>
      <c r="G39" s="7">
        <v>3.0</v>
      </c>
      <c r="H39" s="7">
        <v>5.0</v>
      </c>
      <c r="I39" s="7">
        <v>4.0</v>
      </c>
      <c r="J39" s="7">
        <v>4.0</v>
      </c>
      <c r="K39" s="56"/>
      <c r="L39" s="56"/>
      <c r="M39" s="56"/>
      <c r="N39" s="56"/>
      <c r="O39" s="56"/>
      <c r="P39" s="56"/>
      <c r="Q39" s="56"/>
      <c r="R39" s="56"/>
      <c r="S39" s="56"/>
      <c r="T39" s="56"/>
      <c r="U39" s="56"/>
      <c r="V39" s="56"/>
      <c r="W39" s="56"/>
      <c r="X39" s="56"/>
      <c r="Y39" s="56"/>
      <c r="Z39" s="56"/>
      <c r="AA39" s="56"/>
      <c r="AB39" s="56"/>
    </row>
    <row r="40" ht="225.0" customHeight="1">
      <c r="C40" s="7" t="s">
        <v>23</v>
      </c>
      <c r="D40" s="54" t="s">
        <v>126</v>
      </c>
      <c r="E40" s="84">
        <f>IFERROR(__xludf.DUMMYFUNCTION("COUNTA(SPLIT(D40,"" ""))/COUNTA(SPLIT($B$37,"" ""))"),0.14341590612777053)</f>
        <v>0.1434159061</v>
      </c>
      <c r="F40" s="7">
        <v>3.0</v>
      </c>
      <c r="G40" s="7">
        <v>5.0</v>
      </c>
      <c r="H40" s="7">
        <v>1.0</v>
      </c>
      <c r="I40" s="7">
        <v>4.0</v>
      </c>
      <c r="J40" s="7">
        <v>5.0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127</v>
      </c>
      <c r="E42" s="111">
        <f>IFERROR(__xludf.DUMMYFUNCTION("COUNTA(SPLIT(D42,"" ""))/COUNTA(SPLIT($B$42,"" ""))"),0.18513323983169705)</f>
        <v>0.1851332398</v>
      </c>
      <c r="F42" s="63">
        <v>3.0</v>
      </c>
      <c r="G42" s="63">
        <v>4.0</v>
      </c>
      <c r="H42" s="63">
        <v>5.0</v>
      </c>
      <c r="I42" s="63">
        <v>4.0</v>
      </c>
      <c r="J42" s="63">
        <v>5.0</v>
      </c>
      <c r="K42" s="66"/>
      <c r="L42" s="66"/>
      <c r="M42" s="66"/>
      <c r="N42" s="66"/>
      <c r="O42" s="66"/>
      <c r="P42" s="66"/>
      <c r="Q42" s="66"/>
      <c r="R42" s="66"/>
      <c r="S42" s="66"/>
      <c r="T42" s="66"/>
      <c r="U42" s="66"/>
      <c r="V42" s="66"/>
      <c r="W42" s="66"/>
      <c r="X42" s="66"/>
      <c r="Y42" s="66"/>
      <c r="Z42" s="66"/>
      <c r="AA42" s="66"/>
      <c r="AB42" s="66"/>
    </row>
    <row r="43" ht="225.0" customHeight="1">
      <c r="C43" s="7" t="s">
        <v>22</v>
      </c>
      <c r="D43" s="54" t="s">
        <v>128</v>
      </c>
      <c r="E43" s="81">
        <f>IFERROR(__xludf.DUMMYFUNCTION("COUNTA(SPLIT(D43,"" ""))/COUNTA(SPLIT($B$42,"" ""))"),0.1879382889200561)</f>
        <v>0.1879382889</v>
      </c>
      <c r="F43" s="7">
        <v>3.0</v>
      </c>
      <c r="G43" s="7">
        <v>5.0</v>
      </c>
      <c r="H43" s="7">
        <v>5.0</v>
      </c>
      <c r="I43" s="7">
        <v>4.0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54" t="s">
        <v>129</v>
      </c>
      <c r="E44" s="112">
        <f>IFERROR(__xludf.DUMMYFUNCTION("COUNTA(SPLIT(D44,"" ""))/COUNTA(SPLIT($B$42,"" ""))"),0.19635343618513323)</f>
        <v>0.1963534362</v>
      </c>
      <c r="F44" s="7">
        <v>3.0</v>
      </c>
      <c r="G44" s="7">
        <v>5.0</v>
      </c>
      <c r="H44" s="7">
        <v>5.0</v>
      </c>
      <c r="I44" s="7">
        <v>4.0</v>
      </c>
      <c r="J44" s="7">
        <v>5.0</v>
      </c>
      <c r="K44" s="56"/>
      <c r="L44" s="56"/>
      <c r="M44" s="56"/>
      <c r="N44" s="56"/>
      <c r="O44" s="56"/>
      <c r="P44" s="56"/>
      <c r="Q44" s="56"/>
      <c r="R44" s="56"/>
      <c r="S44" s="56"/>
      <c r="T44" s="56"/>
      <c r="U44" s="56"/>
      <c r="V44" s="56"/>
      <c r="W44" s="56"/>
      <c r="X44" s="56"/>
      <c r="Y44" s="56"/>
      <c r="Z44" s="56"/>
      <c r="AA44" s="56"/>
      <c r="AB44" s="56"/>
    </row>
    <row r="45" ht="225.0" customHeight="1">
      <c r="C45" s="7" t="s">
        <v>23</v>
      </c>
      <c r="D45" s="54" t="s">
        <v>130</v>
      </c>
      <c r="E45" s="106">
        <f>IFERROR(__xludf.DUMMYFUNCTION("COUNTA(SPLIT(D45,"" ""))/COUNTA(SPLIT($B$42,"" ""))"),0.14866760168302945)</f>
        <v>0.1486676017</v>
      </c>
      <c r="F45" s="7">
        <v>3.0</v>
      </c>
      <c r="G45" s="7">
        <v>4.0</v>
      </c>
      <c r="H45" s="7">
        <v>5.0</v>
      </c>
      <c r="I45" s="7">
        <v>4.0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131</v>
      </c>
      <c r="C47" s="63" t="s">
        <v>21</v>
      </c>
      <c r="D47" s="64" t="s">
        <v>132</v>
      </c>
      <c r="E47" s="113">
        <f>IFERROR(__xludf.DUMMYFUNCTION("COUNTA(SPLIT(D47,"" ""))/COUNTA(SPLIT($B$47,"" ""))"),0.11315956770502225)</f>
        <v>0.1131595677</v>
      </c>
      <c r="F47" s="63">
        <v>2.0</v>
      </c>
      <c r="G47" s="63">
        <v>5.0</v>
      </c>
      <c r="H47" s="63">
        <v>5.0</v>
      </c>
      <c r="I47" s="63">
        <v>4.0</v>
      </c>
      <c r="J47" s="63">
        <v>5.0</v>
      </c>
      <c r="K47" s="66"/>
      <c r="L47" s="66"/>
      <c r="M47" s="66"/>
      <c r="N47" s="66"/>
      <c r="O47" s="66"/>
      <c r="P47" s="66"/>
      <c r="Q47" s="66"/>
      <c r="R47" s="66"/>
      <c r="S47" s="66"/>
      <c r="T47" s="66"/>
      <c r="U47" s="66"/>
      <c r="V47" s="66"/>
      <c r="W47" s="66"/>
      <c r="X47" s="66"/>
      <c r="Y47" s="66"/>
      <c r="Z47" s="66"/>
      <c r="AA47" s="66"/>
      <c r="AB47" s="66"/>
    </row>
    <row r="48" ht="225.0" customHeight="1">
      <c r="C48" s="7" t="s">
        <v>22</v>
      </c>
      <c r="D48" s="54" t="s">
        <v>133</v>
      </c>
      <c r="E48" s="114">
        <f>IFERROR(__xludf.DUMMYFUNCTION("COUNTA(SPLIT(D48,"" ""))/COUNTA(SPLIT($B$47,"" ""))"),0.09980928162746344)</f>
        <v>0.09980928163</v>
      </c>
      <c r="F48" s="7">
        <v>2.0</v>
      </c>
      <c r="G48" s="7">
        <v>5.0</v>
      </c>
      <c r="H48" s="7">
        <v>5.0</v>
      </c>
      <c r="I48" s="7">
        <v>4.0</v>
      </c>
      <c r="J48" s="7">
        <v>5.0</v>
      </c>
      <c r="K48" s="56"/>
      <c r="L48" s="56"/>
      <c r="M48" s="56"/>
      <c r="N48" s="56"/>
      <c r="O48" s="56"/>
      <c r="P48" s="56"/>
      <c r="Q48" s="56"/>
      <c r="R48" s="56"/>
      <c r="S48" s="56"/>
      <c r="T48" s="56"/>
      <c r="U48" s="56"/>
      <c r="V48" s="56"/>
      <c r="W48" s="56"/>
      <c r="X48" s="56"/>
      <c r="Y48" s="56"/>
      <c r="Z48" s="56"/>
      <c r="AA48" s="56"/>
      <c r="AB48" s="56"/>
    </row>
    <row r="49" ht="225.0" customHeight="1">
      <c r="C49" s="7" t="s">
        <v>8</v>
      </c>
      <c r="D49" s="54" t="s">
        <v>134</v>
      </c>
      <c r="E49" s="115">
        <f>IFERROR(__xludf.DUMMYFUNCTION("COUNTA(SPLIT(D49,"" ""))/COUNTA(SPLIT($B$47,"" ""))"),0.1048951048951049)</f>
        <v>0.1048951049</v>
      </c>
      <c r="F49" s="7">
        <v>2.0</v>
      </c>
      <c r="G49" s="7">
        <v>5.0</v>
      </c>
      <c r="H49" s="7">
        <v>5.0</v>
      </c>
      <c r="I49" s="7">
        <v>4.0</v>
      </c>
      <c r="J49" s="7">
        <v>5.0</v>
      </c>
      <c r="K49" s="56"/>
      <c r="L49" s="56"/>
      <c r="M49" s="56"/>
      <c r="N49" s="56"/>
      <c r="O49" s="56"/>
      <c r="P49" s="56"/>
      <c r="Q49" s="56"/>
      <c r="R49" s="56"/>
      <c r="S49" s="56"/>
      <c r="T49" s="56"/>
      <c r="U49" s="56"/>
      <c r="V49" s="56"/>
      <c r="W49" s="56"/>
      <c r="X49" s="56"/>
      <c r="Y49" s="56"/>
      <c r="Z49" s="56"/>
      <c r="AA49" s="56"/>
      <c r="AB49" s="56"/>
    </row>
    <row r="50" ht="225.0" customHeight="1">
      <c r="C50" s="7" t="s">
        <v>23</v>
      </c>
      <c r="D50" s="54" t="s">
        <v>135</v>
      </c>
      <c r="E50" s="116">
        <f>IFERROR(__xludf.DUMMYFUNCTION("COUNTA(SPLIT(D50,"" ""))/COUNTA(SPLIT($B$47,"" ""))"),0.06993006993006994)</f>
        <v>0.06993006993</v>
      </c>
      <c r="F50" s="7">
        <v>3.0</v>
      </c>
      <c r="G50" s="7">
        <v>5.0</v>
      </c>
      <c r="H50" s="7">
        <v>5.0</v>
      </c>
      <c r="I50" s="7">
        <v>4.0</v>
      </c>
      <c r="J50" s="7">
        <v>5.0</v>
      </c>
      <c r="K50" s="56"/>
      <c r="L50" s="56"/>
      <c r="M50" s="56"/>
      <c r="N50" s="56"/>
      <c r="O50" s="56"/>
      <c r="P50" s="56"/>
      <c r="Q50" s="56"/>
      <c r="R50" s="56"/>
      <c r="S50" s="56"/>
      <c r="T50" s="56"/>
      <c r="U50" s="56"/>
      <c r="V50" s="56"/>
      <c r="W50" s="56"/>
      <c r="X50" s="56"/>
      <c r="Y50" s="56"/>
      <c r="Z50" s="56"/>
      <c r="AA50" s="56"/>
      <c r="AB50" s="56"/>
    </row>
    <row r="51">
      <c r="A51" s="56"/>
      <c r="B51" s="56"/>
      <c r="C51" s="58"/>
      <c r="D51" s="59"/>
      <c r="E51" s="79"/>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9"/>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9"/>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9"/>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9"/>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9"/>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9"/>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9"/>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9"/>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9"/>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9"/>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9"/>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9"/>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9"/>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9"/>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9"/>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9"/>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9"/>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9"/>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9"/>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9"/>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9"/>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9"/>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9"/>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9"/>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9"/>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9"/>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9"/>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9"/>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9"/>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9"/>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9"/>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9"/>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9"/>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9"/>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9"/>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9"/>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9"/>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9"/>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9"/>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9"/>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9"/>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9"/>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9"/>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9"/>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9"/>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9"/>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9"/>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9"/>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9"/>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9"/>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9"/>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9"/>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9"/>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9"/>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9"/>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9"/>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9"/>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9"/>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9"/>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9"/>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9"/>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9"/>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9"/>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9"/>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9"/>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9"/>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9"/>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9"/>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9"/>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9"/>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9"/>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9"/>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9"/>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9"/>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9"/>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9"/>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9"/>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9"/>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9"/>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9"/>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9"/>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9"/>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9"/>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9"/>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9"/>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9"/>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9"/>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9"/>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9"/>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9"/>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9"/>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9"/>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9"/>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9"/>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9"/>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9"/>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9"/>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9"/>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9"/>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9"/>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9"/>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9"/>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9"/>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9"/>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9"/>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9"/>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9"/>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9"/>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9"/>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9"/>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9"/>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9"/>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9"/>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9"/>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9"/>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9"/>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9"/>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9"/>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9"/>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9"/>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9"/>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9"/>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9"/>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9"/>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9"/>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9"/>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9"/>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9"/>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9"/>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9"/>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9"/>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9"/>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9"/>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9"/>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9"/>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9"/>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9"/>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9"/>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9"/>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9"/>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9"/>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9"/>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9"/>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9"/>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9"/>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9"/>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9"/>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9"/>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9"/>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9"/>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9"/>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9"/>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9"/>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9"/>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9"/>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9"/>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9"/>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9"/>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9"/>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9"/>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9"/>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9"/>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9"/>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9"/>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9"/>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9"/>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9"/>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9"/>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9"/>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9"/>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9"/>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9"/>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9"/>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9"/>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9"/>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9"/>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9"/>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9"/>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9"/>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9"/>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9"/>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9"/>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9"/>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9"/>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9"/>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9"/>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9"/>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9"/>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9"/>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9"/>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9"/>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9"/>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9"/>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9"/>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9"/>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9"/>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9"/>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9"/>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9"/>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9"/>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9"/>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9"/>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9"/>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9"/>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9"/>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9"/>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9"/>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9"/>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9"/>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9"/>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9"/>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9"/>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9"/>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9"/>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9"/>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9"/>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9"/>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9"/>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9"/>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9"/>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9"/>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9"/>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9"/>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9"/>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9"/>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9"/>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9"/>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9"/>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9"/>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9"/>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9"/>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9"/>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9"/>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9"/>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9"/>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9"/>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9"/>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9"/>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9"/>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9"/>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9"/>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9"/>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9"/>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9"/>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9"/>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9"/>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9"/>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9"/>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9"/>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9"/>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9"/>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9"/>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9"/>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9"/>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9"/>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9"/>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9"/>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9"/>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9"/>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9"/>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9"/>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9"/>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9"/>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9"/>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9"/>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9"/>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9"/>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9"/>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9"/>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9"/>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9"/>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9"/>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9"/>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9"/>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9"/>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9"/>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9"/>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9"/>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9"/>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9"/>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9"/>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9"/>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9"/>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9"/>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9"/>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9"/>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9"/>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9"/>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9"/>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9"/>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9"/>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9"/>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9"/>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9"/>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9"/>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9"/>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9"/>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9"/>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9"/>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9"/>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9"/>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9"/>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9"/>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9"/>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9"/>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9"/>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9"/>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9"/>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9"/>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9"/>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9"/>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9"/>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9"/>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9"/>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9"/>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9"/>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9"/>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9"/>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9"/>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9"/>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9"/>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9"/>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9"/>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9"/>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9"/>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9"/>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9"/>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9"/>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9"/>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9"/>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9"/>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9"/>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9"/>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9"/>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9"/>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9"/>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9"/>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9"/>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9"/>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9"/>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9"/>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9"/>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9"/>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9"/>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9"/>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9"/>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9"/>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9"/>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9"/>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9"/>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9"/>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9"/>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9"/>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9"/>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9"/>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9"/>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9"/>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9"/>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9"/>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9"/>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9"/>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9"/>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9"/>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9"/>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9"/>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9"/>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9"/>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9"/>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9"/>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9"/>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9"/>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9"/>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9"/>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9"/>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9"/>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9"/>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9"/>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9"/>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9"/>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9"/>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9"/>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9"/>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9"/>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9"/>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9"/>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9"/>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9"/>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9"/>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9"/>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9"/>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9"/>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9"/>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9"/>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9"/>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9"/>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9"/>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9"/>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9"/>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9"/>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9"/>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9"/>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9"/>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9"/>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9"/>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9"/>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9"/>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9"/>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9"/>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9"/>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9"/>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9"/>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9"/>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9"/>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9"/>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9"/>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9"/>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9"/>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9"/>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9"/>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9"/>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9"/>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9"/>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9"/>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9"/>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9"/>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9"/>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9"/>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9"/>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9"/>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9"/>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9"/>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9"/>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9"/>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9"/>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9"/>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9"/>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9"/>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9"/>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9"/>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9"/>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9"/>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9"/>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9"/>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9"/>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9"/>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9"/>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9"/>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9"/>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9"/>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9"/>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9"/>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9"/>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9"/>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9"/>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9"/>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9"/>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9"/>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9"/>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9"/>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9"/>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9"/>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9"/>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9"/>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9"/>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9"/>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9"/>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9"/>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9"/>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9"/>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9"/>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9"/>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9"/>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9"/>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9"/>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9"/>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9"/>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9"/>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9"/>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9"/>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9"/>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9"/>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9"/>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9"/>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9"/>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9"/>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9"/>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9"/>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9"/>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9"/>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9"/>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9"/>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9"/>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9"/>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9"/>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9"/>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9"/>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9"/>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9"/>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9"/>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9"/>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9"/>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9"/>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9"/>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9"/>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9"/>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9"/>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9"/>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9"/>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9"/>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9"/>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9"/>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9"/>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9"/>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9"/>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9"/>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9"/>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9"/>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9"/>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9"/>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9"/>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9"/>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9"/>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9"/>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9"/>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9"/>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9"/>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9"/>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9"/>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9"/>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9"/>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9"/>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9"/>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9"/>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9"/>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9"/>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9"/>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9"/>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9"/>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9"/>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9"/>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9"/>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9"/>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9"/>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9"/>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9"/>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9"/>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9"/>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9"/>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9"/>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9"/>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9"/>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9"/>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9"/>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9"/>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9"/>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9"/>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9"/>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9"/>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9"/>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9"/>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9"/>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9"/>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9"/>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9"/>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9"/>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9"/>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9"/>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9"/>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9"/>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9"/>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9"/>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9"/>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9"/>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9"/>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9"/>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9"/>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9"/>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9"/>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9"/>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9"/>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9"/>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9"/>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9"/>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9"/>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9"/>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9"/>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9"/>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9"/>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9"/>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9"/>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9"/>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9"/>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9"/>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9"/>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9"/>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9"/>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9"/>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9"/>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9"/>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9"/>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9"/>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9"/>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9"/>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9"/>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9"/>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9"/>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9"/>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9"/>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9"/>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9"/>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9"/>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9"/>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9"/>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9"/>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9"/>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9"/>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9"/>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9"/>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9"/>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9"/>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9"/>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9"/>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9"/>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9"/>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9"/>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9"/>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9"/>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9"/>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9"/>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9"/>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9"/>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9"/>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9"/>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9"/>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9"/>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9"/>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9"/>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9"/>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9"/>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9"/>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9"/>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9"/>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9"/>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9"/>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9"/>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9"/>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9"/>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9"/>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9"/>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9"/>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9"/>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9"/>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9"/>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9"/>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9"/>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9"/>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9"/>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9"/>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9"/>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9"/>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9"/>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9"/>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9"/>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9"/>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9"/>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9"/>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9"/>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9"/>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9"/>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9"/>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9"/>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9"/>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9"/>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9"/>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9"/>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9"/>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9"/>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9"/>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9"/>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9"/>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9"/>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9"/>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9"/>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9"/>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9"/>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9"/>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9"/>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9"/>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9"/>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9"/>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9"/>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9"/>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9"/>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9"/>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9"/>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9"/>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9"/>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9"/>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9"/>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9"/>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9"/>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9"/>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9"/>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9"/>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9"/>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9"/>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9"/>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9"/>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9"/>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9"/>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9"/>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9"/>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9"/>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9"/>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9"/>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9"/>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9"/>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9"/>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9"/>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9"/>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9"/>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9"/>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9"/>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9"/>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9"/>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9"/>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9"/>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9"/>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9"/>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9"/>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9"/>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9"/>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9"/>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9"/>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9"/>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9"/>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9"/>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9"/>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9"/>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9"/>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9"/>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9"/>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9"/>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9"/>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9"/>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9"/>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9"/>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9"/>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9"/>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9"/>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9"/>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9"/>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9"/>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9"/>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9"/>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9"/>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9"/>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9"/>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9"/>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9"/>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9"/>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9"/>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9"/>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9"/>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9"/>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9"/>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9"/>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9"/>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9"/>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9"/>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9"/>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9"/>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9"/>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9"/>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9"/>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9"/>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9"/>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9"/>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9"/>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9"/>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9"/>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9"/>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9"/>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9"/>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9"/>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9"/>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9"/>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9"/>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9"/>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9"/>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9"/>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9"/>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9"/>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9"/>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9"/>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9"/>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9"/>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9"/>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9"/>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9"/>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9"/>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9"/>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9"/>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9"/>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9"/>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9"/>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9"/>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9"/>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9"/>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9"/>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9"/>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9"/>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9"/>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9"/>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9"/>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9"/>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9"/>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9"/>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9"/>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9"/>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9"/>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9"/>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9"/>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9"/>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9"/>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9"/>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9"/>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9"/>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9"/>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9"/>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9"/>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9"/>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9"/>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9"/>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9"/>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9"/>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9"/>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9"/>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9"/>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9"/>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9"/>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9"/>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9"/>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9"/>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9"/>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9"/>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9"/>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9"/>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9"/>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9"/>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9"/>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9"/>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9"/>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9"/>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9"/>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9"/>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9"/>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9"/>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9"/>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9"/>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9"/>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9"/>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9"/>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9"/>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9"/>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9"/>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9"/>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9"/>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9"/>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9"/>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9"/>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9"/>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9"/>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9"/>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9"/>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9"/>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9"/>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9"/>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9"/>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9"/>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9"/>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9"/>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9"/>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9"/>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9"/>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9"/>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9"/>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9"/>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9"/>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9"/>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9"/>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9"/>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9"/>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9"/>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9"/>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9"/>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9"/>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9"/>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9"/>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9"/>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9"/>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9"/>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9"/>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9"/>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9"/>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9"/>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9"/>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9"/>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9"/>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9"/>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9"/>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9"/>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9"/>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9"/>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9"/>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9"/>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9"/>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9"/>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9"/>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9"/>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9"/>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9"/>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9"/>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9"/>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7:E10 E12:E15 E17:E20 E22:E25 E27:E30 E32:E35 E37:E40 E42:E45 E47:E50">
    <cfRule type="colorScale" priority="1">
      <colorScale>
        <cfvo type="formula" val="0"/>
        <cfvo type="formula" val="0.5"/>
        <cfvo type="formula" val="1"/>
        <color rgb="FFFFFFFF"/>
        <color rgb="FFF3BEB9"/>
        <color rgb="FFE67C73"/>
      </colorScale>
    </cfRule>
  </conditionalFormatting>
  <conditionalFormatting sqref="E2:E975">
    <cfRule type="colorScale" priority="2">
      <colorScale>
        <cfvo type="formula" val="0"/>
        <cfvo type="formula" val="1"/>
        <color rgb="FFFFFFFF"/>
        <color rgb="FFE67C73"/>
      </colorScale>
    </cfRule>
  </conditionalFormatting>
  <dataValidations>
    <dataValidation type="list" allowBlank="1" showErrorMessage="1" sqref="F2:J975">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136</v>
      </c>
      <c r="E2" s="80">
        <f>IFERROR(__xludf.DUMMYFUNCTION("COUNTA(SPLIT(D2,"" ""))/COUNTA(SPLIT($B$2,"" ""))"),0.0910209102091021)</f>
        <v>0.09102091021</v>
      </c>
      <c r="F2" s="7">
        <v>4.0</v>
      </c>
      <c r="G2" s="7">
        <v>5.0</v>
      </c>
      <c r="H2" s="7">
        <v>5.0</v>
      </c>
      <c r="I2" s="7">
        <v>4.0</v>
      </c>
      <c r="J2" s="7">
        <v>3.0</v>
      </c>
      <c r="K2" s="56"/>
      <c r="L2" s="56"/>
      <c r="M2" s="56"/>
      <c r="N2" s="56"/>
      <c r="O2" s="56"/>
      <c r="P2" s="56"/>
      <c r="Q2" s="56"/>
      <c r="R2" s="56"/>
      <c r="S2" s="56"/>
      <c r="T2" s="56"/>
      <c r="U2" s="56"/>
      <c r="V2" s="56"/>
      <c r="W2" s="56"/>
      <c r="X2" s="56"/>
      <c r="Y2" s="56"/>
      <c r="Z2" s="56"/>
      <c r="AA2" s="56"/>
      <c r="AB2" s="56"/>
    </row>
    <row r="3" ht="225.0" customHeight="1">
      <c r="C3" s="7" t="s">
        <v>22</v>
      </c>
      <c r="D3" s="54" t="s">
        <v>137</v>
      </c>
      <c r="E3" s="81">
        <f>IFERROR(__xludf.DUMMYFUNCTION("COUNTA(SPLIT(D3,"" ""))/COUNTA(SPLIT($B$2,"" ""))"),0.0897908979089791)</f>
        <v>0.08979089791</v>
      </c>
      <c r="F3" s="7">
        <v>4.0</v>
      </c>
      <c r="G3" s="7">
        <v>5.0</v>
      </c>
      <c r="H3" s="7">
        <v>5.0</v>
      </c>
      <c r="I3" s="7">
        <v>4.0</v>
      </c>
      <c r="J3" s="7">
        <v>5.0</v>
      </c>
      <c r="K3" s="56"/>
      <c r="L3" s="56"/>
      <c r="M3" s="56"/>
      <c r="N3" s="56"/>
      <c r="O3" s="56"/>
      <c r="P3" s="56"/>
      <c r="Q3" s="56"/>
      <c r="R3" s="56"/>
      <c r="S3" s="56"/>
      <c r="T3" s="56"/>
      <c r="U3" s="56"/>
      <c r="V3" s="56"/>
      <c r="W3" s="56"/>
      <c r="X3" s="56"/>
      <c r="Y3" s="56"/>
      <c r="Z3" s="56"/>
      <c r="AA3" s="56"/>
      <c r="AB3" s="56"/>
    </row>
    <row r="4" ht="225.0" customHeight="1">
      <c r="A4" s="82"/>
      <c r="C4" s="7" t="s">
        <v>8</v>
      </c>
      <c r="D4" s="54" t="s">
        <v>138</v>
      </c>
      <c r="E4" s="83">
        <f>IFERROR(__xludf.DUMMYFUNCTION("COUNTA(SPLIT(D4,"" ""))/COUNTA(SPLIT($B$2,"" ""))"),0.1943419434194342)</f>
        <v>0.1943419434</v>
      </c>
      <c r="F4" s="7">
        <v>2.0</v>
      </c>
      <c r="G4" s="7">
        <v>4.0</v>
      </c>
      <c r="H4" s="7">
        <v>5.0</v>
      </c>
      <c r="I4" s="7">
        <v>3.0</v>
      </c>
      <c r="J4" s="7">
        <v>5.0</v>
      </c>
      <c r="K4" s="56"/>
      <c r="L4" s="56"/>
      <c r="M4" s="56"/>
      <c r="N4" s="56"/>
      <c r="O4" s="56"/>
      <c r="P4" s="56"/>
      <c r="Q4" s="56"/>
      <c r="R4" s="56"/>
      <c r="S4" s="56"/>
      <c r="T4" s="56"/>
      <c r="U4" s="56"/>
      <c r="V4" s="56"/>
      <c r="W4" s="56"/>
      <c r="X4" s="56"/>
      <c r="Y4" s="56"/>
      <c r="Z4" s="56"/>
      <c r="AA4" s="56"/>
      <c r="AB4" s="56"/>
    </row>
    <row r="5" ht="225.0" customHeight="1">
      <c r="A5" s="82"/>
      <c r="C5" s="7" t="s">
        <v>23</v>
      </c>
      <c r="D5" s="54" t="s">
        <v>139</v>
      </c>
      <c r="E5" s="84">
        <f>IFERROR(__xludf.DUMMYFUNCTION("COUNTA(SPLIT(D5,"" ""))/COUNTA(SPLIT($B$2,"" ""))"),0.08364083640836409)</f>
        <v>0.08364083641</v>
      </c>
      <c r="F5" s="7">
        <v>4.0</v>
      </c>
      <c r="G5" s="7">
        <v>5.0</v>
      </c>
      <c r="H5" s="7">
        <v>5.0</v>
      </c>
      <c r="I5" s="7">
        <v>5.0</v>
      </c>
      <c r="J5" s="7">
        <v>4.0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7"/>
      <c r="K6" s="56"/>
      <c r="L6" s="56"/>
      <c r="M6" s="56"/>
      <c r="N6" s="56"/>
      <c r="O6" s="56"/>
      <c r="P6" s="56"/>
      <c r="Q6" s="56"/>
      <c r="R6" s="56"/>
      <c r="S6" s="56"/>
      <c r="T6" s="56"/>
      <c r="U6" s="56"/>
      <c r="V6" s="56"/>
      <c r="W6" s="56"/>
      <c r="X6" s="56"/>
      <c r="Y6" s="56"/>
      <c r="Z6" s="56"/>
      <c r="AA6" s="56"/>
      <c r="AB6" s="56"/>
    </row>
    <row r="7" ht="244.5" customHeight="1">
      <c r="A7" s="85" t="s">
        <v>39</v>
      </c>
      <c r="B7" s="62" t="s">
        <v>40</v>
      </c>
      <c r="C7" s="63" t="s">
        <v>21</v>
      </c>
      <c r="D7" s="64" t="s">
        <v>140</v>
      </c>
      <c r="E7" s="86">
        <f>IFERROR(__xludf.DUMMYFUNCTION("COUNTA(SPLIT(D7,"" ""))/COUNTA(SPLIT($B$7,"" ""))"),0.2403560830860534)</f>
        <v>0.2403560831</v>
      </c>
      <c r="F7" s="63">
        <v>5.0</v>
      </c>
      <c r="G7" s="63">
        <v>4.0</v>
      </c>
      <c r="H7" s="63">
        <v>5.0</v>
      </c>
      <c r="I7" s="63">
        <v>3.0</v>
      </c>
      <c r="J7" s="63">
        <v>4.0</v>
      </c>
      <c r="K7" s="66"/>
      <c r="L7" s="66"/>
      <c r="M7" s="66"/>
      <c r="N7" s="66"/>
      <c r="O7" s="66"/>
      <c r="P7" s="66"/>
      <c r="Q7" s="66"/>
      <c r="R7" s="66"/>
      <c r="S7" s="66"/>
      <c r="T7" s="66"/>
      <c r="U7" s="66"/>
      <c r="V7" s="66"/>
      <c r="W7" s="66"/>
      <c r="X7" s="66"/>
      <c r="Y7" s="66"/>
      <c r="Z7" s="66"/>
      <c r="AA7" s="66"/>
      <c r="AB7" s="66"/>
    </row>
    <row r="8" ht="225.0" customHeight="1">
      <c r="A8" s="87"/>
      <c r="C8" s="7" t="s">
        <v>22</v>
      </c>
      <c r="D8" s="54" t="s">
        <v>141</v>
      </c>
      <c r="E8" s="88">
        <f>IFERROR(__xludf.DUMMYFUNCTION("COUNTA(SPLIT(D8,"" ""))/COUNTA(SPLIT($B$7,"" ""))"),0.18892185954500496)</f>
        <v>0.1889218595</v>
      </c>
      <c r="F8" s="7">
        <v>5.0</v>
      </c>
      <c r="G8" s="7">
        <v>3.0</v>
      </c>
      <c r="H8" s="7">
        <v>5.0</v>
      </c>
      <c r="I8" s="7">
        <v>4.0</v>
      </c>
      <c r="J8" s="7">
        <v>4.0</v>
      </c>
      <c r="K8" s="56"/>
      <c r="L8" s="56"/>
      <c r="M8" s="56"/>
      <c r="N8" s="56"/>
      <c r="O8" s="56"/>
      <c r="P8" s="56"/>
      <c r="Q8" s="56"/>
      <c r="R8" s="56"/>
      <c r="S8" s="56"/>
      <c r="T8" s="56"/>
      <c r="U8" s="56"/>
      <c r="V8" s="56"/>
      <c r="W8" s="56"/>
      <c r="X8" s="56"/>
      <c r="Y8" s="56"/>
      <c r="Z8" s="56"/>
      <c r="AA8" s="56"/>
      <c r="AB8" s="56"/>
    </row>
    <row r="9" ht="225.0" customHeight="1">
      <c r="A9" s="87"/>
      <c r="C9" s="7" t="s">
        <v>8</v>
      </c>
      <c r="D9" s="54" t="s">
        <v>142</v>
      </c>
      <c r="E9" s="89">
        <f>IFERROR(__xludf.DUMMYFUNCTION("COUNTA(SPLIT(D9,"" ""))/COUNTA(SPLIT($B$7,"" ""))"),0.22354104846686448)</f>
        <v>0.2235410485</v>
      </c>
      <c r="F9" s="7">
        <v>3.0</v>
      </c>
      <c r="G9" s="7">
        <v>4.0</v>
      </c>
      <c r="H9" s="7">
        <v>5.0</v>
      </c>
      <c r="I9" s="7">
        <v>4.0</v>
      </c>
      <c r="J9" s="7">
        <v>4.0</v>
      </c>
      <c r="K9" s="56"/>
      <c r="L9" s="56"/>
      <c r="M9" s="56"/>
      <c r="N9" s="56"/>
      <c r="O9" s="56"/>
      <c r="P9" s="56"/>
      <c r="Q9" s="56"/>
      <c r="R9" s="56"/>
      <c r="S9" s="56"/>
      <c r="T9" s="56"/>
      <c r="U9" s="56"/>
      <c r="V9" s="56"/>
      <c r="W9" s="56"/>
      <c r="X9" s="56"/>
      <c r="Y9" s="56"/>
      <c r="Z9" s="56"/>
      <c r="AA9" s="56"/>
      <c r="AB9" s="56"/>
    </row>
    <row r="10" ht="225.0" customHeight="1">
      <c r="A10" s="87"/>
      <c r="C10" s="7" t="s">
        <v>23</v>
      </c>
      <c r="D10" s="54" t="s">
        <v>143</v>
      </c>
      <c r="E10" s="90">
        <f>IFERROR(__xludf.DUMMYFUNCTION("COUNTA(SPLIT(D10,"" ""))/COUNTA(SPLIT($B$7,"" ""))"),0.09099901088031652)</f>
        <v>0.09099901088</v>
      </c>
      <c r="F10" s="7">
        <v>4.0</v>
      </c>
      <c r="G10" s="7">
        <v>5.0</v>
      </c>
      <c r="H10" s="7">
        <v>5.0</v>
      </c>
      <c r="I10" s="7">
        <v>5.0</v>
      </c>
      <c r="J10" s="7">
        <v>3.0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5" t="s">
        <v>101</v>
      </c>
      <c r="B12" s="62" t="s">
        <v>46</v>
      </c>
      <c r="C12" s="63" t="s">
        <v>21</v>
      </c>
      <c r="D12" s="64" t="s">
        <v>144</v>
      </c>
      <c r="E12" s="91">
        <f>IFERROR(__xludf.DUMMYFUNCTION("COUNTA(SPLIT(D12,"" ""))/COUNTA(SPLIT($B$12,"" ""))"),0.06914893617021277)</f>
        <v>0.06914893617</v>
      </c>
      <c r="F12" s="63">
        <v>4.0</v>
      </c>
      <c r="G12" s="63">
        <v>5.0</v>
      </c>
      <c r="H12" s="63">
        <v>5.0</v>
      </c>
      <c r="I12" s="63">
        <v>4.0</v>
      </c>
      <c r="J12" s="63">
        <v>3.0</v>
      </c>
      <c r="K12" s="66"/>
      <c r="L12" s="66"/>
      <c r="M12" s="66"/>
      <c r="N12" s="66"/>
      <c r="O12" s="66"/>
      <c r="P12" s="66"/>
      <c r="Q12" s="66"/>
      <c r="R12" s="66"/>
      <c r="S12" s="66"/>
      <c r="T12" s="66"/>
      <c r="U12" s="66"/>
      <c r="V12" s="66"/>
      <c r="W12" s="66"/>
      <c r="X12" s="66"/>
      <c r="Y12" s="66"/>
      <c r="Z12" s="66"/>
      <c r="AA12" s="66"/>
      <c r="AB12" s="66"/>
    </row>
    <row r="13" ht="225.0" customHeight="1">
      <c r="A13" s="87"/>
      <c r="C13" s="7" t="s">
        <v>22</v>
      </c>
      <c r="D13" s="54" t="s">
        <v>145</v>
      </c>
      <c r="E13" s="92">
        <f>IFERROR(__xludf.DUMMYFUNCTION("COUNTA(SPLIT(D13,"" ""))/COUNTA(SPLIT($B$12,"" ""))"),0.0673758865248227)</f>
        <v>0.06737588652</v>
      </c>
      <c r="F13" s="7">
        <v>4.0</v>
      </c>
      <c r="G13" s="7">
        <v>5.0</v>
      </c>
      <c r="H13" s="7">
        <v>4.0</v>
      </c>
      <c r="I13" s="7">
        <v>5.0</v>
      </c>
      <c r="J13" s="7">
        <v>4.0</v>
      </c>
      <c r="K13" s="56"/>
      <c r="L13" s="56"/>
      <c r="M13" s="56"/>
      <c r="N13" s="56"/>
      <c r="O13" s="56"/>
      <c r="P13" s="56"/>
      <c r="Q13" s="56"/>
      <c r="R13" s="56"/>
      <c r="S13" s="56"/>
      <c r="T13" s="56"/>
      <c r="U13" s="56"/>
      <c r="V13" s="56"/>
      <c r="W13" s="56"/>
      <c r="X13" s="56"/>
      <c r="Y13" s="56"/>
      <c r="Z13" s="56"/>
      <c r="AA13" s="56"/>
      <c r="AB13" s="56"/>
    </row>
    <row r="14" ht="225.0" customHeight="1">
      <c r="A14" s="87"/>
      <c r="C14" s="7" t="s">
        <v>8</v>
      </c>
      <c r="D14" s="54" t="s">
        <v>146</v>
      </c>
      <c r="E14" s="93">
        <f>IFERROR(__xludf.DUMMYFUNCTION("COUNTA(SPLIT(D14,"" ""))/COUNTA(SPLIT($B$12,"" ""))"),0.0975177304964539)</f>
        <v>0.0975177305</v>
      </c>
      <c r="F14" s="7">
        <v>3.0</v>
      </c>
      <c r="G14" s="7">
        <v>5.0</v>
      </c>
      <c r="H14" s="7">
        <v>5.0</v>
      </c>
      <c r="I14" s="7">
        <v>4.0</v>
      </c>
      <c r="J14" s="7">
        <v>4.0</v>
      </c>
      <c r="K14" s="56"/>
      <c r="L14" s="56"/>
      <c r="M14" s="56"/>
      <c r="N14" s="56"/>
      <c r="O14" s="56"/>
      <c r="P14" s="56"/>
      <c r="Q14" s="56"/>
      <c r="R14" s="56"/>
      <c r="S14" s="56"/>
      <c r="T14" s="56"/>
      <c r="U14" s="56"/>
      <c r="V14" s="56"/>
      <c r="W14" s="56"/>
      <c r="X14" s="56"/>
      <c r="Y14" s="56"/>
      <c r="Z14" s="56"/>
      <c r="AA14" s="56"/>
      <c r="AB14" s="56"/>
    </row>
    <row r="15" ht="225.0" customHeight="1">
      <c r="A15" s="87"/>
      <c r="C15" s="7" t="s">
        <v>23</v>
      </c>
      <c r="D15" s="54" t="s">
        <v>147</v>
      </c>
      <c r="E15" s="94">
        <f>IFERROR(__xludf.DUMMYFUNCTION("COUNTA(SPLIT(D15,"" ""))/COUNTA(SPLIT($B$12,"" ""))"),0.05673758865248227)</f>
        <v>0.05673758865</v>
      </c>
      <c r="F15" s="7">
        <v>4.0</v>
      </c>
      <c r="G15" s="7">
        <v>5.0</v>
      </c>
      <c r="H15" s="7">
        <v>5.0</v>
      </c>
      <c r="I15" s="7">
        <v>4.0</v>
      </c>
      <c r="J15" s="7">
        <v>2.0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5" t="s">
        <v>51</v>
      </c>
      <c r="B17" s="62" t="s">
        <v>52</v>
      </c>
      <c r="C17" s="63" t="s">
        <v>21</v>
      </c>
      <c r="D17" s="64" t="s">
        <v>148</v>
      </c>
      <c r="E17" s="95">
        <f>IFERROR(__xludf.DUMMYFUNCTION("COUNTA(SPLIT(D17,"" ""))/COUNTA(SPLIT($B$17,"" ""))"),0.27453769559032715)</f>
        <v>0.2745376956</v>
      </c>
      <c r="F17" s="63">
        <v>4.0</v>
      </c>
      <c r="G17" s="63">
        <v>4.0</v>
      </c>
      <c r="H17" s="63">
        <v>4.0</v>
      </c>
      <c r="I17" s="63">
        <v>3.0</v>
      </c>
      <c r="J17" s="63">
        <v>4.0</v>
      </c>
      <c r="K17" s="66"/>
      <c r="L17" s="66"/>
      <c r="M17" s="66"/>
      <c r="N17" s="66"/>
      <c r="O17" s="66"/>
      <c r="P17" s="66"/>
      <c r="Q17" s="66"/>
      <c r="R17" s="66"/>
      <c r="S17" s="66"/>
      <c r="T17" s="66"/>
      <c r="U17" s="66"/>
      <c r="V17" s="66"/>
      <c r="W17" s="66"/>
      <c r="X17" s="66"/>
      <c r="Y17" s="66"/>
      <c r="Z17" s="66"/>
      <c r="AA17" s="66"/>
      <c r="AB17" s="66"/>
    </row>
    <row r="18" ht="225.0" customHeight="1">
      <c r="A18" s="87"/>
      <c r="C18" s="7" t="s">
        <v>22</v>
      </c>
      <c r="D18" s="54" t="s">
        <v>149</v>
      </c>
      <c r="E18" s="96">
        <f>IFERROR(__xludf.DUMMYFUNCTION("COUNTA(SPLIT(D18,"" ""))/COUNTA(SPLIT($B$17,"" ""))"),0.4167852062588905)</f>
        <v>0.4167852063</v>
      </c>
      <c r="F18" s="7">
        <v>4.0</v>
      </c>
      <c r="G18" s="7">
        <v>3.0</v>
      </c>
      <c r="H18" s="7">
        <v>5.0</v>
      </c>
      <c r="I18" s="7">
        <v>2.0</v>
      </c>
      <c r="J18" s="7">
        <v>4.0</v>
      </c>
      <c r="K18" s="56"/>
      <c r="L18" s="56"/>
      <c r="M18" s="56"/>
      <c r="N18" s="56"/>
      <c r="O18" s="56"/>
      <c r="P18" s="56"/>
      <c r="Q18" s="56"/>
      <c r="R18" s="56"/>
      <c r="S18" s="56"/>
      <c r="T18" s="56"/>
      <c r="U18" s="56"/>
      <c r="V18" s="56"/>
      <c r="W18" s="56"/>
      <c r="X18" s="56"/>
      <c r="Y18" s="56"/>
      <c r="Z18" s="56"/>
      <c r="AA18" s="56"/>
      <c r="AB18" s="56"/>
    </row>
    <row r="19" ht="225.0" customHeight="1">
      <c r="A19" s="87"/>
      <c r="C19" s="7" t="s">
        <v>8</v>
      </c>
      <c r="D19" s="54" t="s">
        <v>150</v>
      </c>
      <c r="E19" s="97">
        <f>IFERROR(__xludf.DUMMYFUNCTION("COUNTA(SPLIT(D19,"" ""))/COUNTA(SPLIT($B$17,"" ""))"),0.4096728307254623)</f>
        <v>0.4096728307</v>
      </c>
      <c r="F19" s="7">
        <v>3.0</v>
      </c>
      <c r="G19" s="7">
        <v>4.0</v>
      </c>
      <c r="H19" s="7">
        <v>5.0</v>
      </c>
      <c r="I19" s="7">
        <v>3.0</v>
      </c>
      <c r="J19" s="7">
        <v>5.0</v>
      </c>
      <c r="K19" s="56"/>
      <c r="L19" s="56"/>
      <c r="M19" s="56"/>
      <c r="N19" s="56"/>
      <c r="O19" s="56"/>
      <c r="P19" s="56"/>
      <c r="Q19" s="56"/>
      <c r="R19" s="56"/>
      <c r="S19" s="56"/>
      <c r="T19" s="56"/>
      <c r="U19" s="56"/>
      <c r="V19" s="56"/>
      <c r="W19" s="56"/>
      <c r="X19" s="56"/>
      <c r="Y19" s="56"/>
      <c r="Z19" s="56"/>
      <c r="AA19" s="56"/>
      <c r="AB19" s="56"/>
    </row>
    <row r="20" ht="225.0" customHeight="1">
      <c r="A20" s="87"/>
      <c r="C20" s="7" t="s">
        <v>23</v>
      </c>
      <c r="D20" s="54" t="s">
        <v>151</v>
      </c>
      <c r="E20" s="98">
        <f>IFERROR(__xludf.DUMMYFUNCTION("COUNTA(SPLIT(D20,"" ""))/COUNTA(SPLIT($B$17,"" ""))"),0.13513513513513514)</f>
        <v>0.1351351351</v>
      </c>
      <c r="F20" s="7">
        <v>5.0</v>
      </c>
      <c r="G20" s="7">
        <v>4.0</v>
      </c>
      <c r="H20" s="7">
        <v>5.0</v>
      </c>
      <c r="I20" s="7">
        <v>5.0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5" t="s">
        <v>57</v>
      </c>
      <c r="B22" s="62" t="s">
        <v>58</v>
      </c>
      <c r="C22" s="63" t="s">
        <v>21</v>
      </c>
      <c r="D22" s="64" t="s">
        <v>152</v>
      </c>
      <c r="E22" s="99">
        <f>IFERROR(__xludf.DUMMYFUNCTION("COUNTA(SPLIT(D22,"" ""))/COUNTA(SPLIT($B$22,"" ""))"),0.07919366450683946)</f>
        <v>0.07919366451</v>
      </c>
      <c r="F22" s="63">
        <v>5.0</v>
      </c>
      <c r="G22" s="63">
        <v>5.0</v>
      </c>
      <c r="H22" s="63">
        <v>5.0</v>
      </c>
      <c r="I22" s="63">
        <v>4.0</v>
      </c>
      <c r="J22" s="63">
        <v>5.0</v>
      </c>
      <c r="K22" s="66"/>
      <c r="L22" s="66"/>
      <c r="M22" s="66"/>
      <c r="N22" s="66"/>
      <c r="O22" s="66"/>
      <c r="P22" s="66"/>
      <c r="Q22" s="66"/>
      <c r="R22" s="66"/>
      <c r="S22" s="66"/>
      <c r="T22" s="66"/>
      <c r="U22" s="66"/>
      <c r="V22" s="66"/>
      <c r="W22" s="66"/>
      <c r="X22" s="66"/>
      <c r="Y22" s="66"/>
      <c r="Z22" s="66"/>
      <c r="AA22" s="66"/>
      <c r="AB22" s="66"/>
    </row>
    <row r="23" ht="225.0" customHeight="1">
      <c r="A23" s="87"/>
      <c r="C23" s="7" t="s">
        <v>22</v>
      </c>
      <c r="D23" s="54" t="s">
        <v>153</v>
      </c>
      <c r="E23" s="100">
        <f>IFERROR(__xludf.DUMMYFUNCTION("COUNTA(SPLIT(D23,"" ""))/COUNTA(SPLIT($B$22,"" ""))"),0.12742980561555076)</f>
        <v>0.1274298056</v>
      </c>
      <c r="F23" s="7">
        <v>5.0</v>
      </c>
      <c r="G23" s="7">
        <v>5.0</v>
      </c>
      <c r="H23" s="7">
        <v>4.0</v>
      </c>
      <c r="I23" s="7">
        <v>4.0</v>
      </c>
      <c r="J23" s="7">
        <v>4.0</v>
      </c>
      <c r="K23" s="56"/>
      <c r="L23" s="56"/>
      <c r="M23" s="56"/>
      <c r="N23" s="56"/>
      <c r="O23" s="56"/>
      <c r="P23" s="56"/>
      <c r="Q23" s="56"/>
      <c r="R23" s="56"/>
      <c r="S23" s="56"/>
      <c r="T23" s="56"/>
      <c r="U23" s="56"/>
      <c r="V23" s="56"/>
      <c r="W23" s="56"/>
      <c r="X23" s="56"/>
      <c r="Y23" s="56"/>
      <c r="Z23" s="56"/>
      <c r="AA23" s="56"/>
      <c r="AB23" s="56"/>
    </row>
    <row r="24" ht="225.0" customHeight="1">
      <c r="A24" s="87"/>
      <c r="C24" s="7" t="s">
        <v>8</v>
      </c>
      <c r="D24" s="54" t="s">
        <v>154</v>
      </c>
      <c r="E24" s="101">
        <f>IFERROR(__xludf.DUMMYFUNCTION("COUNTA(SPLIT(D24,"" ""))/COUNTA(SPLIT($B$22,"" ""))"),0.12239020878329733)</f>
        <v>0.1223902088</v>
      </c>
      <c r="F24" s="7">
        <v>3.0</v>
      </c>
      <c r="G24" s="7">
        <v>5.0</v>
      </c>
      <c r="H24" s="7">
        <v>5.0</v>
      </c>
      <c r="I24" s="7">
        <v>3.0</v>
      </c>
      <c r="J24" s="7">
        <v>5.0</v>
      </c>
      <c r="K24" s="56"/>
      <c r="L24" s="56"/>
      <c r="M24" s="56"/>
      <c r="N24" s="56"/>
      <c r="O24" s="56"/>
      <c r="P24" s="56"/>
      <c r="Q24" s="56"/>
      <c r="R24" s="56"/>
      <c r="S24" s="56"/>
      <c r="T24" s="56"/>
      <c r="U24" s="56"/>
      <c r="V24" s="56"/>
      <c r="W24" s="56"/>
      <c r="X24" s="56"/>
      <c r="Y24" s="56"/>
      <c r="Z24" s="56"/>
      <c r="AA24" s="56"/>
      <c r="AB24" s="56"/>
    </row>
    <row r="25" ht="225.0" customHeight="1">
      <c r="A25" s="87"/>
      <c r="C25" s="7" t="s">
        <v>23</v>
      </c>
      <c r="D25" s="54" t="s">
        <v>155</v>
      </c>
      <c r="E25" s="102">
        <f>IFERROR(__xludf.DUMMYFUNCTION("COUNTA(SPLIT(D25,"" ""))/COUNTA(SPLIT($B$22,"" ""))"),0.1079913606911447)</f>
        <v>0.1079913607</v>
      </c>
      <c r="F25" s="7">
        <v>5.0</v>
      </c>
      <c r="G25" s="7">
        <v>5.0</v>
      </c>
      <c r="H25" s="7">
        <v>5.0</v>
      </c>
      <c r="I25" s="7">
        <v>4.0</v>
      </c>
      <c r="J25" s="7">
        <v>5.0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64" t="s">
        <v>156</v>
      </c>
      <c r="E27" s="104">
        <f>IFERROR(__xludf.DUMMYFUNCTION("COUNTA(SPLIT(D27,"" ""))/COUNTA(SPLIT($B$27,"" ""))"),0.2697495183044316)</f>
        <v>0.2697495183</v>
      </c>
      <c r="F27" s="63">
        <v>5.0</v>
      </c>
      <c r="G27" s="63">
        <v>5.0</v>
      </c>
      <c r="H27" s="63">
        <v>5.0</v>
      </c>
      <c r="I27" s="63">
        <v>4.0</v>
      </c>
      <c r="J27" s="63">
        <v>4.0</v>
      </c>
      <c r="K27" s="66"/>
      <c r="L27" s="66"/>
      <c r="M27" s="66"/>
      <c r="N27" s="66"/>
      <c r="O27" s="66"/>
      <c r="P27" s="66"/>
      <c r="Q27" s="66"/>
      <c r="R27" s="66"/>
      <c r="S27" s="66"/>
      <c r="T27" s="66"/>
      <c r="U27" s="66"/>
      <c r="V27" s="66"/>
      <c r="W27" s="66"/>
      <c r="X27" s="66"/>
      <c r="Y27" s="66"/>
      <c r="Z27" s="66"/>
      <c r="AA27" s="66"/>
      <c r="AB27" s="66"/>
    </row>
    <row r="28" ht="225.0" customHeight="1">
      <c r="C28" s="7" t="s">
        <v>22</v>
      </c>
      <c r="D28" s="54" t="s">
        <v>157</v>
      </c>
      <c r="E28" s="105">
        <f>IFERROR(__xludf.DUMMYFUNCTION("COUNTA(SPLIT(D28,"" ""))/COUNTA(SPLIT($B$27,"" ""))"),0.2658959537572254)</f>
        <v>0.2658959538</v>
      </c>
      <c r="F28" s="7">
        <v>4.0</v>
      </c>
      <c r="G28" s="7">
        <v>4.0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158</v>
      </c>
      <c r="E29" s="98">
        <f>IFERROR(__xludf.DUMMYFUNCTION("COUNTA(SPLIT(D29,"" ""))/COUNTA(SPLIT($B$27,"" ""))"),0.41040462427745666)</f>
        <v>0.4104046243</v>
      </c>
      <c r="F29" s="7">
        <v>3.0</v>
      </c>
      <c r="G29" s="7">
        <v>5.0</v>
      </c>
      <c r="H29" s="7">
        <v>5.0</v>
      </c>
      <c r="I29" s="7">
        <v>4.0</v>
      </c>
      <c r="J29" s="7">
        <v>4.0</v>
      </c>
      <c r="K29" s="56"/>
      <c r="L29" s="56"/>
      <c r="M29" s="56"/>
      <c r="N29" s="56"/>
      <c r="O29" s="56"/>
      <c r="P29" s="56"/>
      <c r="Q29" s="56"/>
      <c r="R29" s="56"/>
      <c r="S29" s="56"/>
      <c r="T29" s="56"/>
      <c r="U29" s="56"/>
      <c r="V29" s="56"/>
      <c r="W29" s="56"/>
      <c r="X29" s="56"/>
      <c r="Y29" s="56"/>
      <c r="Z29" s="56"/>
      <c r="AA29" s="56"/>
      <c r="AB29" s="56"/>
    </row>
    <row r="30" ht="225.0" customHeight="1">
      <c r="C30" s="7" t="s">
        <v>23</v>
      </c>
      <c r="D30" s="54" t="s">
        <v>159</v>
      </c>
      <c r="E30" s="106">
        <f>IFERROR(__xludf.DUMMYFUNCTION("COUNTA(SPLIT(D30,"" ""))/COUNTA(SPLIT($B$27,"" ""))"),0.14258188824662812)</f>
        <v>0.1425818882</v>
      </c>
      <c r="F30" s="7">
        <v>4.0</v>
      </c>
      <c r="G30" s="7">
        <v>5.0</v>
      </c>
      <c r="H30" s="7">
        <v>4.0</v>
      </c>
      <c r="I30" s="7">
        <v>5.0</v>
      </c>
      <c r="J30" s="7">
        <v>3.0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70</v>
      </c>
      <c r="C32" s="63" t="s">
        <v>21</v>
      </c>
      <c r="D32" s="64" t="s">
        <v>160</v>
      </c>
      <c r="E32" s="76">
        <f>IFERROR(__xludf.DUMMYFUNCTION("COUNTA(SPLIT(D32,"" ""))/COUNTA(SPLIT($B$32,"" ""))"),0.5135135135135135)</f>
        <v>0.5135135135</v>
      </c>
      <c r="F32" s="63">
        <v>4.0</v>
      </c>
      <c r="G32" s="63">
        <v>3.0</v>
      </c>
      <c r="H32" s="63">
        <v>4.0</v>
      </c>
      <c r="I32" s="63">
        <v>4.0</v>
      </c>
      <c r="J32" s="63">
        <v>4.0</v>
      </c>
      <c r="K32" s="66"/>
      <c r="L32" s="66"/>
      <c r="M32" s="66"/>
      <c r="N32" s="66"/>
      <c r="O32" s="66"/>
      <c r="P32" s="66"/>
      <c r="Q32" s="66"/>
      <c r="R32" s="66"/>
      <c r="S32" s="66"/>
      <c r="T32" s="66"/>
      <c r="U32" s="66"/>
      <c r="V32" s="66"/>
      <c r="W32" s="66"/>
      <c r="X32" s="66"/>
      <c r="Y32" s="66"/>
      <c r="Z32" s="66"/>
      <c r="AA32" s="66"/>
      <c r="AB32" s="66"/>
    </row>
    <row r="33" ht="225.0" customHeight="1">
      <c r="C33" s="7" t="s">
        <v>22</v>
      </c>
      <c r="D33" s="103" t="s">
        <v>161</v>
      </c>
      <c r="E33" s="108">
        <f>IFERROR(__xludf.DUMMYFUNCTION("COUNTA(SPLIT(D33,"" ""))/COUNTA(SPLIT($B$32,"" ""))"),0.4594594594594595)</f>
        <v>0.4594594595</v>
      </c>
      <c r="F33" s="7">
        <v>4.0</v>
      </c>
      <c r="G33" s="7">
        <v>5.0</v>
      </c>
      <c r="H33" s="7">
        <v>5.0</v>
      </c>
      <c r="I33" s="7">
        <v>4.0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54" t="s">
        <v>162</v>
      </c>
      <c r="E34" s="109">
        <f>IFERROR(__xludf.DUMMYFUNCTION("COUNTA(SPLIT(D34,"" ""))/COUNTA(SPLIT($B$32,"" ""))"),0.8486486486486486)</f>
        <v>0.8486486486</v>
      </c>
      <c r="F34" s="7">
        <v>3.0</v>
      </c>
      <c r="G34" s="7">
        <v>4.0</v>
      </c>
      <c r="H34" s="7">
        <v>5.0</v>
      </c>
      <c r="I34" s="7">
        <v>4.0</v>
      </c>
      <c r="J34" s="7">
        <v>5.0</v>
      </c>
      <c r="K34" s="56"/>
      <c r="L34" s="56"/>
      <c r="M34" s="56"/>
      <c r="N34" s="56"/>
      <c r="O34" s="56"/>
      <c r="P34" s="56"/>
      <c r="Q34" s="56"/>
      <c r="R34" s="56"/>
      <c r="S34" s="56"/>
      <c r="T34" s="56"/>
      <c r="U34" s="56"/>
      <c r="V34" s="56"/>
      <c r="W34" s="56"/>
      <c r="X34" s="56"/>
      <c r="Y34" s="56"/>
      <c r="Z34" s="56"/>
      <c r="AA34" s="56"/>
      <c r="AB34" s="56"/>
    </row>
    <row r="35" ht="225.0" customHeight="1">
      <c r="C35" s="7" t="s">
        <v>23</v>
      </c>
      <c r="D35" s="54" t="s">
        <v>163</v>
      </c>
      <c r="E35" s="72">
        <f>IFERROR(__xludf.DUMMYFUNCTION("COUNTA(SPLIT(D35,"" ""))/COUNTA(SPLIT($B$32,"" ""))"),0.2864864864864865)</f>
        <v>0.2864864865</v>
      </c>
      <c r="F35" s="7">
        <v>4.0</v>
      </c>
      <c r="G35" s="7">
        <v>3.0</v>
      </c>
      <c r="H35" s="7">
        <v>5.0</v>
      </c>
      <c r="I35" s="7">
        <v>5.0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164</v>
      </c>
      <c r="E37" s="81">
        <f>IFERROR(__xludf.DUMMYFUNCTION("COUNTA(SPLIT(D37,"" ""))/COUNTA(SPLIT($B$37,"" ""))"),0.21121251629726207)</f>
        <v>0.2112125163</v>
      </c>
      <c r="F37" s="63">
        <v>5.0</v>
      </c>
      <c r="G37" s="63">
        <v>5.0</v>
      </c>
      <c r="H37" s="63">
        <v>5.0</v>
      </c>
      <c r="I37" s="63">
        <v>3.0</v>
      </c>
      <c r="J37" s="63">
        <v>4.0</v>
      </c>
      <c r="K37" s="66"/>
      <c r="L37" s="66"/>
      <c r="M37" s="66"/>
      <c r="N37" s="66"/>
      <c r="O37" s="66"/>
      <c r="P37" s="66"/>
      <c r="Q37" s="66"/>
      <c r="R37" s="66"/>
      <c r="S37" s="66"/>
      <c r="T37" s="66"/>
      <c r="U37" s="66"/>
      <c r="V37" s="66"/>
      <c r="W37" s="66"/>
      <c r="X37" s="66"/>
      <c r="Y37" s="66"/>
      <c r="Z37" s="66"/>
      <c r="AA37" s="66"/>
      <c r="AB37" s="66"/>
    </row>
    <row r="38" ht="225.0" customHeight="1">
      <c r="C38" s="7" t="s">
        <v>22</v>
      </c>
      <c r="D38" s="54" t="s">
        <v>165</v>
      </c>
      <c r="E38" s="110">
        <f>IFERROR(__xludf.DUMMYFUNCTION("COUNTA(SPLIT(D38,"" ""))/COUNTA(SPLIT($B$37,"" ""))"),0.15514993481095177)</f>
        <v>0.1551499348</v>
      </c>
      <c r="F38" s="7">
        <v>5.0</v>
      </c>
      <c r="G38" s="7">
        <v>5.0</v>
      </c>
      <c r="H38" s="7">
        <v>5.0</v>
      </c>
      <c r="I38" s="7">
        <v>4.0</v>
      </c>
      <c r="J38" s="7">
        <v>4.0</v>
      </c>
      <c r="K38" s="56"/>
      <c r="L38" s="56"/>
      <c r="M38" s="56"/>
      <c r="N38" s="56"/>
      <c r="O38" s="56"/>
      <c r="P38" s="56"/>
      <c r="Q38" s="56"/>
      <c r="R38" s="56"/>
      <c r="S38" s="56"/>
      <c r="T38" s="56"/>
      <c r="U38" s="56"/>
      <c r="V38" s="56"/>
      <c r="W38" s="56"/>
      <c r="X38" s="56"/>
      <c r="Y38" s="56"/>
      <c r="Z38" s="56"/>
      <c r="AA38" s="56"/>
      <c r="AB38" s="56"/>
    </row>
    <row r="39" ht="225.0" customHeight="1">
      <c r="C39" s="7" t="s">
        <v>8</v>
      </c>
      <c r="D39" s="54" t="s">
        <v>166</v>
      </c>
      <c r="E39" s="94">
        <f>IFERROR(__xludf.DUMMYFUNCTION("COUNTA(SPLIT(D39,"" ""))/COUNTA(SPLIT($B$37,"" ""))"),0.21121251629726207)</f>
        <v>0.2112125163</v>
      </c>
      <c r="F39" s="7">
        <v>3.0</v>
      </c>
      <c r="G39" s="7">
        <v>5.0</v>
      </c>
      <c r="H39" s="7">
        <v>5.0</v>
      </c>
      <c r="I39" s="7">
        <v>4.0</v>
      </c>
      <c r="J39" s="7">
        <v>4.0</v>
      </c>
      <c r="K39" s="56"/>
      <c r="L39" s="56"/>
      <c r="M39" s="56"/>
      <c r="N39" s="56"/>
      <c r="O39" s="56"/>
      <c r="P39" s="56"/>
      <c r="Q39" s="56"/>
      <c r="R39" s="56"/>
      <c r="S39" s="56"/>
      <c r="T39" s="56"/>
      <c r="U39" s="56"/>
      <c r="V39" s="56"/>
      <c r="W39" s="56"/>
      <c r="X39" s="56"/>
      <c r="Y39" s="56"/>
      <c r="Z39" s="56"/>
      <c r="AA39" s="56"/>
      <c r="AB39" s="56"/>
    </row>
    <row r="40" ht="225.0" customHeight="1">
      <c r="C40" s="7" t="s">
        <v>23</v>
      </c>
      <c r="D40" s="54" t="s">
        <v>167</v>
      </c>
      <c r="E40" s="84">
        <f>IFERROR(__xludf.DUMMYFUNCTION("COUNTA(SPLIT(D40,"" ""))/COUNTA(SPLIT($B$37,"" ""))"),0.04041720990873533)</f>
        <v>0.04041720991</v>
      </c>
      <c r="F40" s="7">
        <v>4.0</v>
      </c>
      <c r="G40" s="7">
        <v>4.0</v>
      </c>
      <c r="H40" s="7">
        <v>5.0</v>
      </c>
      <c r="I40" s="7">
        <v>5.0</v>
      </c>
      <c r="J40" s="7">
        <v>2.0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168</v>
      </c>
      <c r="E42" s="111">
        <f>IFERROR(__xludf.DUMMYFUNCTION("COUNTA(SPLIT(D42,"" ""))/COUNTA(SPLIT($B$42,"" ""))"),0.32959326788218796)</f>
        <v>0.3295932679</v>
      </c>
      <c r="F42" s="63">
        <v>4.0</v>
      </c>
      <c r="G42" s="63">
        <v>5.0</v>
      </c>
      <c r="H42" s="63">
        <v>5.0</v>
      </c>
      <c r="I42" s="63">
        <v>2.0</v>
      </c>
      <c r="J42" s="63">
        <v>5.0</v>
      </c>
      <c r="K42" s="66"/>
      <c r="L42" s="66"/>
      <c r="M42" s="66"/>
      <c r="N42" s="66"/>
      <c r="O42" s="66"/>
      <c r="P42" s="66"/>
      <c r="Q42" s="66"/>
      <c r="R42" s="66"/>
      <c r="S42" s="66"/>
      <c r="T42" s="66"/>
      <c r="U42" s="66"/>
      <c r="V42" s="66"/>
      <c r="W42" s="66"/>
      <c r="X42" s="66"/>
      <c r="Y42" s="66"/>
      <c r="Z42" s="66"/>
      <c r="AA42" s="66"/>
      <c r="AB42" s="66"/>
    </row>
    <row r="43" ht="225.0" customHeight="1">
      <c r="C43" s="7" t="s">
        <v>22</v>
      </c>
      <c r="D43" s="54" t="s">
        <v>169</v>
      </c>
      <c r="E43" s="81">
        <f>IFERROR(__xludf.DUMMYFUNCTION("COUNTA(SPLIT(D43,"" ""))/COUNTA(SPLIT($B$42,"" ""))"),0.2482468443197756)</f>
        <v>0.2482468443</v>
      </c>
      <c r="F43" s="7">
        <v>5.0</v>
      </c>
      <c r="G43" s="7">
        <v>5.0</v>
      </c>
      <c r="H43" s="7">
        <v>5.0</v>
      </c>
      <c r="I43" s="7">
        <v>3.0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54" t="s">
        <v>170</v>
      </c>
      <c r="E44" s="112">
        <f>IFERROR(__xludf.DUMMYFUNCTION("COUNTA(SPLIT(D44,"" ""))/COUNTA(SPLIT($B$42,"" ""))"),0.29312762973352036)</f>
        <v>0.2931276297</v>
      </c>
      <c r="F44" s="7">
        <v>3.0</v>
      </c>
      <c r="G44" s="7">
        <v>4.0</v>
      </c>
      <c r="H44" s="7">
        <v>5.0</v>
      </c>
      <c r="I44" s="7">
        <v>3.0</v>
      </c>
      <c r="J44" s="7">
        <v>5.0</v>
      </c>
      <c r="K44" s="56"/>
      <c r="L44" s="56"/>
      <c r="M44" s="56"/>
      <c r="N44" s="56"/>
      <c r="O44" s="56"/>
      <c r="P44" s="56"/>
      <c r="Q44" s="56"/>
      <c r="R44" s="56"/>
      <c r="S44" s="56"/>
      <c r="T44" s="56"/>
      <c r="U44" s="56"/>
      <c r="V44" s="56"/>
      <c r="W44" s="56"/>
      <c r="X44" s="56"/>
      <c r="Y44" s="56"/>
      <c r="Z44" s="56"/>
      <c r="AA44" s="56"/>
      <c r="AB44" s="56"/>
    </row>
    <row r="45" ht="225.0" customHeight="1">
      <c r="C45" s="7" t="s">
        <v>23</v>
      </c>
      <c r="D45" s="54" t="s">
        <v>171</v>
      </c>
      <c r="E45" s="106">
        <f>IFERROR(__xludf.DUMMYFUNCTION("COUNTA(SPLIT(D45,"" ""))/COUNTA(SPLIT($B$42,"" ""))"),0.211781206171108)</f>
        <v>0.2117812062</v>
      </c>
      <c r="F45" s="7">
        <v>4.0</v>
      </c>
      <c r="G45" s="7">
        <v>5.0</v>
      </c>
      <c r="H45" s="7">
        <v>5.0</v>
      </c>
      <c r="I45" s="7">
        <v>3.0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88</v>
      </c>
      <c r="C47" s="63" t="s">
        <v>21</v>
      </c>
      <c r="D47" s="64" t="s">
        <v>172</v>
      </c>
      <c r="E47" s="113">
        <f>IFERROR(__xludf.DUMMYFUNCTION("COUNTA(SPLIT(D47,"" ""))/COUNTA(SPLIT($B$47,"" ""))"),0.08259212198221093)</f>
        <v>0.08259212198</v>
      </c>
      <c r="F47" s="63">
        <v>4.0</v>
      </c>
      <c r="G47" s="63">
        <v>5.0</v>
      </c>
      <c r="H47" s="63">
        <v>4.0</v>
      </c>
      <c r="I47" s="63">
        <v>4.0</v>
      </c>
      <c r="J47" s="63">
        <v>4.0</v>
      </c>
      <c r="K47" s="66"/>
      <c r="L47" s="66"/>
      <c r="M47" s="66"/>
      <c r="N47" s="66"/>
      <c r="O47" s="66"/>
      <c r="P47" s="66"/>
      <c r="Q47" s="66"/>
      <c r="R47" s="66"/>
      <c r="S47" s="66"/>
      <c r="T47" s="66"/>
      <c r="U47" s="66"/>
      <c r="V47" s="66"/>
      <c r="W47" s="66"/>
      <c r="X47" s="66"/>
      <c r="Y47" s="66"/>
      <c r="Z47" s="66"/>
      <c r="AA47" s="66"/>
      <c r="AB47" s="66"/>
    </row>
    <row r="48" ht="225.0" customHeight="1">
      <c r="C48" s="7" t="s">
        <v>22</v>
      </c>
      <c r="D48" s="54" t="s">
        <v>173</v>
      </c>
      <c r="E48" s="114">
        <f>IFERROR(__xludf.DUMMYFUNCTION("COUNTA(SPLIT(D48,"" ""))/COUNTA(SPLIT($B$47,"" ""))"),0.12833545108005082)</f>
        <v>0.1283354511</v>
      </c>
      <c r="F48" s="7">
        <v>4.0</v>
      </c>
      <c r="G48" s="7">
        <v>4.0</v>
      </c>
      <c r="H48" s="7">
        <v>5.0</v>
      </c>
      <c r="I48" s="7">
        <v>3.0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54" t="s">
        <v>174</v>
      </c>
      <c r="E49" s="115">
        <f>IFERROR(__xludf.DUMMYFUNCTION("COUNTA(SPLIT(D49,"" ""))/COUNTA(SPLIT($B$47,"" ""))"),0.1207115628970775)</f>
        <v>0.1207115629</v>
      </c>
      <c r="F49" s="7">
        <v>3.0</v>
      </c>
      <c r="G49" s="7">
        <v>5.0</v>
      </c>
      <c r="H49" s="7">
        <v>5.0</v>
      </c>
      <c r="I49" s="7">
        <v>4.0</v>
      </c>
      <c r="J49" s="7">
        <v>4.0</v>
      </c>
      <c r="K49" s="56"/>
      <c r="L49" s="56"/>
      <c r="M49" s="56"/>
      <c r="N49" s="56"/>
      <c r="O49" s="56"/>
      <c r="P49" s="56"/>
      <c r="Q49" s="56"/>
      <c r="R49" s="56"/>
      <c r="S49" s="56"/>
      <c r="T49" s="56"/>
      <c r="U49" s="56"/>
      <c r="V49" s="56"/>
      <c r="W49" s="56"/>
      <c r="X49" s="56"/>
      <c r="Y49" s="56"/>
      <c r="Z49" s="56"/>
      <c r="AA49" s="56"/>
      <c r="AB49" s="56"/>
    </row>
    <row r="50" ht="225.0" customHeight="1">
      <c r="C50" s="7" t="s">
        <v>23</v>
      </c>
      <c r="D50" s="54" t="s">
        <v>175</v>
      </c>
      <c r="E50" s="116">
        <f>IFERROR(__xludf.DUMMYFUNCTION("COUNTA(SPLIT(D50,"" ""))/COUNTA(SPLIT($B$47,"" ""))"),0.04764930114358323)</f>
        <v>0.04764930114</v>
      </c>
      <c r="F50" s="7">
        <v>4.0</v>
      </c>
      <c r="G50" s="7">
        <v>5.0</v>
      </c>
      <c r="H50" s="7">
        <v>5.0</v>
      </c>
      <c r="I50" s="7">
        <v>5.0</v>
      </c>
      <c r="J50" s="7">
        <v>4.0</v>
      </c>
      <c r="K50" s="56"/>
      <c r="L50" s="56"/>
      <c r="M50" s="56"/>
      <c r="N50" s="56"/>
      <c r="O50" s="56"/>
      <c r="P50" s="56"/>
      <c r="Q50" s="56"/>
      <c r="R50" s="56"/>
      <c r="S50" s="56"/>
      <c r="T50" s="56"/>
      <c r="U50" s="56"/>
      <c r="V50" s="56"/>
      <c r="W50" s="56"/>
      <c r="X50" s="56"/>
      <c r="Y50" s="56"/>
      <c r="Z50" s="56"/>
      <c r="AA50" s="56"/>
      <c r="AB50" s="56"/>
    </row>
    <row r="51">
      <c r="A51" s="56"/>
      <c r="B51" s="56"/>
      <c r="C51" s="58"/>
      <c r="D51" s="59"/>
      <c r="E51" s="79"/>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9"/>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9"/>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9"/>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9"/>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9"/>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9"/>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9"/>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9"/>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9"/>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9"/>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9"/>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9"/>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9"/>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9"/>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9"/>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9"/>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9"/>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9"/>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9"/>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9"/>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9"/>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9"/>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9"/>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9"/>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9"/>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9"/>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9"/>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9"/>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9"/>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9"/>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9"/>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9"/>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9"/>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9"/>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9"/>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9"/>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9"/>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9"/>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9"/>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9"/>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9"/>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9"/>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9"/>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9"/>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9"/>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9"/>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9"/>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9"/>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9"/>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9"/>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9"/>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9"/>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9"/>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9"/>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9"/>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9"/>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9"/>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9"/>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9"/>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9"/>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9"/>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9"/>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9"/>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9"/>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9"/>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9"/>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9"/>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9"/>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9"/>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9"/>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9"/>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9"/>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9"/>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9"/>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9"/>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9"/>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9"/>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9"/>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9"/>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9"/>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9"/>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9"/>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9"/>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9"/>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9"/>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9"/>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9"/>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9"/>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9"/>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9"/>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9"/>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9"/>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9"/>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9"/>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9"/>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9"/>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9"/>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9"/>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9"/>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9"/>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9"/>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9"/>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9"/>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9"/>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9"/>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9"/>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9"/>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9"/>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9"/>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9"/>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9"/>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9"/>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9"/>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9"/>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9"/>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9"/>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9"/>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9"/>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9"/>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9"/>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9"/>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9"/>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9"/>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9"/>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9"/>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9"/>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9"/>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9"/>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9"/>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9"/>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9"/>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9"/>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9"/>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9"/>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9"/>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9"/>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9"/>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9"/>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9"/>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9"/>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9"/>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9"/>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9"/>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9"/>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9"/>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9"/>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9"/>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9"/>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9"/>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9"/>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9"/>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9"/>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9"/>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9"/>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9"/>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9"/>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9"/>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9"/>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9"/>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9"/>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9"/>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9"/>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9"/>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9"/>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9"/>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9"/>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9"/>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9"/>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9"/>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9"/>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9"/>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9"/>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9"/>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9"/>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9"/>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9"/>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9"/>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9"/>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9"/>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9"/>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9"/>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9"/>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9"/>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9"/>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9"/>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9"/>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9"/>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9"/>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9"/>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9"/>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9"/>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9"/>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9"/>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9"/>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9"/>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9"/>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9"/>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9"/>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9"/>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9"/>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9"/>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9"/>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9"/>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9"/>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9"/>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9"/>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9"/>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9"/>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9"/>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9"/>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9"/>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9"/>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9"/>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9"/>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9"/>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9"/>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9"/>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9"/>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9"/>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9"/>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9"/>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9"/>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9"/>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9"/>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9"/>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9"/>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9"/>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9"/>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9"/>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9"/>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9"/>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9"/>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9"/>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9"/>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9"/>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9"/>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9"/>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9"/>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9"/>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9"/>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9"/>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9"/>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9"/>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9"/>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9"/>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9"/>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9"/>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9"/>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9"/>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9"/>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9"/>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9"/>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9"/>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9"/>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9"/>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9"/>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9"/>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9"/>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9"/>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9"/>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9"/>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9"/>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9"/>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9"/>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9"/>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9"/>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9"/>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9"/>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9"/>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9"/>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9"/>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9"/>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9"/>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9"/>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9"/>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9"/>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9"/>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9"/>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9"/>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9"/>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9"/>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9"/>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9"/>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9"/>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9"/>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9"/>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9"/>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9"/>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9"/>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9"/>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9"/>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9"/>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9"/>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9"/>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9"/>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9"/>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9"/>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9"/>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9"/>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9"/>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9"/>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9"/>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9"/>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9"/>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9"/>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9"/>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9"/>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9"/>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9"/>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9"/>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9"/>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9"/>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9"/>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9"/>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9"/>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9"/>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9"/>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9"/>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9"/>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9"/>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9"/>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9"/>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9"/>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9"/>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9"/>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9"/>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9"/>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9"/>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9"/>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9"/>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9"/>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9"/>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9"/>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9"/>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9"/>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9"/>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9"/>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9"/>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9"/>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9"/>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9"/>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9"/>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9"/>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9"/>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9"/>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9"/>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9"/>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9"/>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9"/>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9"/>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9"/>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9"/>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9"/>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9"/>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9"/>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9"/>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9"/>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9"/>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9"/>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9"/>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9"/>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9"/>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9"/>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9"/>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9"/>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9"/>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9"/>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9"/>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9"/>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9"/>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9"/>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9"/>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9"/>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9"/>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9"/>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9"/>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9"/>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9"/>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9"/>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9"/>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9"/>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9"/>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9"/>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9"/>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9"/>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9"/>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9"/>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9"/>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9"/>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9"/>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9"/>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9"/>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9"/>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9"/>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9"/>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9"/>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9"/>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9"/>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9"/>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9"/>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9"/>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9"/>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9"/>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9"/>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9"/>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9"/>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9"/>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9"/>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9"/>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9"/>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9"/>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9"/>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9"/>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9"/>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9"/>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9"/>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9"/>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9"/>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9"/>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9"/>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9"/>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9"/>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9"/>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9"/>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9"/>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9"/>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9"/>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9"/>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9"/>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9"/>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9"/>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9"/>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9"/>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9"/>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9"/>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9"/>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9"/>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9"/>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9"/>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9"/>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9"/>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9"/>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9"/>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9"/>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9"/>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9"/>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9"/>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9"/>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9"/>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9"/>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9"/>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9"/>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9"/>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9"/>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9"/>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9"/>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9"/>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9"/>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9"/>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9"/>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9"/>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9"/>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9"/>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9"/>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9"/>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9"/>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9"/>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9"/>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9"/>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9"/>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9"/>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9"/>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9"/>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9"/>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9"/>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9"/>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9"/>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9"/>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9"/>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9"/>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9"/>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9"/>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9"/>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9"/>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9"/>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9"/>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9"/>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9"/>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9"/>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9"/>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9"/>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9"/>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9"/>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9"/>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9"/>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9"/>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9"/>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9"/>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9"/>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9"/>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9"/>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9"/>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9"/>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9"/>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9"/>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9"/>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9"/>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9"/>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9"/>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9"/>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9"/>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9"/>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9"/>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9"/>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9"/>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9"/>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9"/>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9"/>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9"/>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9"/>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9"/>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9"/>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9"/>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9"/>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9"/>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9"/>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9"/>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9"/>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9"/>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9"/>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9"/>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9"/>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9"/>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9"/>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9"/>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9"/>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9"/>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9"/>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9"/>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9"/>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9"/>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9"/>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9"/>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9"/>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9"/>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9"/>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9"/>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9"/>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9"/>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9"/>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9"/>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9"/>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9"/>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9"/>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9"/>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9"/>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9"/>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9"/>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9"/>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9"/>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9"/>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9"/>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9"/>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9"/>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9"/>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9"/>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9"/>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9"/>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9"/>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9"/>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9"/>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9"/>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9"/>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9"/>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9"/>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9"/>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9"/>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9"/>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9"/>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9"/>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9"/>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9"/>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9"/>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9"/>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9"/>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9"/>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9"/>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9"/>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9"/>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9"/>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9"/>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9"/>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9"/>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9"/>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9"/>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9"/>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9"/>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9"/>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9"/>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9"/>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9"/>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9"/>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9"/>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9"/>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9"/>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9"/>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9"/>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9"/>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9"/>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9"/>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9"/>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9"/>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9"/>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9"/>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9"/>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9"/>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9"/>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9"/>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9"/>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9"/>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9"/>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9"/>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9"/>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9"/>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9"/>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9"/>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9"/>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9"/>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9"/>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9"/>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9"/>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9"/>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9"/>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9"/>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9"/>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9"/>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9"/>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9"/>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9"/>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9"/>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9"/>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9"/>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9"/>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9"/>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9"/>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9"/>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9"/>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9"/>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9"/>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9"/>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9"/>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9"/>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9"/>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9"/>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9"/>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9"/>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9"/>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9"/>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9"/>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9"/>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9"/>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9"/>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9"/>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9"/>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9"/>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9"/>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9"/>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9"/>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9"/>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9"/>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9"/>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9"/>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9"/>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9"/>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9"/>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9"/>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9"/>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9"/>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9"/>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9"/>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9"/>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9"/>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9"/>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9"/>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9"/>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9"/>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9"/>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9"/>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9"/>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9"/>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9"/>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9"/>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9"/>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9"/>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9"/>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9"/>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9"/>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9"/>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9"/>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9"/>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9"/>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9"/>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9"/>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9"/>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9"/>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9"/>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9"/>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9"/>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9"/>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9"/>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9"/>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9"/>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9"/>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9"/>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9"/>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9"/>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9"/>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9"/>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9"/>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9"/>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9"/>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9"/>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9"/>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9"/>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9"/>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9"/>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9"/>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9"/>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9"/>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9"/>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9"/>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9"/>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9"/>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9"/>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9"/>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9"/>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9"/>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9"/>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9"/>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9"/>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9"/>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9"/>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9"/>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9"/>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9"/>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9"/>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9"/>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9"/>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9"/>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9"/>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9"/>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9"/>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9"/>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9"/>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9"/>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9"/>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9"/>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9"/>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9"/>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9"/>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9"/>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9"/>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9"/>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9"/>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9"/>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9"/>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9"/>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9"/>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9"/>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9"/>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9"/>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9"/>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9"/>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9"/>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9"/>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9"/>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9"/>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9"/>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9"/>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9"/>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9"/>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9"/>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9"/>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9"/>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9"/>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9"/>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9"/>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9"/>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9"/>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9"/>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9"/>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9"/>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9"/>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9"/>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9"/>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9"/>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9"/>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9"/>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9"/>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9"/>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9"/>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9"/>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9"/>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9"/>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9"/>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9"/>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9"/>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9"/>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9"/>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9"/>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9"/>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9"/>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9"/>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9"/>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9"/>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9"/>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9"/>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9"/>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9"/>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9"/>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9"/>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9"/>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9"/>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9"/>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9"/>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9"/>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9"/>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9"/>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9"/>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9"/>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9"/>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9"/>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9"/>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9"/>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9"/>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9"/>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9"/>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9"/>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9"/>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9"/>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9"/>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9"/>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9"/>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9"/>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9"/>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9"/>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9"/>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9"/>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9"/>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9"/>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9"/>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9"/>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9"/>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9"/>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9"/>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9"/>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9"/>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9"/>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9"/>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9"/>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9"/>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9"/>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9"/>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9"/>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9"/>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9"/>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9"/>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9"/>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9"/>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9"/>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9"/>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9"/>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9"/>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9"/>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9"/>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9"/>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9"/>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9"/>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9"/>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9"/>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9"/>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9"/>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9"/>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9"/>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9"/>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9"/>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9"/>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9"/>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9"/>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9"/>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9"/>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9"/>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9"/>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9"/>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9"/>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9"/>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9"/>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9"/>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9"/>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9"/>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9"/>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9"/>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9"/>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9"/>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9"/>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9"/>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9"/>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9"/>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9"/>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9"/>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9"/>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9"/>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9"/>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9"/>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9"/>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9"/>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9"/>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9"/>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9"/>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9"/>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9"/>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9"/>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9"/>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9"/>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975">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5">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176</v>
      </c>
      <c r="E2" s="80">
        <f>IFERROR(__xludf.DUMMYFUNCTION("COUNTA(SPLIT(D2,"" ""))/COUNTA(SPLIT($B$2,"" ""))"),0.14145141451414514)</f>
        <v>0.1414514145</v>
      </c>
      <c r="F2" s="7">
        <v>5.0</v>
      </c>
      <c r="G2" s="7">
        <v>5.0</v>
      </c>
      <c r="H2" s="7">
        <v>5.0</v>
      </c>
      <c r="I2" s="7">
        <v>3.0</v>
      </c>
      <c r="J2" s="7">
        <v>5.0</v>
      </c>
      <c r="K2" s="56"/>
      <c r="L2" s="56"/>
      <c r="M2" s="56"/>
      <c r="N2" s="56"/>
      <c r="O2" s="56"/>
      <c r="P2" s="56"/>
      <c r="Q2" s="56"/>
      <c r="R2" s="56"/>
      <c r="S2" s="56"/>
      <c r="T2" s="56"/>
      <c r="U2" s="56"/>
      <c r="V2" s="56"/>
      <c r="W2" s="56"/>
      <c r="X2" s="56"/>
      <c r="Y2" s="56"/>
      <c r="Z2" s="56"/>
      <c r="AA2" s="56"/>
      <c r="AB2" s="56"/>
    </row>
    <row r="3" ht="225.0" customHeight="1">
      <c r="C3" s="7" t="s">
        <v>22</v>
      </c>
      <c r="D3" s="54" t="s">
        <v>177</v>
      </c>
      <c r="E3" s="81">
        <f>IFERROR(__xludf.DUMMYFUNCTION("COUNTA(SPLIT(D3,"" ""))/COUNTA(SPLIT($B$2,"" ""))"),0.11316113161131611)</f>
        <v>0.1131611316</v>
      </c>
      <c r="F3" s="7">
        <v>5.0</v>
      </c>
      <c r="G3" s="7">
        <v>5.0</v>
      </c>
      <c r="H3" s="7">
        <v>5.0</v>
      </c>
      <c r="I3" s="7">
        <v>4.0</v>
      </c>
      <c r="J3" s="7">
        <v>5.0</v>
      </c>
      <c r="K3" s="56"/>
      <c r="L3" s="56"/>
      <c r="M3" s="56"/>
      <c r="N3" s="56"/>
      <c r="O3" s="56"/>
      <c r="P3" s="56"/>
      <c r="Q3" s="56"/>
      <c r="R3" s="56"/>
      <c r="S3" s="56"/>
      <c r="T3" s="56"/>
      <c r="U3" s="56"/>
      <c r="V3" s="56"/>
      <c r="W3" s="56"/>
      <c r="X3" s="56"/>
      <c r="Y3" s="56"/>
      <c r="Z3" s="56"/>
      <c r="AA3" s="56"/>
      <c r="AB3" s="56"/>
    </row>
    <row r="4" ht="225.0" customHeight="1">
      <c r="A4" s="82"/>
      <c r="C4" s="7" t="s">
        <v>8</v>
      </c>
      <c r="D4" s="54" t="s">
        <v>178</v>
      </c>
      <c r="E4" s="83">
        <f>IFERROR(__xludf.DUMMYFUNCTION("COUNTA(SPLIT(D4,"" ""))/COUNTA(SPLIT($B$2,"" ""))"),0.17589175891758918)</f>
        <v>0.1758917589</v>
      </c>
      <c r="F4" s="7">
        <v>3.0</v>
      </c>
      <c r="G4" s="7">
        <v>5.0</v>
      </c>
      <c r="H4" s="7">
        <v>5.0</v>
      </c>
      <c r="I4" s="7">
        <v>3.0</v>
      </c>
      <c r="J4" s="7">
        <v>5.0</v>
      </c>
      <c r="K4" s="56"/>
      <c r="L4" s="56"/>
      <c r="M4" s="56"/>
      <c r="N4" s="56"/>
      <c r="O4" s="56"/>
      <c r="P4" s="56"/>
      <c r="Q4" s="56"/>
      <c r="R4" s="56"/>
      <c r="S4" s="56"/>
      <c r="T4" s="56"/>
      <c r="U4" s="56"/>
      <c r="V4" s="56"/>
      <c r="W4" s="56"/>
      <c r="X4" s="56"/>
      <c r="Y4" s="56"/>
      <c r="Z4" s="56"/>
      <c r="AA4" s="56"/>
      <c r="AB4" s="56"/>
    </row>
    <row r="5" ht="225.0" customHeight="1">
      <c r="A5" s="82"/>
      <c r="C5" s="7" t="s">
        <v>23</v>
      </c>
      <c r="D5" s="54" t="s">
        <v>179</v>
      </c>
      <c r="E5" s="84">
        <f>IFERROR(__xludf.DUMMYFUNCTION("COUNTA(SPLIT(D5,"" ""))/COUNTA(SPLIT($B$2,"" ""))"),0.12054120541205413)</f>
        <v>0.1205412054</v>
      </c>
      <c r="F5" s="7">
        <v>4.0</v>
      </c>
      <c r="G5" s="7">
        <v>5.0</v>
      </c>
      <c r="H5" s="7">
        <v>5.0</v>
      </c>
      <c r="I5" s="7">
        <v>4.0</v>
      </c>
      <c r="J5" s="7">
        <v>5.0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5" t="s">
        <v>39</v>
      </c>
      <c r="B7" s="62" t="s">
        <v>40</v>
      </c>
      <c r="C7" s="63" t="s">
        <v>21</v>
      </c>
      <c r="D7" s="64" t="s">
        <v>180</v>
      </c>
      <c r="E7" s="86">
        <f>IFERROR(__xludf.DUMMYFUNCTION("COUNTA(SPLIT(D7,"" ""))/COUNTA(SPLIT($B$7,"" ""))"),0.12462908011869436)</f>
        <v>0.1246290801</v>
      </c>
      <c r="F7" s="63">
        <v>5.0</v>
      </c>
      <c r="G7" s="63">
        <v>4.0</v>
      </c>
      <c r="H7" s="63">
        <v>5.0</v>
      </c>
      <c r="I7" s="63">
        <v>5.0</v>
      </c>
      <c r="J7" s="63">
        <v>5.0</v>
      </c>
      <c r="K7" s="66"/>
      <c r="L7" s="66"/>
      <c r="M7" s="66"/>
      <c r="N7" s="66"/>
      <c r="O7" s="66"/>
      <c r="P7" s="66"/>
      <c r="Q7" s="66"/>
      <c r="R7" s="66"/>
      <c r="S7" s="66"/>
      <c r="T7" s="66"/>
      <c r="U7" s="66"/>
      <c r="V7" s="66"/>
      <c r="W7" s="66"/>
      <c r="X7" s="66"/>
      <c r="Y7" s="66"/>
      <c r="Z7" s="66"/>
      <c r="AA7" s="66"/>
      <c r="AB7" s="66"/>
    </row>
    <row r="8" ht="225.0" customHeight="1">
      <c r="A8" s="87"/>
      <c r="C8" s="7" t="s">
        <v>22</v>
      </c>
      <c r="D8" s="54" t="s">
        <v>181</v>
      </c>
      <c r="E8" s="88">
        <f>IFERROR(__xludf.DUMMYFUNCTION("COUNTA(SPLIT(D8,"" ""))/COUNTA(SPLIT($B$7,"" ""))"),0.11572700296735905)</f>
        <v>0.115727003</v>
      </c>
      <c r="F8" s="7">
        <v>5.0</v>
      </c>
      <c r="G8" s="7">
        <v>5.0</v>
      </c>
      <c r="H8" s="7">
        <v>5.0</v>
      </c>
      <c r="I8" s="7">
        <v>5.0</v>
      </c>
      <c r="J8" s="7">
        <v>5.0</v>
      </c>
      <c r="K8" s="56"/>
      <c r="L8" s="56"/>
      <c r="M8" s="56"/>
      <c r="N8" s="56"/>
      <c r="O8" s="56"/>
      <c r="P8" s="56"/>
      <c r="Q8" s="56"/>
      <c r="R8" s="56"/>
      <c r="S8" s="56"/>
      <c r="T8" s="56"/>
      <c r="U8" s="56"/>
      <c r="V8" s="56"/>
      <c r="W8" s="56"/>
      <c r="X8" s="56"/>
      <c r="Y8" s="56"/>
      <c r="Z8" s="56"/>
      <c r="AA8" s="56"/>
      <c r="AB8" s="56"/>
    </row>
    <row r="9" ht="225.0" customHeight="1">
      <c r="A9" s="87"/>
      <c r="C9" s="7" t="s">
        <v>8</v>
      </c>
      <c r="D9" s="54" t="s">
        <v>182</v>
      </c>
      <c r="E9" s="89">
        <f>IFERROR(__xludf.DUMMYFUNCTION("COUNTA(SPLIT(D9,"" ""))/COUNTA(SPLIT($B$7,"" ""))"),0.17012858555885263)</f>
        <v>0.1701285856</v>
      </c>
      <c r="F9" s="7">
        <v>3.0</v>
      </c>
      <c r="G9" s="7">
        <v>3.0</v>
      </c>
      <c r="H9" s="7">
        <v>5.0</v>
      </c>
      <c r="I9" s="7">
        <v>4.0</v>
      </c>
      <c r="J9" s="7">
        <v>5.0</v>
      </c>
      <c r="K9" s="56"/>
      <c r="L9" s="56"/>
      <c r="M9" s="56"/>
      <c r="N9" s="56"/>
      <c r="O9" s="56"/>
      <c r="P9" s="56"/>
      <c r="Q9" s="56"/>
      <c r="R9" s="56"/>
      <c r="S9" s="56"/>
      <c r="T9" s="56"/>
      <c r="U9" s="56"/>
      <c r="V9" s="56"/>
      <c r="W9" s="56"/>
      <c r="X9" s="56"/>
      <c r="Y9" s="56"/>
      <c r="Z9" s="56"/>
      <c r="AA9" s="56"/>
      <c r="AB9" s="56"/>
    </row>
    <row r="10" ht="225.0" customHeight="1">
      <c r="A10" s="87"/>
      <c r="C10" s="7" t="s">
        <v>23</v>
      </c>
      <c r="D10" s="54" t="s">
        <v>183</v>
      </c>
      <c r="E10" s="90">
        <f>IFERROR(__xludf.DUMMYFUNCTION("COUNTA(SPLIT(D10,"" ""))/COUNTA(SPLIT($B$7,"" ""))"),0.13748763600395647)</f>
        <v>0.137487636</v>
      </c>
      <c r="F10" s="7">
        <v>4.0</v>
      </c>
      <c r="G10" s="7">
        <v>3.0</v>
      </c>
      <c r="H10" s="7">
        <v>5.0</v>
      </c>
      <c r="I10" s="7">
        <v>5.0</v>
      </c>
      <c r="J10" s="7">
        <v>5.0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5" t="s">
        <v>101</v>
      </c>
      <c r="B12" s="62" t="s">
        <v>46</v>
      </c>
      <c r="C12" s="63" t="s">
        <v>21</v>
      </c>
      <c r="D12" s="64" t="s">
        <v>184</v>
      </c>
      <c r="E12" s="91">
        <f>IFERROR(__xludf.DUMMYFUNCTION("COUNTA(SPLIT(D12,"" ""))/COUNTA(SPLIT($B$12,"" ""))"),0.06973995271867613)</f>
        <v>0.06973995272</v>
      </c>
      <c r="F12" s="63">
        <v>4.0</v>
      </c>
      <c r="G12" s="63">
        <v>4.0</v>
      </c>
      <c r="H12" s="63">
        <v>5.0</v>
      </c>
      <c r="I12" s="63">
        <v>4.0</v>
      </c>
      <c r="J12" s="63">
        <v>5.0</v>
      </c>
      <c r="K12" s="66"/>
      <c r="L12" s="66"/>
      <c r="M12" s="66"/>
      <c r="N12" s="66"/>
      <c r="O12" s="66"/>
      <c r="P12" s="66"/>
      <c r="Q12" s="66"/>
      <c r="R12" s="66"/>
      <c r="S12" s="66"/>
      <c r="T12" s="66"/>
      <c r="U12" s="66"/>
      <c r="V12" s="66"/>
      <c r="W12" s="66"/>
      <c r="X12" s="66"/>
      <c r="Y12" s="66"/>
      <c r="Z12" s="66"/>
      <c r="AA12" s="66"/>
      <c r="AB12" s="66"/>
    </row>
    <row r="13" ht="225.0" customHeight="1">
      <c r="A13" s="87"/>
      <c r="C13" s="7" t="s">
        <v>22</v>
      </c>
      <c r="D13" s="54" t="s">
        <v>185</v>
      </c>
      <c r="E13" s="92">
        <f>IFERROR(__xludf.DUMMYFUNCTION("COUNTA(SPLIT(D13,"" ""))/COUNTA(SPLIT($B$12,"" ""))"),0.07801418439716312)</f>
        <v>0.0780141844</v>
      </c>
      <c r="F13" s="7">
        <v>5.0</v>
      </c>
      <c r="G13" s="7">
        <v>5.0</v>
      </c>
      <c r="H13" s="7">
        <v>5.0</v>
      </c>
      <c r="I13" s="7">
        <v>5.0</v>
      </c>
      <c r="J13" s="7">
        <v>5.0</v>
      </c>
      <c r="K13" s="56"/>
      <c r="L13" s="56"/>
      <c r="M13" s="56"/>
      <c r="N13" s="56"/>
      <c r="O13" s="56"/>
      <c r="P13" s="56"/>
      <c r="Q13" s="56"/>
      <c r="R13" s="56"/>
      <c r="S13" s="56"/>
      <c r="T13" s="56"/>
      <c r="U13" s="56"/>
      <c r="V13" s="56"/>
      <c r="W13" s="56"/>
      <c r="X13" s="56"/>
      <c r="Y13" s="56"/>
      <c r="Z13" s="56"/>
      <c r="AA13" s="56"/>
      <c r="AB13" s="56"/>
    </row>
    <row r="14" ht="225.0" customHeight="1">
      <c r="A14" s="87"/>
      <c r="C14" s="7" t="s">
        <v>8</v>
      </c>
      <c r="D14" s="54" t="s">
        <v>186</v>
      </c>
      <c r="E14" s="93">
        <f>IFERROR(__xludf.DUMMYFUNCTION("COUNTA(SPLIT(D14,"" ""))/COUNTA(SPLIT($B$12,"" ""))"),0.09869976359338062)</f>
        <v>0.09869976359</v>
      </c>
      <c r="F14" s="7">
        <v>3.0</v>
      </c>
      <c r="G14" s="7">
        <v>5.0</v>
      </c>
      <c r="H14" s="7">
        <v>5.0</v>
      </c>
      <c r="I14" s="7">
        <v>4.0</v>
      </c>
      <c r="J14" s="7">
        <v>5.0</v>
      </c>
      <c r="K14" s="56"/>
      <c r="L14" s="56"/>
      <c r="M14" s="56"/>
      <c r="N14" s="56"/>
      <c r="O14" s="56"/>
      <c r="P14" s="56"/>
      <c r="Q14" s="56"/>
      <c r="R14" s="56"/>
      <c r="S14" s="56"/>
      <c r="T14" s="56"/>
      <c r="U14" s="56"/>
      <c r="V14" s="56"/>
      <c r="W14" s="56"/>
      <c r="X14" s="56"/>
      <c r="Y14" s="56"/>
      <c r="Z14" s="56"/>
      <c r="AA14" s="56"/>
      <c r="AB14" s="56"/>
    </row>
    <row r="15" ht="225.0" customHeight="1">
      <c r="A15" s="87"/>
      <c r="C15" s="7" t="s">
        <v>23</v>
      </c>
      <c r="D15" s="54" t="s">
        <v>187</v>
      </c>
      <c r="E15" s="94">
        <f>IFERROR(__xludf.DUMMYFUNCTION("COUNTA(SPLIT(D15,"" ""))/COUNTA(SPLIT($B$12,"" ""))"),0.06501182033096926)</f>
        <v>0.06501182033</v>
      </c>
      <c r="F15" s="7">
        <v>4.0</v>
      </c>
      <c r="G15" s="7">
        <v>5.0</v>
      </c>
      <c r="H15" s="7">
        <v>5.0</v>
      </c>
      <c r="I15" s="7">
        <v>5.0</v>
      </c>
      <c r="J15" s="7">
        <v>4.0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5" t="s">
        <v>51</v>
      </c>
      <c r="B17" s="62" t="s">
        <v>52</v>
      </c>
      <c r="C17" s="63" t="s">
        <v>21</v>
      </c>
      <c r="D17" s="64" t="s">
        <v>188</v>
      </c>
      <c r="E17" s="95">
        <f>IFERROR(__xludf.DUMMYFUNCTION("COUNTA(SPLIT(D17,"" ""))/COUNTA(SPLIT($B$17,"" ""))"),0.1422475106685633)</f>
        <v>0.1422475107</v>
      </c>
      <c r="F17" s="63">
        <v>5.0</v>
      </c>
      <c r="G17" s="63">
        <v>5.0</v>
      </c>
      <c r="H17" s="63">
        <v>5.0</v>
      </c>
      <c r="I17" s="63">
        <v>4.0</v>
      </c>
      <c r="J17" s="63">
        <v>3.0</v>
      </c>
      <c r="K17" s="66"/>
      <c r="L17" s="66"/>
      <c r="M17" s="66"/>
      <c r="N17" s="66"/>
      <c r="O17" s="66"/>
      <c r="P17" s="66"/>
      <c r="Q17" s="66"/>
      <c r="R17" s="66"/>
      <c r="S17" s="66"/>
      <c r="T17" s="66"/>
      <c r="U17" s="66"/>
      <c r="V17" s="66"/>
      <c r="W17" s="66"/>
      <c r="X17" s="66"/>
      <c r="Y17" s="66"/>
      <c r="Z17" s="66"/>
      <c r="AA17" s="66"/>
      <c r="AB17" s="66"/>
    </row>
    <row r="18" ht="225.0" customHeight="1">
      <c r="A18" s="87"/>
      <c r="C18" s="7" t="s">
        <v>22</v>
      </c>
      <c r="D18" s="54" t="s">
        <v>189</v>
      </c>
      <c r="E18" s="96">
        <f>IFERROR(__xludf.DUMMYFUNCTION("COUNTA(SPLIT(D18,"" ""))/COUNTA(SPLIT($B$17,"" ""))"),0.2034139402560455)</f>
        <v>0.2034139403</v>
      </c>
      <c r="F18" s="7">
        <v>5.0</v>
      </c>
      <c r="G18" s="7">
        <v>5.0</v>
      </c>
      <c r="H18" s="7">
        <v>4.0</v>
      </c>
      <c r="I18" s="7">
        <v>4.0</v>
      </c>
      <c r="J18" s="7">
        <v>5.0</v>
      </c>
      <c r="K18" s="56"/>
      <c r="L18" s="56"/>
      <c r="M18" s="56"/>
      <c r="N18" s="56"/>
      <c r="O18" s="56"/>
      <c r="P18" s="56"/>
      <c r="Q18" s="56"/>
      <c r="R18" s="56"/>
      <c r="S18" s="56"/>
      <c r="T18" s="56"/>
      <c r="U18" s="56"/>
      <c r="V18" s="56"/>
      <c r="W18" s="56"/>
      <c r="X18" s="56"/>
      <c r="Y18" s="56"/>
      <c r="Z18" s="56"/>
      <c r="AA18" s="56"/>
      <c r="AB18" s="56"/>
    </row>
    <row r="19" ht="225.0" customHeight="1">
      <c r="A19" s="87"/>
      <c r="C19" s="7" t="s">
        <v>8</v>
      </c>
      <c r="D19" s="54" t="s">
        <v>190</v>
      </c>
      <c r="E19" s="97">
        <f>IFERROR(__xludf.DUMMYFUNCTION("COUNTA(SPLIT(D19,"" ""))/COUNTA(SPLIT($B$17,"" ""))"),0.17496443812233287)</f>
        <v>0.1749644381</v>
      </c>
      <c r="F19" s="7">
        <v>3.0</v>
      </c>
      <c r="G19" s="7">
        <v>4.0</v>
      </c>
      <c r="H19" s="7">
        <v>5.0</v>
      </c>
      <c r="I19" s="7">
        <v>5.0</v>
      </c>
      <c r="J19" s="7">
        <v>5.0</v>
      </c>
      <c r="K19" s="56"/>
      <c r="L19" s="56"/>
      <c r="M19" s="56"/>
      <c r="N19" s="56"/>
      <c r="O19" s="56"/>
      <c r="P19" s="56"/>
      <c r="Q19" s="56"/>
      <c r="R19" s="56"/>
      <c r="S19" s="56"/>
      <c r="T19" s="56"/>
      <c r="U19" s="56"/>
      <c r="V19" s="56"/>
      <c r="W19" s="56"/>
      <c r="X19" s="56"/>
      <c r="Y19" s="56"/>
      <c r="Z19" s="56"/>
      <c r="AA19" s="56"/>
      <c r="AB19" s="56"/>
    </row>
    <row r="20" ht="225.0" customHeight="1">
      <c r="A20" s="87"/>
      <c r="C20" s="7" t="s">
        <v>23</v>
      </c>
      <c r="D20" s="54" t="s">
        <v>191</v>
      </c>
      <c r="E20" s="98">
        <f>IFERROR(__xludf.DUMMYFUNCTION("COUNTA(SPLIT(D20,"" ""))/COUNTA(SPLIT($B$17,"" ""))"),0.1379800853485064)</f>
        <v>0.1379800853</v>
      </c>
      <c r="F20" s="7">
        <v>5.0</v>
      </c>
      <c r="G20" s="7">
        <v>4.0</v>
      </c>
      <c r="H20" s="7">
        <v>5.0</v>
      </c>
      <c r="I20" s="7">
        <v>5.0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5" t="s">
        <v>57</v>
      </c>
      <c r="B22" s="62" t="s">
        <v>58</v>
      </c>
      <c r="C22" s="63" t="s">
        <v>21</v>
      </c>
      <c r="D22" s="64" t="s">
        <v>192</v>
      </c>
      <c r="E22" s="99">
        <f>IFERROR(__xludf.DUMMYFUNCTION("COUNTA(SPLIT(D22,"" ""))/COUNTA(SPLIT($B$22,"" ""))"),0.1605471562275018)</f>
        <v>0.1605471562</v>
      </c>
      <c r="F22" s="63">
        <v>5.0</v>
      </c>
      <c r="G22" s="63">
        <v>5.0</v>
      </c>
      <c r="H22" s="63">
        <v>5.0</v>
      </c>
      <c r="I22" s="63">
        <v>3.0</v>
      </c>
      <c r="J22" s="63">
        <v>5.0</v>
      </c>
      <c r="K22" s="66"/>
      <c r="L22" s="66"/>
      <c r="M22" s="66"/>
      <c r="N22" s="66"/>
      <c r="O22" s="66"/>
      <c r="P22" s="66"/>
      <c r="Q22" s="66"/>
      <c r="R22" s="66"/>
      <c r="S22" s="66"/>
      <c r="T22" s="66"/>
      <c r="U22" s="66"/>
      <c r="V22" s="66"/>
      <c r="W22" s="66"/>
      <c r="X22" s="66"/>
      <c r="Y22" s="66"/>
      <c r="Z22" s="66"/>
      <c r="AA22" s="66"/>
      <c r="AB22" s="66"/>
    </row>
    <row r="23" ht="225.0" customHeight="1">
      <c r="A23" s="87"/>
      <c r="C23" s="7" t="s">
        <v>22</v>
      </c>
      <c r="D23" s="54" t="s">
        <v>193</v>
      </c>
      <c r="E23" s="100">
        <f>IFERROR(__xludf.DUMMYFUNCTION("COUNTA(SPLIT(D23,"" ""))/COUNTA(SPLIT($B$22,"" ""))"),0.07631389488840892)</f>
        <v>0.07631389489</v>
      </c>
      <c r="F23" s="7">
        <v>5.0</v>
      </c>
      <c r="G23" s="7">
        <v>5.0</v>
      </c>
      <c r="H23" s="7">
        <v>5.0</v>
      </c>
      <c r="I23" s="7">
        <v>4.0</v>
      </c>
      <c r="J23" s="7">
        <v>4.0</v>
      </c>
      <c r="K23" s="56"/>
      <c r="L23" s="56"/>
      <c r="M23" s="56"/>
      <c r="N23" s="56"/>
      <c r="O23" s="56"/>
      <c r="P23" s="56"/>
      <c r="Q23" s="56"/>
      <c r="R23" s="56"/>
      <c r="S23" s="56"/>
      <c r="T23" s="56"/>
      <c r="U23" s="56"/>
      <c r="V23" s="56"/>
      <c r="W23" s="56"/>
      <c r="X23" s="56"/>
      <c r="Y23" s="56"/>
      <c r="Z23" s="56"/>
      <c r="AA23" s="56"/>
      <c r="AB23" s="56"/>
    </row>
    <row r="24" ht="225.0" customHeight="1">
      <c r="A24" s="87"/>
      <c r="C24" s="7" t="s">
        <v>8</v>
      </c>
      <c r="D24" s="54" t="s">
        <v>194</v>
      </c>
      <c r="E24" s="101">
        <f>IFERROR(__xludf.DUMMYFUNCTION("COUNTA(SPLIT(D24,"" ""))/COUNTA(SPLIT($B$22,"" ""))"),0.10943124550035997)</f>
        <v>0.1094312455</v>
      </c>
      <c r="F24" s="7">
        <v>3.0</v>
      </c>
      <c r="G24" s="7">
        <v>5.0</v>
      </c>
      <c r="H24" s="7">
        <v>5.0</v>
      </c>
      <c r="I24" s="7">
        <v>4.0</v>
      </c>
      <c r="J24" s="7">
        <v>3.0</v>
      </c>
      <c r="K24" s="56"/>
      <c r="L24" s="56"/>
      <c r="M24" s="56"/>
      <c r="N24" s="56"/>
      <c r="O24" s="56"/>
      <c r="P24" s="56"/>
      <c r="Q24" s="56"/>
      <c r="R24" s="56"/>
      <c r="S24" s="56"/>
      <c r="T24" s="56"/>
      <c r="U24" s="56"/>
      <c r="V24" s="56"/>
      <c r="W24" s="56"/>
      <c r="X24" s="56"/>
      <c r="Y24" s="56"/>
      <c r="Z24" s="56"/>
      <c r="AA24" s="56"/>
      <c r="AB24" s="56"/>
    </row>
    <row r="25" ht="225.0" customHeight="1">
      <c r="A25" s="87"/>
      <c r="C25" s="7" t="s">
        <v>23</v>
      </c>
      <c r="D25" s="54" t="s">
        <v>195</v>
      </c>
      <c r="E25" s="102">
        <f>IFERROR(__xludf.DUMMYFUNCTION("COUNTA(SPLIT(D25,"" ""))/COUNTA(SPLIT($B$22,"" ""))"),0.07631389488840892)</f>
        <v>0.07631389489</v>
      </c>
      <c r="F25" s="7">
        <v>5.0</v>
      </c>
      <c r="G25" s="7">
        <v>5.0</v>
      </c>
      <c r="H25" s="7">
        <v>5.0</v>
      </c>
      <c r="I25" s="7">
        <v>4.0</v>
      </c>
      <c r="J25" s="7">
        <v>5.0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64" t="s">
        <v>196</v>
      </c>
      <c r="E27" s="104">
        <f>IFERROR(__xludf.DUMMYFUNCTION("COUNTA(SPLIT(D27,"" ""))/COUNTA(SPLIT($B$27,"" ""))"),0.3468208092485549)</f>
        <v>0.3468208092</v>
      </c>
      <c r="F27" s="63">
        <v>5.0</v>
      </c>
      <c r="G27" s="63">
        <v>5.0</v>
      </c>
      <c r="H27" s="63">
        <v>5.0</v>
      </c>
      <c r="I27" s="63">
        <v>4.0</v>
      </c>
      <c r="J27" s="63">
        <v>5.0</v>
      </c>
      <c r="K27" s="66"/>
      <c r="L27" s="66"/>
      <c r="M27" s="66"/>
      <c r="N27" s="66"/>
      <c r="O27" s="66"/>
      <c r="P27" s="66"/>
      <c r="Q27" s="66"/>
      <c r="R27" s="66"/>
      <c r="S27" s="66"/>
      <c r="T27" s="66"/>
      <c r="U27" s="66"/>
      <c r="V27" s="66"/>
      <c r="W27" s="66"/>
      <c r="X27" s="66"/>
      <c r="Y27" s="66"/>
      <c r="Z27" s="66"/>
      <c r="AA27" s="66"/>
      <c r="AB27" s="66"/>
    </row>
    <row r="28" ht="225.0" customHeight="1">
      <c r="C28" s="7" t="s">
        <v>22</v>
      </c>
      <c r="D28" s="54" t="s">
        <v>197</v>
      </c>
      <c r="E28" s="105">
        <f>IFERROR(__xludf.DUMMYFUNCTION("COUNTA(SPLIT(D28,"" ""))/COUNTA(SPLIT($B$27,"" ""))"),0.2947976878612717)</f>
        <v>0.2947976879</v>
      </c>
      <c r="F28" s="7">
        <v>5.0</v>
      </c>
      <c r="G28" s="7">
        <v>5.0</v>
      </c>
      <c r="H28" s="7">
        <v>5.0</v>
      </c>
      <c r="I28" s="7">
        <v>5.0</v>
      </c>
      <c r="J28" s="7">
        <v>5.0</v>
      </c>
      <c r="K28" s="56"/>
      <c r="L28" s="56"/>
      <c r="M28" s="56"/>
      <c r="N28" s="56"/>
      <c r="O28" s="56"/>
      <c r="P28" s="56"/>
      <c r="Q28" s="56"/>
      <c r="R28" s="56"/>
      <c r="S28" s="56"/>
      <c r="T28" s="56"/>
      <c r="U28" s="56"/>
      <c r="V28" s="56"/>
      <c r="W28" s="56"/>
      <c r="X28" s="56"/>
      <c r="Y28" s="56"/>
      <c r="Z28" s="56"/>
      <c r="AA28" s="56"/>
      <c r="AB28" s="56"/>
    </row>
    <row r="29" ht="225.0" customHeight="1">
      <c r="C29" s="7" t="s">
        <v>8</v>
      </c>
      <c r="D29" s="54" t="s">
        <v>198</v>
      </c>
      <c r="E29" s="98">
        <f>IFERROR(__xludf.DUMMYFUNCTION("COUNTA(SPLIT(D29,"" ""))/COUNTA(SPLIT($B$27,"" ""))"),0.279383429672447)</f>
        <v>0.2793834297</v>
      </c>
      <c r="F29" s="7">
        <v>3.0</v>
      </c>
      <c r="G29" s="7">
        <v>5.0</v>
      </c>
      <c r="H29" s="7">
        <v>5.0</v>
      </c>
      <c r="I29" s="7">
        <v>4.0</v>
      </c>
      <c r="J29" s="7">
        <v>4.0</v>
      </c>
      <c r="K29" s="56"/>
      <c r="L29" s="56"/>
      <c r="M29" s="56"/>
      <c r="N29" s="56"/>
      <c r="O29" s="56"/>
      <c r="P29" s="56"/>
      <c r="Q29" s="56"/>
      <c r="R29" s="56"/>
      <c r="S29" s="56"/>
      <c r="T29" s="56"/>
      <c r="U29" s="56"/>
      <c r="V29" s="56"/>
      <c r="W29" s="56"/>
      <c r="X29" s="56"/>
      <c r="Y29" s="56"/>
      <c r="Z29" s="56"/>
      <c r="AA29" s="56"/>
      <c r="AB29" s="56"/>
    </row>
    <row r="30" ht="225.0" customHeight="1">
      <c r="C30" s="7" t="s">
        <v>23</v>
      </c>
      <c r="D30" s="54" t="s">
        <v>199</v>
      </c>
      <c r="E30" s="106">
        <f>IFERROR(__xludf.DUMMYFUNCTION("COUNTA(SPLIT(D30,"" ""))/COUNTA(SPLIT($B$27,"" ""))"),0.1926782273603083)</f>
        <v>0.1926782274</v>
      </c>
      <c r="F30" s="7">
        <v>4.0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70</v>
      </c>
      <c r="C32" s="63" t="s">
        <v>21</v>
      </c>
      <c r="D32" s="64" t="s">
        <v>200</v>
      </c>
      <c r="E32" s="76">
        <f>IFERROR(__xludf.DUMMYFUNCTION("COUNTA(SPLIT(D32,"" ""))/COUNTA(SPLIT($B$32,"" ""))"),0.5243243243243243)</f>
        <v>0.5243243243</v>
      </c>
      <c r="F32" s="63">
        <v>4.0</v>
      </c>
      <c r="G32" s="63">
        <v>5.0</v>
      </c>
      <c r="H32" s="63">
        <v>5.0</v>
      </c>
      <c r="I32" s="63">
        <v>4.0</v>
      </c>
      <c r="J32" s="63">
        <v>5.0</v>
      </c>
      <c r="K32" s="66"/>
      <c r="L32" s="66"/>
      <c r="M32" s="66"/>
      <c r="N32" s="66"/>
      <c r="O32" s="66"/>
      <c r="P32" s="66"/>
      <c r="Q32" s="66"/>
      <c r="R32" s="66"/>
      <c r="S32" s="66"/>
      <c r="T32" s="66"/>
      <c r="U32" s="66"/>
      <c r="V32" s="66"/>
      <c r="W32" s="66"/>
      <c r="X32" s="66"/>
      <c r="Y32" s="66"/>
      <c r="Z32" s="66"/>
      <c r="AA32" s="66"/>
      <c r="AB32" s="66"/>
    </row>
    <row r="33" ht="225.0" customHeight="1">
      <c r="C33" s="7" t="s">
        <v>22</v>
      </c>
      <c r="D33" s="54" t="s">
        <v>201</v>
      </c>
      <c r="E33" s="108">
        <f>IFERROR(__xludf.DUMMYFUNCTION("COUNTA(SPLIT(D33,"" ""))/COUNTA(SPLIT($B$32,"" ""))"),0.5459459459459459)</f>
        <v>0.5459459459</v>
      </c>
      <c r="F33" s="7">
        <v>4.0</v>
      </c>
      <c r="G33" s="7">
        <v>5.0</v>
      </c>
      <c r="H33" s="7">
        <v>5.0</v>
      </c>
      <c r="I33" s="7">
        <v>4.0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54" t="s">
        <v>202</v>
      </c>
      <c r="E34" s="109">
        <f>IFERROR(__xludf.DUMMYFUNCTION("COUNTA(SPLIT(D34,"" ""))/COUNTA(SPLIT($B$32,"" ""))"),0.6594594594594595)</f>
        <v>0.6594594595</v>
      </c>
      <c r="F34" s="7">
        <v>3.0</v>
      </c>
      <c r="G34" s="7">
        <v>5.0</v>
      </c>
      <c r="H34" s="7">
        <v>5.0</v>
      </c>
      <c r="I34" s="7">
        <v>3.0</v>
      </c>
      <c r="J34" s="7">
        <v>5.0</v>
      </c>
      <c r="K34" s="56"/>
      <c r="L34" s="56"/>
      <c r="M34" s="56"/>
      <c r="N34" s="56"/>
      <c r="O34" s="56"/>
      <c r="P34" s="56"/>
      <c r="Q34" s="56"/>
      <c r="R34" s="56"/>
      <c r="S34" s="56"/>
      <c r="T34" s="56"/>
      <c r="U34" s="56"/>
      <c r="V34" s="56"/>
      <c r="W34" s="56"/>
      <c r="X34" s="56"/>
      <c r="Y34" s="56"/>
      <c r="Z34" s="56"/>
      <c r="AA34" s="56"/>
      <c r="AB34" s="56"/>
    </row>
    <row r="35" ht="225.0" customHeight="1">
      <c r="C35" s="7" t="s">
        <v>23</v>
      </c>
      <c r="D35" s="54" t="s">
        <v>203</v>
      </c>
      <c r="E35" s="72">
        <f>IFERROR(__xludf.DUMMYFUNCTION("COUNTA(SPLIT(D35,"" ""))/COUNTA(SPLIT($B$32,"" ""))"),0.32432432432432434)</f>
        <v>0.3243243243</v>
      </c>
      <c r="F35" s="7">
        <v>4.0</v>
      </c>
      <c r="G35" s="7">
        <v>5.0</v>
      </c>
      <c r="H35" s="7">
        <v>5.0</v>
      </c>
      <c r="I35" s="7">
        <v>5.0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204</v>
      </c>
      <c r="E37" s="81">
        <f>IFERROR(__xludf.DUMMYFUNCTION("COUNTA(SPLIT(D37,"" ""))/COUNTA(SPLIT($B$37,"" ""))"),0.14602346805736635)</f>
        <v>0.1460234681</v>
      </c>
      <c r="F37" s="63">
        <v>4.0</v>
      </c>
      <c r="G37" s="63">
        <v>5.0</v>
      </c>
      <c r="H37" s="63">
        <v>5.0</v>
      </c>
      <c r="I37" s="63">
        <v>4.0</v>
      </c>
      <c r="J37" s="63">
        <v>4.0</v>
      </c>
      <c r="K37" s="66"/>
      <c r="L37" s="66"/>
      <c r="M37" s="66"/>
      <c r="N37" s="66"/>
      <c r="O37" s="66"/>
      <c r="P37" s="66"/>
      <c r="Q37" s="66"/>
      <c r="R37" s="66"/>
      <c r="S37" s="66"/>
      <c r="T37" s="66"/>
      <c r="U37" s="66"/>
      <c r="V37" s="66"/>
      <c r="W37" s="66"/>
      <c r="X37" s="66"/>
      <c r="Y37" s="66"/>
      <c r="Z37" s="66"/>
      <c r="AA37" s="66"/>
      <c r="AB37" s="66"/>
    </row>
    <row r="38" ht="225.0" customHeight="1">
      <c r="C38" s="7" t="s">
        <v>22</v>
      </c>
      <c r="D38" s="54" t="s">
        <v>205</v>
      </c>
      <c r="E38" s="110">
        <f>IFERROR(__xludf.DUMMYFUNCTION("COUNTA(SPLIT(D38,"" ""))/COUNTA(SPLIT($B$37,"" ""))"),0.12777053455019557)</f>
        <v>0.1277705346</v>
      </c>
      <c r="F38" s="7">
        <v>4.0</v>
      </c>
      <c r="G38" s="7">
        <v>5.0</v>
      </c>
      <c r="H38" s="7">
        <v>5.0</v>
      </c>
      <c r="I38" s="7">
        <v>4.0</v>
      </c>
      <c r="J38" s="7">
        <v>3.0</v>
      </c>
      <c r="K38" s="56"/>
      <c r="L38" s="56"/>
      <c r="M38" s="56"/>
      <c r="N38" s="56"/>
      <c r="O38" s="56"/>
      <c r="P38" s="56"/>
      <c r="Q38" s="56"/>
      <c r="R38" s="56"/>
      <c r="S38" s="56"/>
      <c r="T38" s="56"/>
      <c r="U38" s="56"/>
      <c r="V38" s="56"/>
      <c r="W38" s="56"/>
      <c r="X38" s="56"/>
      <c r="Y38" s="56"/>
      <c r="Z38" s="56"/>
      <c r="AA38" s="56"/>
      <c r="AB38" s="56"/>
    </row>
    <row r="39" ht="225.0" customHeight="1">
      <c r="C39" s="7" t="s">
        <v>8</v>
      </c>
      <c r="D39" s="54" t="s">
        <v>206</v>
      </c>
      <c r="E39" s="94">
        <f>IFERROR(__xludf.DUMMYFUNCTION("COUNTA(SPLIT(D39,"" ""))/COUNTA(SPLIT($B$37,"" ""))"),0.1864406779661017)</f>
        <v>0.186440678</v>
      </c>
      <c r="F39" s="7">
        <v>3.0</v>
      </c>
      <c r="G39" s="7">
        <v>5.0</v>
      </c>
      <c r="H39" s="7">
        <v>5.0</v>
      </c>
      <c r="I39" s="7">
        <v>4.0</v>
      </c>
      <c r="J39" s="7">
        <v>3.0</v>
      </c>
      <c r="K39" s="56"/>
      <c r="L39" s="56"/>
      <c r="M39" s="56"/>
      <c r="N39" s="56"/>
      <c r="O39" s="56"/>
      <c r="P39" s="56"/>
      <c r="Q39" s="56"/>
      <c r="R39" s="56"/>
      <c r="S39" s="56"/>
      <c r="T39" s="56"/>
      <c r="U39" s="56"/>
      <c r="V39" s="56"/>
      <c r="W39" s="56"/>
      <c r="X39" s="56"/>
      <c r="Y39" s="56"/>
      <c r="Z39" s="56"/>
      <c r="AA39" s="56"/>
      <c r="AB39" s="56"/>
    </row>
    <row r="40" ht="225.0" customHeight="1">
      <c r="C40" s="7" t="s">
        <v>23</v>
      </c>
      <c r="D40" s="54" t="s">
        <v>207</v>
      </c>
      <c r="E40" s="84">
        <f>IFERROR(__xludf.DUMMYFUNCTION("COUNTA(SPLIT(D40,"" ""))/COUNTA(SPLIT($B$37,"" ""))"),0.11603650586701435)</f>
        <v>0.1160365059</v>
      </c>
      <c r="F40" s="7">
        <v>4.0</v>
      </c>
      <c r="G40" s="7">
        <v>3.0</v>
      </c>
      <c r="H40" s="7">
        <v>5.0</v>
      </c>
      <c r="I40" s="7">
        <v>4.0</v>
      </c>
      <c r="J40" s="7">
        <v>3.0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208</v>
      </c>
      <c r="E42" s="111">
        <f>IFERROR(__xludf.DUMMYFUNCTION("COUNTA(SPLIT(D42,"" ""))/COUNTA(SPLIT($B$42,"" ""))"),0.3211781206171108)</f>
        <v>0.3211781206</v>
      </c>
      <c r="F42" s="63">
        <v>3.0</v>
      </c>
      <c r="G42" s="63">
        <v>5.0</v>
      </c>
      <c r="H42" s="63">
        <v>5.0</v>
      </c>
      <c r="I42" s="63">
        <v>3.0</v>
      </c>
      <c r="J42" s="63">
        <v>5.0</v>
      </c>
      <c r="K42" s="66"/>
      <c r="L42" s="66"/>
      <c r="M42" s="66"/>
      <c r="N42" s="66"/>
      <c r="O42" s="66"/>
      <c r="P42" s="66"/>
      <c r="Q42" s="66"/>
      <c r="R42" s="66"/>
      <c r="S42" s="66"/>
      <c r="T42" s="66"/>
      <c r="U42" s="66"/>
      <c r="V42" s="66"/>
      <c r="W42" s="66"/>
      <c r="X42" s="66"/>
      <c r="Y42" s="66"/>
      <c r="Z42" s="66"/>
      <c r="AA42" s="66"/>
      <c r="AB42" s="66"/>
    </row>
    <row r="43" ht="225.0" customHeight="1">
      <c r="C43" s="7" t="s">
        <v>22</v>
      </c>
      <c r="D43" s="54" t="s">
        <v>209</v>
      </c>
      <c r="E43" s="81">
        <f>IFERROR(__xludf.DUMMYFUNCTION("COUNTA(SPLIT(D43,"" ""))/COUNTA(SPLIT($B$42,"" ""))"),0.2917251051893408)</f>
        <v>0.2917251052</v>
      </c>
      <c r="F43" s="7">
        <v>3.0</v>
      </c>
      <c r="G43" s="7">
        <v>5.0</v>
      </c>
      <c r="H43" s="7">
        <v>5.0</v>
      </c>
      <c r="I43" s="7">
        <v>3.0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54" t="s">
        <v>210</v>
      </c>
      <c r="E44" s="112">
        <f>IFERROR(__xludf.DUMMYFUNCTION("COUNTA(SPLIT(D44,"" ""))/COUNTA(SPLIT($B$42,"" ""))"),0.23562412342215988)</f>
        <v>0.2356241234</v>
      </c>
      <c r="F44" s="7">
        <v>3.0</v>
      </c>
      <c r="G44" s="7">
        <v>4.0</v>
      </c>
      <c r="H44" s="7">
        <v>5.0</v>
      </c>
      <c r="I44" s="7">
        <v>4.0</v>
      </c>
      <c r="J44" s="7">
        <v>5.0</v>
      </c>
      <c r="K44" s="56"/>
      <c r="L44" s="56"/>
      <c r="M44" s="56"/>
      <c r="N44" s="56"/>
      <c r="O44" s="56"/>
      <c r="P44" s="56"/>
      <c r="Q44" s="56"/>
      <c r="R44" s="56"/>
      <c r="S44" s="56"/>
      <c r="T44" s="56"/>
      <c r="U44" s="56"/>
      <c r="V44" s="56"/>
      <c r="W44" s="56"/>
      <c r="X44" s="56"/>
      <c r="Y44" s="56"/>
      <c r="Z44" s="56"/>
      <c r="AA44" s="56"/>
      <c r="AB44" s="56"/>
    </row>
    <row r="45" ht="225.0" customHeight="1">
      <c r="C45" s="7" t="s">
        <v>23</v>
      </c>
      <c r="D45" s="54" t="s">
        <v>211</v>
      </c>
      <c r="E45" s="106">
        <f>IFERROR(__xludf.DUMMYFUNCTION("COUNTA(SPLIT(D45,"" ""))/COUNTA(SPLIT($B$42,"" ""))"),0.1402524544179523)</f>
        <v>0.1402524544</v>
      </c>
      <c r="F45" s="7">
        <v>4.0</v>
      </c>
      <c r="G45" s="7">
        <v>4.0</v>
      </c>
      <c r="H45" s="7">
        <v>5.0</v>
      </c>
      <c r="I45" s="7">
        <v>4.0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88</v>
      </c>
      <c r="C47" s="63" t="s">
        <v>21</v>
      </c>
      <c r="D47" s="64" t="s">
        <v>212</v>
      </c>
      <c r="E47" s="113">
        <f>IFERROR(__xludf.DUMMYFUNCTION("COUNTA(SPLIT(D47,"" ""))/COUNTA(SPLIT($B$47,"" ""))"),0.1588310038119441)</f>
        <v>0.1588310038</v>
      </c>
      <c r="F47" s="63">
        <v>5.0</v>
      </c>
      <c r="G47" s="63">
        <v>5.0</v>
      </c>
      <c r="H47" s="63">
        <v>5.0</v>
      </c>
      <c r="I47" s="63">
        <v>3.0</v>
      </c>
      <c r="J47" s="63">
        <v>4.0</v>
      </c>
      <c r="K47" s="66"/>
      <c r="L47" s="66"/>
      <c r="M47" s="66"/>
      <c r="N47" s="66"/>
      <c r="O47" s="66"/>
      <c r="P47" s="66"/>
      <c r="Q47" s="66"/>
      <c r="R47" s="66"/>
      <c r="S47" s="66"/>
      <c r="T47" s="66"/>
      <c r="U47" s="66"/>
      <c r="V47" s="66"/>
      <c r="W47" s="66"/>
      <c r="X47" s="66"/>
      <c r="Y47" s="66"/>
      <c r="Z47" s="66"/>
      <c r="AA47" s="66"/>
      <c r="AB47" s="66"/>
    </row>
    <row r="48" ht="225.0" customHeight="1">
      <c r="C48" s="7" t="s">
        <v>22</v>
      </c>
      <c r="D48" s="54" t="s">
        <v>213</v>
      </c>
      <c r="E48" s="114">
        <f>IFERROR(__xludf.DUMMYFUNCTION("COUNTA(SPLIT(D48,"" ""))/COUNTA(SPLIT($B$47,"" ""))"),0.07687420584498093)</f>
        <v>0.07687420584</v>
      </c>
      <c r="F48" s="7">
        <v>5.0</v>
      </c>
      <c r="G48" s="7">
        <v>5.0</v>
      </c>
      <c r="H48" s="7">
        <v>5.0</v>
      </c>
      <c r="I48" s="7">
        <v>5.0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54" t="s">
        <v>214</v>
      </c>
      <c r="E49" s="115">
        <f>IFERROR(__xludf.DUMMYFUNCTION("COUNTA(SPLIT(D49,"" ""))/COUNTA(SPLIT($B$47,"" ""))"),0.09593392630241424)</f>
        <v>0.0959339263</v>
      </c>
      <c r="F49" s="7">
        <v>3.0</v>
      </c>
      <c r="G49" s="7">
        <v>5.0</v>
      </c>
      <c r="H49" s="7">
        <v>5.0</v>
      </c>
      <c r="I49" s="7">
        <v>5.0</v>
      </c>
      <c r="J49" s="7">
        <v>4.0</v>
      </c>
      <c r="K49" s="56"/>
      <c r="L49" s="56"/>
      <c r="M49" s="56"/>
      <c r="N49" s="56"/>
      <c r="O49" s="56"/>
      <c r="P49" s="56"/>
      <c r="Q49" s="56"/>
      <c r="R49" s="56"/>
      <c r="S49" s="56"/>
      <c r="T49" s="56"/>
      <c r="U49" s="56"/>
      <c r="V49" s="56"/>
      <c r="W49" s="56"/>
      <c r="X49" s="56"/>
      <c r="Y49" s="56"/>
      <c r="Z49" s="56"/>
      <c r="AA49" s="56"/>
      <c r="AB49" s="56"/>
    </row>
    <row r="50" ht="225.0" customHeight="1">
      <c r="C50" s="7" t="s">
        <v>23</v>
      </c>
      <c r="D50" s="54" t="s">
        <v>215</v>
      </c>
      <c r="E50" s="116">
        <f>IFERROR(__xludf.DUMMYFUNCTION("COUNTA(SPLIT(D50,"" ""))/COUNTA(SPLIT($B$47,"" ""))"),0.062261753494282084)</f>
        <v>0.06226175349</v>
      </c>
      <c r="F50" s="7">
        <v>5.0</v>
      </c>
      <c r="G50" s="7">
        <v>5.0</v>
      </c>
      <c r="H50" s="7">
        <v>5.0</v>
      </c>
      <c r="I50" s="7">
        <v>5.0</v>
      </c>
      <c r="J50" s="7">
        <v>4.0</v>
      </c>
      <c r="K50" s="56"/>
      <c r="L50" s="56"/>
      <c r="M50" s="56"/>
      <c r="N50" s="56"/>
      <c r="O50" s="56"/>
      <c r="P50" s="56"/>
      <c r="Q50" s="56"/>
      <c r="R50" s="56"/>
      <c r="S50" s="56"/>
      <c r="T50" s="56"/>
      <c r="U50" s="56"/>
      <c r="V50" s="56"/>
      <c r="W50" s="56"/>
      <c r="X50" s="56"/>
      <c r="Y50" s="56"/>
      <c r="Z50" s="56"/>
      <c r="AA50" s="56"/>
      <c r="AB50" s="56"/>
    </row>
    <row r="51">
      <c r="A51" s="56"/>
      <c r="B51" s="56"/>
      <c r="C51" s="58"/>
      <c r="D51" s="59"/>
      <c r="E51" s="79"/>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9"/>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9"/>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9"/>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9"/>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9"/>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9"/>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9"/>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9"/>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9"/>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9"/>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9"/>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9"/>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9"/>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9"/>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9"/>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9"/>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9"/>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9"/>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9"/>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9"/>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9"/>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9"/>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9"/>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9"/>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9"/>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9"/>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9"/>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9"/>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9"/>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9"/>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9"/>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9"/>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9"/>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9"/>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9"/>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9"/>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9"/>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9"/>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9"/>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9"/>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9"/>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9"/>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9"/>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9"/>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9"/>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9"/>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9"/>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9"/>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9"/>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9"/>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9"/>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9"/>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9"/>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9"/>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9"/>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9"/>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9"/>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9"/>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9"/>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9"/>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9"/>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9"/>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9"/>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9"/>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9"/>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9"/>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9"/>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9"/>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9"/>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9"/>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9"/>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9"/>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9"/>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9"/>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9"/>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9"/>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9"/>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9"/>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9"/>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9"/>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9"/>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9"/>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9"/>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9"/>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9"/>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9"/>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9"/>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9"/>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9"/>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9"/>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9"/>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9"/>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9"/>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9"/>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9"/>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9"/>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9"/>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9"/>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9"/>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9"/>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9"/>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9"/>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9"/>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9"/>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9"/>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9"/>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9"/>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9"/>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9"/>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9"/>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9"/>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9"/>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9"/>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9"/>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9"/>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9"/>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9"/>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9"/>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9"/>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9"/>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9"/>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9"/>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9"/>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9"/>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9"/>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9"/>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9"/>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9"/>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9"/>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9"/>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9"/>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9"/>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9"/>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9"/>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9"/>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9"/>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9"/>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9"/>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9"/>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9"/>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9"/>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9"/>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9"/>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9"/>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9"/>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9"/>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9"/>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9"/>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9"/>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9"/>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9"/>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9"/>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9"/>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9"/>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9"/>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9"/>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9"/>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9"/>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9"/>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9"/>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9"/>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9"/>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9"/>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9"/>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9"/>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9"/>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9"/>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9"/>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9"/>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9"/>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9"/>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9"/>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9"/>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9"/>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9"/>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9"/>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9"/>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9"/>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9"/>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9"/>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9"/>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9"/>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9"/>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9"/>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9"/>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9"/>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9"/>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9"/>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9"/>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9"/>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9"/>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9"/>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9"/>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9"/>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9"/>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9"/>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9"/>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9"/>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9"/>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9"/>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9"/>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9"/>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9"/>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9"/>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9"/>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9"/>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9"/>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9"/>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9"/>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9"/>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9"/>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9"/>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9"/>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9"/>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9"/>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9"/>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9"/>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9"/>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9"/>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9"/>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9"/>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9"/>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9"/>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9"/>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9"/>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9"/>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9"/>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9"/>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9"/>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9"/>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9"/>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9"/>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9"/>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9"/>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9"/>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9"/>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9"/>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9"/>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9"/>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9"/>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9"/>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9"/>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9"/>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9"/>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9"/>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9"/>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9"/>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9"/>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9"/>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9"/>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9"/>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9"/>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9"/>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9"/>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9"/>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9"/>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9"/>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9"/>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9"/>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9"/>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9"/>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9"/>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9"/>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9"/>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9"/>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9"/>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9"/>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9"/>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9"/>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9"/>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9"/>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9"/>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9"/>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9"/>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9"/>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9"/>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9"/>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9"/>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9"/>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9"/>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9"/>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9"/>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9"/>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9"/>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9"/>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9"/>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9"/>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9"/>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9"/>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9"/>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9"/>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9"/>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9"/>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9"/>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9"/>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9"/>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9"/>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9"/>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9"/>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9"/>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9"/>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9"/>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9"/>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9"/>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9"/>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9"/>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9"/>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9"/>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9"/>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9"/>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9"/>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9"/>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9"/>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9"/>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9"/>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9"/>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9"/>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9"/>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9"/>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9"/>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9"/>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9"/>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9"/>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9"/>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9"/>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9"/>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9"/>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9"/>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9"/>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9"/>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9"/>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9"/>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9"/>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9"/>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9"/>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9"/>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9"/>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9"/>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9"/>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9"/>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9"/>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9"/>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9"/>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9"/>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9"/>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9"/>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9"/>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9"/>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9"/>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9"/>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9"/>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9"/>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9"/>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9"/>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9"/>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9"/>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9"/>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9"/>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9"/>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9"/>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9"/>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9"/>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9"/>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9"/>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9"/>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9"/>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9"/>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9"/>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9"/>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9"/>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9"/>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9"/>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9"/>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9"/>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9"/>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9"/>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9"/>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9"/>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9"/>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9"/>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9"/>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9"/>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9"/>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9"/>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9"/>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9"/>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9"/>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9"/>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9"/>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9"/>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9"/>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9"/>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9"/>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9"/>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9"/>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9"/>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9"/>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9"/>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9"/>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9"/>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9"/>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9"/>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9"/>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9"/>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9"/>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9"/>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9"/>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9"/>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9"/>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9"/>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9"/>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9"/>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9"/>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9"/>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9"/>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9"/>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9"/>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9"/>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9"/>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9"/>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9"/>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9"/>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9"/>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9"/>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9"/>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9"/>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9"/>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9"/>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9"/>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9"/>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9"/>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9"/>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9"/>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9"/>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9"/>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9"/>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9"/>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9"/>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9"/>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9"/>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9"/>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9"/>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9"/>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9"/>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9"/>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9"/>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9"/>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9"/>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9"/>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9"/>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9"/>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9"/>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9"/>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9"/>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9"/>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9"/>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9"/>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9"/>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9"/>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9"/>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9"/>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9"/>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9"/>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9"/>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9"/>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9"/>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9"/>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9"/>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9"/>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9"/>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9"/>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9"/>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9"/>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9"/>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9"/>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9"/>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9"/>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9"/>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9"/>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9"/>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9"/>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9"/>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9"/>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9"/>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9"/>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9"/>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9"/>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9"/>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9"/>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9"/>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9"/>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9"/>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9"/>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9"/>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9"/>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9"/>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9"/>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9"/>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9"/>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9"/>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9"/>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9"/>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9"/>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9"/>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9"/>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9"/>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9"/>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9"/>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9"/>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9"/>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9"/>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9"/>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9"/>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9"/>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9"/>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9"/>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9"/>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9"/>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9"/>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9"/>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9"/>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9"/>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9"/>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9"/>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9"/>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9"/>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9"/>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9"/>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9"/>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9"/>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9"/>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9"/>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9"/>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9"/>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9"/>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9"/>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9"/>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9"/>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9"/>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9"/>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9"/>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9"/>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9"/>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9"/>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9"/>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9"/>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9"/>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9"/>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9"/>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9"/>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9"/>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9"/>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9"/>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9"/>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9"/>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9"/>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9"/>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9"/>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9"/>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9"/>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9"/>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9"/>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9"/>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9"/>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9"/>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9"/>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9"/>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9"/>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9"/>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9"/>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9"/>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9"/>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9"/>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9"/>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9"/>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9"/>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9"/>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9"/>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9"/>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9"/>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9"/>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9"/>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9"/>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9"/>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9"/>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9"/>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9"/>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9"/>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9"/>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9"/>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9"/>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9"/>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9"/>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9"/>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9"/>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9"/>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9"/>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9"/>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9"/>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9"/>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9"/>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9"/>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9"/>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9"/>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9"/>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9"/>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9"/>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9"/>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9"/>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9"/>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9"/>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9"/>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9"/>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9"/>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9"/>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9"/>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9"/>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9"/>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9"/>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9"/>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9"/>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9"/>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9"/>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9"/>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9"/>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9"/>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9"/>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9"/>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9"/>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9"/>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9"/>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9"/>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9"/>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9"/>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9"/>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9"/>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9"/>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9"/>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9"/>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9"/>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9"/>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9"/>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9"/>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9"/>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9"/>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9"/>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9"/>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9"/>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9"/>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9"/>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9"/>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9"/>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9"/>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9"/>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9"/>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9"/>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9"/>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9"/>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9"/>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9"/>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9"/>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9"/>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9"/>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9"/>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9"/>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9"/>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9"/>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9"/>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9"/>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9"/>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9"/>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9"/>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9"/>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9"/>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9"/>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9"/>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9"/>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9"/>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9"/>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9"/>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9"/>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9"/>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9"/>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9"/>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9"/>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9"/>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9"/>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9"/>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9"/>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9"/>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9"/>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9"/>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9"/>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9"/>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9"/>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9"/>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9"/>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9"/>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9"/>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9"/>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9"/>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9"/>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9"/>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9"/>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9"/>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9"/>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9"/>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9"/>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9"/>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9"/>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9"/>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9"/>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9"/>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9"/>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9"/>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9"/>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9"/>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9"/>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9"/>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9"/>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9"/>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9"/>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9"/>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9"/>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9"/>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9"/>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9"/>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9"/>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9"/>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9"/>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9"/>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9"/>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9"/>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9"/>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9"/>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9"/>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9"/>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9"/>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9"/>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9"/>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9"/>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9"/>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9"/>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9"/>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9"/>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9"/>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9"/>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9"/>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9"/>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9"/>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9"/>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9"/>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9"/>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9"/>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9"/>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9"/>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9"/>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9"/>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9"/>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9"/>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9"/>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9"/>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9"/>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9"/>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9"/>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9"/>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9"/>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9"/>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9"/>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9"/>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9"/>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9"/>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9"/>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9"/>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9"/>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9"/>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9"/>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9"/>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9"/>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9"/>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9"/>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9"/>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9"/>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9"/>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9"/>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9"/>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9"/>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9"/>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9"/>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9"/>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9"/>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9"/>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9"/>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9"/>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9"/>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9"/>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9"/>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9"/>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9"/>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9"/>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9"/>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9"/>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9"/>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9"/>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9"/>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9"/>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9"/>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9"/>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9"/>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9"/>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9"/>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9"/>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9"/>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9"/>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9"/>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9"/>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9"/>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9"/>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9"/>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9"/>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9"/>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9"/>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9"/>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9"/>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9"/>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9"/>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9"/>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9"/>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9"/>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9"/>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9"/>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9"/>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9"/>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9"/>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9"/>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9"/>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9"/>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9"/>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9"/>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9"/>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9"/>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9"/>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9"/>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9"/>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9"/>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9"/>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9"/>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9"/>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9"/>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9"/>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9"/>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9"/>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9"/>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9"/>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9"/>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9"/>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9"/>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9"/>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9"/>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9"/>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9"/>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9"/>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9"/>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9"/>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9"/>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9"/>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9"/>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9"/>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9"/>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9"/>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9"/>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9"/>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9"/>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9"/>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9"/>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9"/>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9"/>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9"/>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9"/>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9"/>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9"/>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9"/>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9"/>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9"/>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9"/>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9"/>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9"/>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9"/>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9"/>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9"/>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9"/>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9"/>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9"/>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9"/>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9"/>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9"/>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9"/>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9"/>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9"/>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9"/>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9"/>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9"/>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9"/>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9"/>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9"/>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9"/>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9"/>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9"/>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9"/>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9"/>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9"/>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9"/>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9"/>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9"/>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9"/>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9"/>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9"/>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9"/>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9"/>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9"/>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9"/>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9"/>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9"/>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9"/>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9"/>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976">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6">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216</v>
      </c>
      <c r="E2" s="80">
        <f>IFERROR(__xludf.DUMMYFUNCTION("COUNTA(SPLIT(D2,"" ""))/COUNTA(SPLIT($B$2,"" ""))"),0.13776137761377613)</f>
        <v>0.1377613776</v>
      </c>
      <c r="F2" s="7">
        <v>4.0</v>
      </c>
      <c r="G2" s="7">
        <v>5.0</v>
      </c>
      <c r="H2" s="7">
        <v>5.0</v>
      </c>
      <c r="I2" s="7">
        <v>3.0</v>
      </c>
      <c r="J2" s="7">
        <v>5.0</v>
      </c>
      <c r="K2" s="56"/>
      <c r="L2" s="56"/>
      <c r="M2" s="56"/>
      <c r="N2" s="56"/>
      <c r="O2" s="56"/>
      <c r="P2" s="56"/>
      <c r="Q2" s="56"/>
      <c r="R2" s="56"/>
      <c r="S2" s="56"/>
      <c r="T2" s="56"/>
      <c r="U2" s="56"/>
      <c r="V2" s="56"/>
      <c r="W2" s="56"/>
      <c r="X2" s="56"/>
      <c r="Y2" s="56"/>
      <c r="Z2" s="56"/>
      <c r="AA2" s="56"/>
      <c r="AB2" s="56"/>
    </row>
    <row r="3" ht="225.0" customHeight="1">
      <c r="C3" s="7" t="s">
        <v>22</v>
      </c>
      <c r="D3" s="54" t="s">
        <v>217</v>
      </c>
      <c r="E3" s="81">
        <f>IFERROR(__xludf.DUMMYFUNCTION("COUNTA(SPLIT(D3,"" ""))/COUNTA(SPLIT($B$2,"" ""))"),0.13776137761377613)</f>
        <v>0.1377613776</v>
      </c>
      <c r="F3" s="7">
        <v>4.0</v>
      </c>
      <c r="G3" s="7">
        <v>5.0</v>
      </c>
      <c r="H3" s="7">
        <v>5.0</v>
      </c>
      <c r="I3" s="7">
        <v>3.0</v>
      </c>
      <c r="J3" s="7">
        <v>5.0</v>
      </c>
      <c r="K3" s="56"/>
      <c r="L3" s="56"/>
      <c r="M3" s="56"/>
      <c r="N3" s="56"/>
      <c r="O3" s="56"/>
      <c r="P3" s="56"/>
      <c r="Q3" s="56"/>
      <c r="R3" s="56"/>
      <c r="S3" s="56"/>
      <c r="T3" s="56"/>
      <c r="U3" s="56"/>
      <c r="V3" s="56"/>
      <c r="W3" s="56"/>
      <c r="X3" s="56"/>
      <c r="Y3" s="56"/>
      <c r="Z3" s="56"/>
      <c r="AA3" s="56"/>
      <c r="AB3" s="56"/>
    </row>
    <row r="4" ht="225.0" customHeight="1">
      <c r="A4" s="82"/>
      <c r="C4" s="7" t="s">
        <v>8</v>
      </c>
      <c r="D4" s="54" t="s">
        <v>218</v>
      </c>
      <c r="E4" s="83">
        <f>IFERROR(__xludf.DUMMYFUNCTION("COUNTA(SPLIT(D4,"" ""))/COUNTA(SPLIT($B$2,"" ""))"),0.22263222632226323)</f>
        <v>0.2226322263</v>
      </c>
      <c r="F4" s="117">
        <v>3.0</v>
      </c>
      <c r="G4" s="7">
        <v>3.0</v>
      </c>
      <c r="H4" s="7">
        <v>4.0</v>
      </c>
      <c r="I4" s="7">
        <v>3.0</v>
      </c>
      <c r="J4" s="7">
        <v>5.0</v>
      </c>
      <c r="K4" s="56"/>
      <c r="L4" s="56"/>
      <c r="M4" s="56"/>
      <c r="N4" s="56"/>
      <c r="O4" s="56"/>
      <c r="P4" s="56"/>
      <c r="Q4" s="56"/>
      <c r="R4" s="56"/>
      <c r="S4" s="56"/>
      <c r="T4" s="56"/>
      <c r="U4" s="56"/>
      <c r="V4" s="56"/>
      <c r="W4" s="56"/>
      <c r="X4" s="56"/>
      <c r="Y4" s="56"/>
      <c r="Z4" s="56"/>
      <c r="AA4" s="56"/>
      <c r="AB4" s="56"/>
    </row>
    <row r="5" ht="225.0" customHeight="1">
      <c r="A5" s="82"/>
      <c r="C5" s="7" t="s">
        <v>23</v>
      </c>
      <c r="D5" s="54" t="s">
        <v>219</v>
      </c>
      <c r="E5" s="84">
        <f>IFERROR(__xludf.DUMMYFUNCTION("COUNTA(SPLIT(D5,"" ""))/COUNTA(SPLIT($B$2,"" ""))"),0.14022140221402213)</f>
        <v>0.1402214022</v>
      </c>
      <c r="F5" s="7">
        <v>4.0</v>
      </c>
      <c r="G5" s="7">
        <v>5.0</v>
      </c>
      <c r="H5" s="7">
        <v>5.0</v>
      </c>
      <c r="I5" s="7">
        <v>4.0</v>
      </c>
      <c r="J5" s="7">
        <v>5.0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5" t="s">
        <v>39</v>
      </c>
      <c r="B7" s="62" t="s">
        <v>40</v>
      </c>
      <c r="C7" s="63" t="s">
        <v>21</v>
      </c>
      <c r="D7" s="64" t="s">
        <v>220</v>
      </c>
      <c r="E7" s="86">
        <f>IFERROR(__xludf.DUMMYFUNCTION("COUNTA(SPLIT(D7,"" ""))/COUNTA(SPLIT($B$7,"" ""))"),0.14737883283877348)</f>
        <v>0.1473788328</v>
      </c>
      <c r="F7" s="63">
        <v>4.0</v>
      </c>
      <c r="G7" s="63">
        <v>3.0</v>
      </c>
      <c r="H7" s="63">
        <v>5.0</v>
      </c>
      <c r="I7" s="63">
        <v>5.0</v>
      </c>
      <c r="J7" s="63">
        <v>5.0</v>
      </c>
      <c r="K7" s="66"/>
      <c r="L7" s="66"/>
      <c r="M7" s="66"/>
      <c r="N7" s="66"/>
      <c r="O7" s="66"/>
      <c r="P7" s="66"/>
      <c r="Q7" s="66"/>
      <c r="R7" s="66"/>
      <c r="S7" s="66"/>
      <c r="T7" s="66"/>
      <c r="U7" s="66"/>
      <c r="V7" s="66"/>
      <c r="W7" s="66"/>
      <c r="X7" s="66"/>
      <c r="Y7" s="66"/>
      <c r="Z7" s="66"/>
      <c r="AA7" s="66"/>
      <c r="AB7" s="66"/>
    </row>
    <row r="8" ht="225.0" customHeight="1">
      <c r="A8" s="87"/>
      <c r="C8" s="7" t="s">
        <v>22</v>
      </c>
      <c r="D8" s="54" t="s">
        <v>221</v>
      </c>
      <c r="E8" s="88">
        <f>IFERROR(__xludf.DUMMYFUNCTION("COUNTA(SPLIT(D8,"" ""))/COUNTA(SPLIT($B$7,"" ""))"),0.142433234421365)</f>
        <v>0.1424332344</v>
      </c>
      <c r="F8" s="7">
        <v>4.0</v>
      </c>
      <c r="G8" s="7">
        <v>3.0</v>
      </c>
      <c r="H8" s="7">
        <v>5.0</v>
      </c>
      <c r="I8" s="7">
        <v>5.0</v>
      </c>
      <c r="J8" s="7">
        <v>3.0</v>
      </c>
      <c r="K8" s="56"/>
      <c r="L8" s="56"/>
      <c r="M8" s="56"/>
      <c r="N8" s="56"/>
      <c r="O8" s="56"/>
      <c r="P8" s="56"/>
      <c r="Q8" s="56"/>
      <c r="R8" s="56"/>
      <c r="S8" s="56"/>
      <c r="T8" s="56"/>
      <c r="U8" s="56"/>
      <c r="V8" s="56"/>
      <c r="W8" s="56"/>
      <c r="X8" s="56"/>
      <c r="Y8" s="56"/>
      <c r="Z8" s="56"/>
      <c r="AA8" s="56"/>
      <c r="AB8" s="56"/>
    </row>
    <row r="9" ht="225.0" customHeight="1">
      <c r="A9" s="87"/>
      <c r="C9" s="7" t="s">
        <v>8</v>
      </c>
      <c r="D9" s="54" t="s">
        <v>222</v>
      </c>
      <c r="E9" s="89">
        <f>IFERROR(__xludf.DUMMYFUNCTION("COUNTA(SPLIT(D9,"" ""))/COUNTA(SPLIT($B$7,"" ""))"),0.17903066271018794)</f>
        <v>0.1790306627</v>
      </c>
      <c r="F9" s="7">
        <v>3.0</v>
      </c>
      <c r="G9" s="7">
        <v>3.0</v>
      </c>
      <c r="H9" s="7">
        <v>5.0</v>
      </c>
      <c r="I9" s="7">
        <v>5.0</v>
      </c>
      <c r="J9" s="7">
        <v>5.0</v>
      </c>
      <c r="K9" s="56"/>
      <c r="L9" s="56"/>
      <c r="M9" s="56"/>
      <c r="N9" s="56"/>
      <c r="O9" s="56"/>
      <c r="P9" s="56"/>
      <c r="Q9" s="56"/>
      <c r="R9" s="56"/>
      <c r="S9" s="56"/>
      <c r="T9" s="56"/>
      <c r="U9" s="56"/>
      <c r="V9" s="56"/>
      <c r="W9" s="56"/>
      <c r="X9" s="56"/>
      <c r="Y9" s="56"/>
      <c r="Z9" s="56"/>
      <c r="AA9" s="56"/>
      <c r="AB9" s="56"/>
    </row>
    <row r="10" ht="225.0" customHeight="1">
      <c r="A10" s="87"/>
      <c r="C10" s="7" t="s">
        <v>23</v>
      </c>
      <c r="D10" s="54" t="s">
        <v>223</v>
      </c>
      <c r="E10" s="90">
        <f>IFERROR(__xludf.DUMMYFUNCTION("COUNTA(SPLIT(D10,"" ""))/COUNTA(SPLIT($B$7,"" ""))"),0.09297725024727992)</f>
        <v>0.09297725025</v>
      </c>
      <c r="F10" s="7">
        <v>4.0</v>
      </c>
      <c r="G10" s="7">
        <v>4.0</v>
      </c>
      <c r="H10" s="7">
        <v>5.0</v>
      </c>
      <c r="I10" s="7">
        <v>5.0</v>
      </c>
      <c r="J10" s="7">
        <v>3.0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5" t="s">
        <v>101</v>
      </c>
      <c r="B12" s="62" t="s">
        <v>46</v>
      </c>
      <c r="C12" s="63" t="s">
        <v>21</v>
      </c>
      <c r="D12" s="64" t="s">
        <v>224</v>
      </c>
      <c r="E12" s="91">
        <f>IFERROR(__xludf.DUMMYFUNCTION("COUNTA(SPLIT(D12,"" ""))/COUNTA(SPLIT($B$12,"" ""))"),0.10638297872340426)</f>
        <v>0.1063829787</v>
      </c>
      <c r="F12" s="63">
        <v>4.0</v>
      </c>
      <c r="G12" s="63">
        <v>5.0</v>
      </c>
      <c r="H12" s="63">
        <v>5.0</v>
      </c>
      <c r="I12" s="63">
        <v>4.0</v>
      </c>
      <c r="J12" s="63">
        <v>3.0</v>
      </c>
      <c r="K12" s="66"/>
      <c r="L12" s="66"/>
      <c r="M12" s="66"/>
      <c r="N12" s="66"/>
      <c r="O12" s="66"/>
      <c r="P12" s="66"/>
      <c r="Q12" s="66"/>
      <c r="R12" s="66"/>
      <c r="S12" s="66"/>
      <c r="T12" s="66"/>
      <c r="U12" s="66"/>
      <c r="V12" s="66"/>
      <c r="W12" s="66"/>
      <c r="X12" s="66"/>
      <c r="Y12" s="66"/>
      <c r="Z12" s="66"/>
      <c r="AA12" s="66"/>
      <c r="AB12" s="66"/>
    </row>
    <row r="13" ht="225.0" customHeight="1">
      <c r="A13" s="87"/>
      <c r="C13" s="7" t="s">
        <v>22</v>
      </c>
      <c r="D13" s="54" t="s">
        <v>225</v>
      </c>
      <c r="E13" s="92">
        <f>IFERROR(__xludf.DUMMYFUNCTION("COUNTA(SPLIT(D13,"" ""))/COUNTA(SPLIT($B$12,"" ""))"),0.08156028368794327)</f>
        <v>0.08156028369</v>
      </c>
      <c r="F13" s="7">
        <v>4.0</v>
      </c>
      <c r="G13" s="7">
        <v>5.0</v>
      </c>
      <c r="H13" s="7">
        <v>5.0</v>
      </c>
      <c r="I13" s="7">
        <v>3.0</v>
      </c>
      <c r="J13" s="7">
        <v>3.0</v>
      </c>
      <c r="K13" s="56"/>
      <c r="L13" s="56"/>
      <c r="M13" s="56"/>
      <c r="N13" s="56"/>
      <c r="O13" s="56"/>
      <c r="P13" s="56"/>
      <c r="Q13" s="56"/>
      <c r="R13" s="56"/>
      <c r="S13" s="56"/>
      <c r="T13" s="56"/>
      <c r="U13" s="56"/>
      <c r="V13" s="56"/>
      <c r="W13" s="56"/>
      <c r="X13" s="56"/>
      <c r="Y13" s="56"/>
      <c r="Z13" s="56"/>
      <c r="AA13" s="56"/>
      <c r="AB13" s="56"/>
    </row>
    <row r="14" ht="225.0" customHeight="1">
      <c r="A14" s="87"/>
      <c r="C14" s="7" t="s">
        <v>8</v>
      </c>
      <c r="D14" s="54" t="s">
        <v>226</v>
      </c>
      <c r="E14" s="93">
        <f>IFERROR(__xludf.DUMMYFUNCTION("COUNTA(SPLIT(D14,"" ""))/COUNTA(SPLIT($B$12,"" ""))"),0.06501182033096926)</f>
        <v>0.06501182033</v>
      </c>
      <c r="F14" s="7">
        <v>3.0</v>
      </c>
      <c r="G14" s="7">
        <v>4.0</v>
      </c>
      <c r="H14" s="7">
        <v>5.0</v>
      </c>
      <c r="I14" s="7">
        <v>5.0</v>
      </c>
      <c r="J14" s="7">
        <v>4.0</v>
      </c>
      <c r="K14" s="56"/>
      <c r="L14" s="56"/>
      <c r="M14" s="56"/>
      <c r="N14" s="56"/>
      <c r="O14" s="56"/>
      <c r="P14" s="56"/>
      <c r="Q14" s="56"/>
      <c r="R14" s="56"/>
      <c r="S14" s="56"/>
      <c r="T14" s="56"/>
      <c r="U14" s="56"/>
      <c r="V14" s="56"/>
      <c r="W14" s="56"/>
      <c r="X14" s="56"/>
      <c r="Y14" s="56"/>
      <c r="Z14" s="56"/>
      <c r="AA14" s="56"/>
      <c r="AB14" s="56"/>
    </row>
    <row r="15" ht="225.0" customHeight="1">
      <c r="A15" s="87"/>
      <c r="C15" s="7" t="s">
        <v>23</v>
      </c>
      <c r="D15" s="54" t="s">
        <v>227</v>
      </c>
      <c r="E15" s="94">
        <f>IFERROR(__xludf.DUMMYFUNCTION("COUNTA(SPLIT(D15,"" ""))/COUNTA(SPLIT($B$12,"" ""))"),0.05851063829787234)</f>
        <v>0.0585106383</v>
      </c>
      <c r="F15" s="7">
        <v>4.0</v>
      </c>
      <c r="G15" s="7">
        <v>3.0</v>
      </c>
      <c r="H15" s="7">
        <v>4.0</v>
      </c>
      <c r="I15" s="7">
        <v>5.0</v>
      </c>
      <c r="J15" s="7">
        <v>3.0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5" t="s">
        <v>51</v>
      </c>
      <c r="B17" s="62" t="s">
        <v>52</v>
      </c>
      <c r="C17" s="63" t="s">
        <v>21</v>
      </c>
      <c r="D17" s="64" t="s">
        <v>228</v>
      </c>
      <c r="E17" s="95">
        <f>IFERROR(__xludf.DUMMYFUNCTION("COUNTA(SPLIT(D17,"" ""))/COUNTA(SPLIT($B$17,"" ""))"),0.13513513513513514)</f>
        <v>0.1351351351</v>
      </c>
      <c r="F17" s="63">
        <v>4.0</v>
      </c>
      <c r="G17" s="63">
        <v>4.0</v>
      </c>
      <c r="H17" s="63">
        <v>5.0</v>
      </c>
      <c r="I17" s="63">
        <v>5.0</v>
      </c>
      <c r="J17" s="63">
        <v>4.0</v>
      </c>
      <c r="K17" s="66"/>
      <c r="L17" s="66"/>
      <c r="M17" s="66"/>
      <c r="N17" s="66"/>
      <c r="O17" s="66"/>
      <c r="P17" s="66"/>
      <c r="Q17" s="66"/>
      <c r="R17" s="66"/>
      <c r="S17" s="66"/>
      <c r="T17" s="66"/>
      <c r="U17" s="66"/>
      <c r="V17" s="66"/>
      <c r="W17" s="66"/>
      <c r="X17" s="66"/>
      <c r="Y17" s="66"/>
      <c r="Z17" s="66"/>
      <c r="AA17" s="66"/>
      <c r="AB17" s="66"/>
    </row>
    <row r="18" ht="225.0" customHeight="1">
      <c r="A18" s="87"/>
      <c r="C18" s="7" t="s">
        <v>22</v>
      </c>
      <c r="D18" s="54" t="s">
        <v>229</v>
      </c>
      <c r="E18" s="96">
        <f>IFERROR(__xludf.DUMMYFUNCTION("COUNTA(SPLIT(D18,"" ""))/COUNTA(SPLIT($B$17,"" ""))"),0.12233285917496443)</f>
        <v>0.1223328592</v>
      </c>
      <c r="F18" s="7">
        <v>4.0</v>
      </c>
      <c r="G18" s="7">
        <v>5.0</v>
      </c>
      <c r="H18" s="7">
        <v>5.0</v>
      </c>
      <c r="I18" s="7">
        <v>5.0</v>
      </c>
      <c r="J18" s="7">
        <v>4.0</v>
      </c>
      <c r="K18" s="56"/>
      <c r="L18" s="56"/>
      <c r="M18" s="56"/>
      <c r="N18" s="56"/>
      <c r="O18" s="56"/>
      <c r="P18" s="56"/>
      <c r="Q18" s="56"/>
      <c r="R18" s="56"/>
      <c r="S18" s="56"/>
      <c r="T18" s="56"/>
      <c r="U18" s="56"/>
      <c r="V18" s="56"/>
      <c r="W18" s="56"/>
      <c r="X18" s="56"/>
      <c r="Y18" s="56"/>
      <c r="Z18" s="56"/>
      <c r="AA18" s="56"/>
      <c r="AB18" s="56"/>
    </row>
    <row r="19" ht="225.0" customHeight="1">
      <c r="A19" s="87"/>
      <c r="C19" s="7" t="s">
        <v>8</v>
      </c>
      <c r="D19" s="54" t="s">
        <v>230</v>
      </c>
      <c r="E19" s="97">
        <f>IFERROR(__xludf.DUMMYFUNCTION("COUNTA(SPLIT(D19,"" ""))/COUNTA(SPLIT($B$17,"" ""))"),0.1934566145092461)</f>
        <v>0.1934566145</v>
      </c>
      <c r="F19" s="7">
        <v>3.0</v>
      </c>
      <c r="G19" s="7">
        <v>3.0</v>
      </c>
      <c r="H19" s="7">
        <v>5.0</v>
      </c>
      <c r="I19" s="7">
        <v>5.0</v>
      </c>
      <c r="J19" s="7">
        <v>5.0</v>
      </c>
      <c r="K19" s="56"/>
      <c r="L19" s="56"/>
      <c r="M19" s="56"/>
      <c r="N19" s="56"/>
      <c r="O19" s="56"/>
      <c r="P19" s="56"/>
      <c r="Q19" s="56"/>
      <c r="R19" s="56"/>
      <c r="S19" s="56"/>
      <c r="T19" s="56"/>
      <c r="U19" s="56"/>
      <c r="V19" s="56"/>
      <c r="W19" s="56"/>
      <c r="X19" s="56"/>
      <c r="Y19" s="56"/>
      <c r="Z19" s="56"/>
      <c r="AA19" s="56"/>
      <c r="AB19" s="56"/>
    </row>
    <row r="20" ht="225.0" customHeight="1">
      <c r="A20" s="87"/>
      <c r="C20" s="7" t="s">
        <v>23</v>
      </c>
      <c r="D20" s="54" t="s">
        <v>231</v>
      </c>
      <c r="E20" s="98">
        <f>IFERROR(__xludf.DUMMYFUNCTION("COUNTA(SPLIT(D20,"" ""))/COUNTA(SPLIT($B$17,"" ""))"),0.1593172119487909)</f>
        <v>0.1593172119</v>
      </c>
      <c r="F20" s="7">
        <v>4.0</v>
      </c>
      <c r="G20" s="7">
        <v>5.0</v>
      </c>
      <c r="H20" s="7">
        <v>5.0</v>
      </c>
      <c r="I20" s="7">
        <v>5.0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5" t="s">
        <v>57</v>
      </c>
      <c r="B22" s="62" t="s">
        <v>58</v>
      </c>
      <c r="C22" s="63" t="s">
        <v>21</v>
      </c>
      <c r="D22" s="64" t="s">
        <v>232</v>
      </c>
      <c r="E22" s="99">
        <f>IFERROR(__xludf.DUMMYFUNCTION("COUNTA(SPLIT(D22,"" ""))/COUNTA(SPLIT($B$22,"" ""))"),0.11447084233261338)</f>
        <v>0.1144708423</v>
      </c>
      <c r="F22" s="63">
        <v>5.0</v>
      </c>
      <c r="G22" s="63">
        <v>5.0</v>
      </c>
      <c r="H22" s="63">
        <v>5.0</v>
      </c>
      <c r="I22" s="63">
        <v>4.0</v>
      </c>
      <c r="J22" s="63">
        <v>4.0</v>
      </c>
      <c r="K22" s="66"/>
      <c r="L22" s="66"/>
      <c r="M22" s="66"/>
      <c r="N22" s="66"/>
      <c r="O22" s="66"/>
      <c r="P22" s="66"/>
      <c r="Q22" s="66"/>
      <c r="R22" s="66"/>
      <c r="S22" s="66"/>
      <c r="T22" s="66"/>
      <c r="U22" s="66"/>
      <c r="V22" s="66"/>
      <c r="W22" s="66"/>
      <c r="X22" s="66"/>
      <c r="Y22" s="66"/>
      <c r="Z22" s="66"/>
      <c r="AA22" s="66"/>
      <c r="AB22" s="66"/>
    </row>
    <row r="23" ht="225.0" customHeight="1">
      <c r="A23" s="87"/>
      <c r="C23" s="7" t="s">
        <v>22</v>
      </c>
      <c r="D23" s="54" t="s">
        <v>233</v>
      </c>
      <c r="E23" s="100">
        <f>IFERROR(__xludf.DUMMYFUNCTION("COUNTA(SPLIT(D23,"" ""))/COUNTA(SPLIT($B$22,"" ""))"),0.08351331893448524)</f>
        <v>0.08351331893</v>
      </c>
      <c r="F23" s="7">
        <v>4.0</v>
      </c>
      <c r="G23" s="7">
        <v>5.0</v>
      </c>
      <c r="H23" s="7">
        <v>5.0</v>
      </c>
      <c r="I23" s="7">
        <v>4.0</v>
      </c>
      <c r="J23" s="7">
        <v>2.0</v>
      </c>
      <c r="K23" s="56"/>
      <c r="L23" s="56"/>
      <c r="M23" s="56"/>
      <c r="N23" s="56"/>
      <c r="O23" s="56"/>
      <c r="P23" s="56"/>
      <c r="Q23" s="56"/>
      <c r="R23" s="56"/>
      <c r="S23" s="56"/>
      <c r="T23" s="56"/>
      <c r="U23" s="56"/>
      <c r="V23" s="56"/>
      <c r="W23" s="56"/>
      <c r="X23" s="56"/>
      <c r="Y23" s="56"/>
      <c r="Z23" s="56"/>
      <c r="AA23" s="56"/>
      <c r="AB23" s="56"/>
    </row>
    <row r="24" ht="225.0" customHeight="1">
      <c r="A24" s="87"/>
      <c r="C24" s="7" t="s">
        <v>8</v>
      </c>
      <c r="D24" s="54" t="s">
        <v>234</v>
      </c>
      <c r="E24" s="101">
        <f>IFERROR(__xludf.DUMMYFUNCTION("COUNTA(SPLIT(D24,"" ""))/COUNTA(SPLIT($B$22,"" ""))"),0.10943124550035997)</f>
        <v>0.1094312455</v>
      </c>
      <c r="F24" s="7">
        <v>3.0</v>
      </c>
      <c r="G24" s="7">
        <v>5.0</v>
      </c>
      <c r="H24" s="7">
        <v>5.0</v>
      </c>
      <c r="I24" s="7">
        <v>4.0</v>
      </c>
      <c r="J24" s="7">
        <v>3.0</v>
      </c>
      <c r="K24" s="56"/>
      <c r="L24" s="56"/>
      <c r="M24" s="56"/>
      <c r="N24" s="56"/>
      <c r="O24" s="56"/>
      <c r="P24" s="56"/>
      <c r="Q24" s="56"/>
      <c r="R24" s="56"/>
      <c r="S24" s="56"/>
      <c r="T24" s="56"/>
      <c r="U24" s="56"/>
      <c r="V24" s="56"/>
      <c r="W24" s="56"/>
      <c r="X24" s="56"/>
      <c r="Y24" s="56"/>
      <c r="Z24" s="56"/>
      <c r="AA24" s="56"/>
      <c r="AB24" s="56"/>
    </row>
    <row r="25" ht="225.0" customHeight="1">
      <c r="A25" s="87"/>
      <c r="C25" s="7" t="s">
        <v>23</v>
      </c>
      <c r="D25" s="54" t="s">
        <v>235</v>
      </c>
      <c r="E25" s="102">
        <f>IFERROR(__xludf.DUMMYFUNCTION("COUNTA(SPLIT(D25,"" ""))/COUNTA(SPLIT($B$22,"" ""))"),0.10727141828653708)</f>
        <v>0.1072714183</v>
      </c>
      <c r="F25" s="7">
        <v>4.0</v>
      </c>
      <c r="G25" s="7">
        <v>5.0</v>
      </c>
      <c r="H25" s="7">
        <v>5.0</v>
      </c>
      <c r="I25" s="7">
        <v>4.0</v>
      </c>
      <c r="J25" s="7">
        <v>4.0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64" t="s">
        <v>236</v>
      </c>
      <c r="E27" s="104">
        <f>IFERROR(__xludf.DUMMYFUNCTION("COUNTA(SPLIT(D27,"" ""))/COUNTA(SPLIT($B$27,"" ""))"),0.3448940269749518)</f>
        <v>0.344894027</v>
      </c>
      <c r="F27" s="63">
        <v>5.0</v>
      </c>
      <c r="G27" s="63">
        <v>5.0</v>
      </c>
      <c r="H27" s="63">
        <v>5.0</v>
      </c>
      <c r="I27" s="63">
        <v>4.0</v>
      </c>
      <c r="J27" s="63">
        <v>5.0</v>
      </c>
      <c r="K27" s="66"/>
      <c r="L27" s="66"/>
      <c r="M27" s="66"/>
      <c r="N27" s="66"/>
      <c r="O27" s="66"/>
      <c r="P27" s="66"/>
      <c r="Q27" s="66"/>
      <c r="R27" s="66"/>
      <c r="S27" s="66"/>
      <c r="T27" s="66"/>
      <c r="U27" s="66"/>
      <c r="V27" s="66"/>
      <c r="W27" s="66"/>
      <c r="X27" s="66"/>
      <c r="Y27" s="66"/>
      <c r="Z27" s="66"/>
      <c r="AA27" s="66"/>
      <c r="AB27" s="66"/>
    </row>
    <row r="28" ht="225.0" customHeight="1">
      <c r="C28" s="7" t="s">
        <v>22</v>
      </c>
      <c r="D28" s="54" t="s">
        <v>237</v>
      </c>
      <c r="E28" s="105">
        <f>IFERROR(__xludf.DUMMYFUNCTION("COUNTA(SPLIT(D28,"" ""))/COUNTA(SPLIT($B$27,"" ""))"),0.2350674373795761)</f>
        <v>0.2350674374</v>
      </c>
      <c r="F28" s="7">
        <v>5.0</v>
      </c>
      <c r="G28" s="7">
        <v>4.0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238</v>
      </c>
      <c r="E29" s="98">
        <f>IFERROR(__xludf.DUMMYFUNCTION("COUNTA(SPLIT(D29,"" ""))/COUNTA(SPLIT($B$27,"" ""))"),0.37764932562620424)</f>
        <v>0.3776493256</v>
      </c>
      <c r="F29" s="7">
        <v>3.0</v>
      </c>
      <c r="G29" s="7">
        <v>2.0</v>
      </c>
      <c r="H29" s="7">
        <v>5.0</v>
      </c>
      <c r="I29" s="7">
        <v>4.0</v>
      </c>
      <c r="J29" s="7">
        <v>4.0</v>
      </c>
      <c r="K29" s="56"/>
      <c r="L29" s="56"/>
      <c r="M29" s="56"/>
      <c r="N29" s="56"/>
      <c r="O29" s="56"/>
      <c r="P29" s="56"/>
      <c r="Q29" s="56"/>
      <c r="R29" s="56"/>
      <c r="S29" s="56"/>
      <c r="T29" s="56"/>
      <c r="U29" s="56"/>
      <c r="V29" s="56"/>
      <c r="W29" s="56"/>
      <c r="X29" s="56"/>
      <c r="Y29" s="56"/>
      <c r="Z29" s="56"/>
      <c r="AA29" s="56"/>
      <c r="AB29" s="56"/>
    </row>
    <row r="30" ht="225.0" customHeight="1">
      <c r="C30" s="7" t="s">
        <v>23</v>
      </c>
      <c r="D30" s="54" t="s">
        <v>239</v>
      </c>
      <c r="E30" s="106">
        <f>IFERROR(__xludf.DUMMYFUNCTION("COUNTA(SPLIT(D30,"" ""))/COUNTA(SPLIT($B$27,"" ""))"),0.22928709055876687)</f>
        <v>0.2292870906</v>
      </c>
      <c r="F30" s="7">
        <v>4.0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70</v>
      </c>
      <c r="C32" s="63" t="s">
        <v>21</v>
      </c>
      <c r="D32" s="64" t="s">
        <v>240</v>
      </c>
      <c r="E32" s="76">
        <f>IFERROR(__xludf.DUMMYFUNCTION("COUNTA(SPLIT(D32,"" ""))/COUNTA(SPLIT($B$32,"" ""))"),0.5135135135135135)</f>
        <v>0.5135135135</v>
      </c>
      <c r="F32" s="63">
        <v>4.0</v>
      </c>
      <c r="G32" s="63">
        <v>4.0</v>
      </c>
      <c r="H32" s="63">
        <v>4.0</v>
      </c>
      <c r="I32" s="63">
        <v>4.0</v>
      </c>
      <c r="J32" s="63">
        <v>4.0</v>
      </c>
      <c r="K32" s="66"/>
      <c r="L32" s="66"/>
      <c r="M32" s="66"/>
      <c r="N32" s="66"/>
      <c r="O32" s="66"/>
      <c r="P32" s="66"/>
      <c r="Q32" s="66"/>
      <c r="R32" s="66"/>
      <c r="S32" s="66"/>
      <c r="T32" s="66"/>
      <c r="U32" s="66"/>
      <c r="V32" s="66"/>
      <c r="W32" s="66"/>
      <c r="X32" s="66"/>
      <c r="Y32" s="66"/>
      <c r="Z32" s="66"/>
      <c r="AA32" s="66"/>
      <c r="AB32" s="66"/>
    </row>
    <row r="33" ht="225.0" customHeight="1">
      <c r="C33" s="7" t="s">
        <v>22</v>
      </c>
      <c r="D33" s="54" t="s">
        <v>241</v>
      </c>
      <c r="E33" s="108">
        <f>IFERROR(__xludf.DUMMYFUNCTION("COUNTA(SPLIT(D33,"" ""))/COUNTA(SPLIT($B$32,"" ""))"),0.5351351351351351)</f>
        <v>0.5351351351</v>
      </c>
      <c r="F33" s="7">
        <v>4.0</v>
      </c>
      <c r="G33" s="7">
        <v>5.0</v>
      </c>
      <c r="H33" s="7">
        <v>5.0</v>
      </c>
      <c r="I33" s="7">
        <v>4.0</v>
      </c>
      <c r="J33" s="7">
        <v>4.0</v>
      </c>
      <c r="K33" s="56"/>
      <c r="L33" s="56"/>
      <c r="M33" s="56"/>
      <c r="N33" s="56"/>
      <c r="O33" s="56"/>
      <c r="P33" s="56"/>
      <c r="Q33" s="56"/>
      <c r="R33" s="56"/>
      <c r="S33" s="56"/>
      <c r="T33" s="56"/>
      <c r="U33" s="56"/>
      <c r="V33" s="56"/>
      <c r="W33" s="56"/>
      <c r="X33" s="56"/>
      <c r="Y33" s="56"/>
      <c r="Z33" s="56"/>
      <c r="AA33" s="56"/>
      <c r="AB33" s="56"/>
    </row>
    <row r="34" ht="225.0" customHeight="1">
      <c r="C34" s="7" t="s">
        <v>8</v>
      </c>
      <c r="D34" s="54" t="s">
        <v>242</v>
      </c>
      <c r="E34" s="109">
        <f>IFERROR(__xludf.DUMMYFUNCTION("COUNTA(SPLIT(D34,"" ""))/COUNTA(SPLIT($B$32,"" ""))"),0.9027027027027027)</f>
        <v>0.9027027027</v>
      </c>
      <c r="F34" s="7">
        <v>3.0</v>
      </c>
      <c r="G34" s="7">
        <v>4.0</v>
      </c>
      <c r="H34" s="7">
        <v>5.0</v>
      </c>
      <c r="I34" s="7">
        <v>4.0</v>
      </c>
      <c r="J34" s="7">
        <v>4.0</v>
      </c>
      <c r="K34" s="56"/>
      <c r="L34" s="56"/>
      <c r="M34" s="56"/>
      <c r="N34" s="56"/>
      <c r="O34" s="56"/>
      <c r="P34" s="56"/>
      <c r="Q34" s="56"/>
      <c r="R34" s="56"/>
      <c r="S34" s="56"/>
      <c r="T34" s="56"/>
      <c r="U34" s="56"/>
      <c r="V34" s="56"/>
      <c r="W34" s="56"/>
      <c r="X34" s="56"/>
      <c r="Y34" s="56"/>
      <c r="Z34" s="56"/>
      <c r="AA34" s="56"/>
      <c r="AB34" s="56"/>
    </row>
    <row r="35" ht="225.0" customHeight="1">
      <c r="C35" s="7" t="s">
        <v>23</v>
      </c>
      <c r="D35" s="54" t="s">
        <v>203</v>
      </c>
      <c r="E35" s="72">
        <f>IFERROR(__xludf.DUMMYFUNCTION("COUNTA(SPLIT(D35,"" ""))/COUNTA(SPLIT($B$32,"" ""))"),0.32432432432432434)</f>
        <v>0.3243243243</v>
      </c>
      <c r="F35" s="7">
        <v>4.0</v>
      </c>
      <c r="G35" s="7">
        <v>5.0</v>
      </c>
      <c r="H35" s="7">
        <v>5.0</v>
      </c>
      <c r="I35" s="7">
        <v>5.0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243</v>
      </c>
      <c r="E37" s="81">
        <f>IFERROR(__xludf.DUMMYFUNCTION("COUNTA(SPLIT(D37,"" ""))/COUNTA(SPLIT($B$37,"" ""))"),0.13559322033898305)</f>
        <v>0.1355932203</v>
      </c>
      <c r="F37" s="63">
        <v>4.0</v>
      </c>
      <c r="G37" s="63">
        <v>5.0</v>
      </c>
      <c r="H37" s="63">
        <v>5.0</v>
      </c>
      <c r="I37" s="63">
        <v>4.0</v>
      </c>
      <c r="J37" s="63">
        <v>4.0</v>
      </c>
      <c r="K37" s="66"/>
      <c r="L37" s="66"/>
      <c r="M37" s="66"/>
      <c r="N37" s="66"/>
      <c r="O37" s="66"/>
      <c r="P37" s="66"/>
      <c r="Q37" s="66"/>
      <c r="R37" s="66"/>
      <c r="S37" s="66"/>
      <c r="T37" s="66"/>
      <c r="U37" s="66"/>
      <c r="V37" s="66"/>
      <c r="W37" s="66"/>
      <c r="X37" s="66"/>
      <c r="Y37" s="66"/>
      <c r="Z37" s="66"/>
      <c r="AA37" s="66"/>
      <c r="AB37" s="66"/>
    </row>
    <row r="38" ht="225.0" customHeight="1">
      <c r="C38" s="7" t="s">
        <v>22</v>
      </c>
      <c r="D38" s="54" t="s">
        <v>244</v>
      </c>
      <c r="E38" s="110">
        <f>IFERROR(__xludf.DUMMYFUNCTION("COUNTA(SPLIT(D38,"" ""))/COUNTA(SPLIT($B$37,"" ""))"),0.10691003911342895)</f>
        <v>0.1069100391</v>
      </c>
      <c r="F38" s="7">
        <v>4.0</v>
      </c>
      <c r="G38" s="7">
        <v>4.0</v>
      </c>
      <c r="H38" s="7">
        <v>5.0</v>
      </c>
      <c r="I38" s="7">
        <v>4.0</v>
      </c>
      <c r="J38" s="7">
        <v>4.0</v>
      </c>
      <c r="K38" s="56"/>
      <c r="L38" s="56"/>
      <c r="M38" s="56"/>
      <c r="N38" s="56"/>
      <c r="O38" s="56"/>
      <c r="P38" s="56"/>
      <c r="Q38" s="56"/>
      <c r="R38" s="56"/>
      <c r="S38" s="56"/>
      <c r="T38" s="56"/>
      <c r="U38" s="56"/>
      <c r="V38" s="56"/>
      <c r="W38" s="56"/>
      <c r="X38" s="56"/>
      <c r="Y38" s="56"/>
      <c r="Z38" s="56"/>
      <c r="AA38" s="56"/>
      <c r="AB38" s="56"/>
    </row>
    <row r="39" ht="225.0" customHeight="1">
      <c r="C39" s="7" t="s">
        <v>8</v>
      </c>
      <c r="D39" s="54" t="s">
        <v>245</v>
      </c>
      <c r="E39" s="94">
        <f>IFERROR(__xludf.DUMMYFUNCTION("COUNTA(SPLIT(D39,"" ""))/COUNTA(SPLIT($B$37,"" ""))"),0.16558018252933507)</f>
        <v>0.1655801825</v>
      </c>
      <c r="F39" s="7">
        <v>3.0</v>
      </c>
      <c r="G39" s="7">
        <v>5.0</v>
      </c>
      <c r="H39" s="7">
        <v>5.0</v>
      </c>
      <c r="I39" s="7">
        <v>4.0</v>
      </c>
      <c r="J39" s="7">
        <v>4.0</v>
      </c>
      <c r="K39" s="56"/>
      <c r="L39" s="56"/>
      <c r="M39" s="56"/>
      <c r="N39" s="56"/>
      <c r="O39" s="56"/>
      <c r="P39" s="56"/>
      <c r="Q39" s="56"/>
      <c r="R39" s="56"/>
      <c r="S39" s="56"/>
      <c r="T39" s="56"/>
      <c r="U39" s="56"/>
      <c r="V39" s="56"/>
      <c r="W39" s="56"/>
      <c r="X39" s="56"/>
      <c r="Y39" s="56"/>
      <c r="Z39" s="56"/>
      <c r="AA39" s="56"/>
      <c r="AB39" s="56"/>
    </row>
    <row r="40" ht="225.0" customHeight="1">
      <c r="C40" s="7" t="s">
        <v>23</v>
      </c>
      <c r="D40" s="54" t="s">
        <v>246</v>
      </c>
      <c r="E40" s="84">
        <f>IFERROR(__xludf.DUMMYFUNCTION("COUNTA(SPLIT(D40,"" ""))/COUNTA(SPLIT($B$37,"" ""))"),0.12646675358539766)</f>
        <v>0.1264667536</v>
      </c>
      <c r="F40" s="7">
        <v>4.0</v>
      </c>
      <c r="G40" s="7">
        <v>5.0</v>
      </c>
      <c r="H40" s="7">
        <v>5.0</v>
      </c>
      <c r="I40" s="7">
        <v>4.0</v>
      </c>
      <c r="J40" s="7">
        <v>4.0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247</v>
      </c>
      <c r="E42" s="111">
        <f>IFERROR(__xludf.DUMMYFUNCTION("COUNTA(SPLIT(D42,"" ""))/COUNTA(SPLIT($B$42,"" ""))"),0.3127629733520337)</f>
        <v>0.3127629734</v>
      </c>
      <c r="F42" s="63">
        <v>4.0</v>
      </c>
      <c r="G42" s="63">
        <v>4.0</v>
      </c>
      <c r="H42" s="63">
        <v>5.0</v>
      </c>
      <c r="I42" s="63">
        <v>4.0</v>
      </c>
      <c r="J42" s="63">
        <v>5.0</v>
      </c>
      <c r="K42" s="66"/>
      <c r="L42" s="66"/>
      <c r="M42" s="66"/>
      <c r="N42" s="66"/>
      <c r="O42" s="66"/>
      <c r="P42" s="66"/>
      <c r="Q42" s="66"/>
      <c r="R42" s="66"/>
      <c r="S42" s="66"/>
      <c r="T42" s="66"/>
      <c r="U42" s="66"/>
      <c r="V42" s="66"/>
      <c r="W42" s="66"/>
      <c r="X42" s="66"/>
      <c r="Y42" s="66"/>
      <c r="Z42" s="66"/>
      <c r="AA42" s="66"/>
      <c r="AB42" s="66"/>
    </row>
    <row r="43" ht="225.0" customHeight="1">
      <c r="C43" s="7" t="s">
        <v>22</v>
      </c>
      <c r="D43" s="54" t="s">
        <v>248</v>
      </c>
      <c r="E43" s="81">
        <f>IFERROR(__xludf.DUMMYFUNCTION("COUNTA(SPLIT(D43,"" ""))/COUNTA(SPLIT($B$42,"" ""))"),0.211781206171108)</f>
        <v>0.2117812062</v>
      </c>
      <c r="F43" s="7">
        <v>5.0</v>
      </c>
      <c r="G43" s="7">
        <v>5.0</v>
      </c>
      <c r="H43" s="7">
        <v>5.0</v>
      </c>
      <c r="I43" s="7">
        <v>4.0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54" t="s">
        <v>249</v>
      </c>
      <c r="E44" s="112">
        <f>IFERROR(__xludf.DUMMYFUNCTION("COUNTA(SPLIT(D44,"" ""))/COUNTA(SPLIT($B$42,"" ""))"),0.2594670406732118)</f>
        <v>0.2594670407</v>
      </c>
      <c r="F44" s="7">
        <v>3.0</v>
      </c>
      <c r="G44" s="7">
        <v>5.0</v>
      </c>
      <c r="H44" s="7">
        <v>5.0</v>
      </c>
      <c r="I44" s="7">
        <v>4.0</v>
      </c>
      <c r="J44" s="7">
        <v>5.0</v>
      </c>
      <c r="K44" s="56"/>
      <c r="L44" s="56"/>
      <c r="M44" s="56"/>
      <c r="N44" s="56"/>
      <c r="O44" s="56"/>
      <c r="P44" s="56"/>
      <c r="Q44" s="56"/>
      <c r="R44" s="56"/>
      <c r="S44" s="56"/>
      <c r="T44" s="56"/>
      <c r="U44" s="56"/>
      <c r="V44" s="56"/>
      <c r="W44" s="56"/>
      <c r="X44" s="56"/>
      <c r="Y44" s="56"/>
      <c r="Z44" s="56"/>
      <c r="AA44" s="56"/>
      <c r="AB44" s="56"/>
    </row>
    <row r="45" ht="225.0" customHeight="1">
      <c r="C45" s="7" t="s">
        <v>23</v>
      </c>
      <c r="D45" s="54" t="s">
        <v>250</v>
      </c>
      <c r="E45" s="106">
        <f>IFERROR(__xludf.DUMMYFUNCTION("COUNTA(SPLIT(D45,"" ""))/COUNTA(SPLIT($B$42,"" ""))"),0.3085553997194951)</f>
        <v>0.3085553997</v>
      </c>
      <c r="F45" s="7">
        <v>4.0</v>
      </c>
      <c r="G45" s="7">
        <v>4.0</v>
      </c>
      <c r="H45" s="7">
        <v>5.0</v>
      </c>
      <c r="I45" s="7">
        <v>3.0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88</v>
      </c>
      <c r="C47" s="63" t="s">
        <v>21</v>
      </c>
      <c r="D47" s="64" t="s">
        <v>251</v>
      </c>
      <c r="E47" s="113">
        <f>IFERROR(__xludf.DUMMYFUNCTION("COUNTA(SPLIT(D47,"" ""))/COUNTA(SPLIT($B$47,"" ""))"),0.2337992376111817)</f>
        <v>0.2337992376</v>
      </c>
      <c r="F47" s="63">
        <v>4.0</v>
      </c>
      <c r="G47" s="63">
        <v>5.0</v>
      </c>
      <c r="H47" s="63">
        <v>5.0</v>
      </c>
      <c r="I47" s="63">
        <v>4.0</v>
      </c>
      <c r="J47" s="63">
        <v>4.0</v>
      </c>
      <c r="K47" s="66"/>
      <c r="L47" s="66"/>
      <c r="M47" s="66"/>
      <c r="N47" s="66"/>
      <c r="O47" s="66"/>
      <c r="P47" s="66"/>
      <c r="Q47" s="66"/>
      <c r="R47" s="66"/>
      <c r="S47" s="66"/>
      <c r="T47" s="66"/>
      <c r="U47" s="66"/>
      <c r="V47" s="66"/>
      <c r="W47" s="66"/>
      <c r="X47" s="66"/>
      <c r="Y47" s="66"/>
      <c r="Z47" s="66"/>
      <c r="AA47" s="66"/>
      <c r="AB47" s="66"/>
    </row>
    <row r="48" ht="225.0" customHeight="1">
      <c r="C48" s="7" t="s">
        <v>22</v>
      </c>
      <c r="D48" s="54" t="s">
        <v>252</v>
      </c>
      <c r="E48" s="114">
        <f>IFERROR(__xludf.DUMMYFUNCTION("COUNTA(SPLIT(D48,"" ""))/COUNTA(SPLIT($B$47,"" ""))"),0.1772554002541296)</f>
        <v>0.1772554003</v>
      </c>
      <c r="F48" s="7">
        <v>5.0</v>
      </c>
      <c r="G48" s="7">
        <v>5.0</v>
      </c>
      <c r="H48" s="7">
        <v>5.0</v>
      </c>
      <c r="I48" s="7">
        <v>4.0</v>
      </c>
      <c r="J48" s="7">
        <v>5.0</v>
      </c>
      <c r="K48" s="56"/>
      <c r="L48" s="56"/>
      <c r="M48" s="56"/>
      <c r="N48" s="56"/>
      <c r="O48" s="56"/>
      <c r="P48" s="56"/>
      <c r="Q48" s="56"/>
      <c r="R48" s="56"/>
      <c r="S48" s="56"/>
      <c r="T48" s="56"/>
      <c r="U48" s="56"/>
      <c r="V48" s="56"/>
      <c r="W48" s="56"/>
      <c r="X48" s="56"/>
      <c r="Y48" s="56"/>
      <c r="Z48" s="56"/>
      <c r="AA48" s="56"/>
      <c r="AB48" s="56"/>
    </row>
    <row r="49" ht="225.0" customHeight="1">
      <c r="C49" s="7" t="s">
        <v>8</v>
      </c>
      <c r="D49" s="54" t="s">
        <v>253</v>
      </c>
      <c r="E49" s="115">
        <f>IFERROR(__xludf.DUMMYFUNCTION("COUNTA(SPLIT(D49,"" ""))/COUNTA(SPLIT($B$47,"" ""))"),0.1473951715374841)</f>
        <v>0.1473951715</v>
      </c>
      <c r="F49" s="7">
        <v>3.0</v>
      </c>
      <c r="G49" s="7">
        <v>4.0</v>
      </c>
      <c r="H49" s="7">
        <v>5.0</v>
      </c>
      <c r="I49" s="7">
        <v>4.0</v>
      </c>
      <c r="J49" s="7">
        <v>4.0</v>
      </c>
      <c r="K49" s="56"/>
      <c r="L49" s="56"/>
      <c r="M49" s="56"/>
      <c r="N49" s="56"/>
      <c r="O49" s="56"/>
      <c r="P49" s="56"/>
      <c r="Q49" s="56"/>
      <c r="R49" s="56"/>
      <c r="S49" s="56"/>
      <c r="T49" s="56"/>
      <c r="U49" s="56"/>
      <c r="V49" s="56"/>
      <c r="W49" s="56"/>
      <c r="X49" s="56"/>
      <c r="Y49" s="56"/>
      <c r="Z49" s="56"/>
      <c r="AA49" s="56"/>
      <c r="AB49" s="56"/>
    </row>
    <row r="50" ht="225.0" customHeight="1">
      <c r="C50" s="7" t="s">
        <v>23</v>
      </c>
      <c r="D50" s="54" t="s">
        <v>254</v>
      </c>
      <c r="E50" s="116">
        <f>IFERROR(__xludf.DUMMYFUNCTION("COUNTA(SPLIT(D50,"" ""))/COUNTA(SPLIT($B$47,"" ""))"),0.17471410419313851)</f>
        <v>0.1747141042</v>
      </c>
      <c r="F50" s="7">
        <v>5.0</v>
      </c>
      <c r="G50" s="7">
        <v>5.0</v>
      </c>
      <c r="H50" s="7">
        <v>4.0</v>
      </c>
      <c r="I50" s="7">
        <v>4.0</v>
      </c>
      <c r="J50" s="7">
        <v>4.0</v>
      </c>
      <c r="K50" s="56"/>
      <c r="L50" s="56"/>
      <c r="M50" s="56"/>
      <c r="N50" s="56"/>
      <c r="O50" s="56"/>
      <c r="P50" s="56"/>
      <c r="Q50" s="56"/>
      <c r="R50" s="56"/>
      <c r="S50" s="56"/>
      <c r="T50" s="56"/>
      <c r="U50" s="56"/>
      <c r="V50" s="56"/>
      <c r="W50" s="56"/>
      <c r="X50" s="56"/>
      <c r="Y50" s="56"/>
      <c r="Z50" s="56"/>
      <c r="AA50" s="56"/>
      <c r="AB50" s="56"/>
    </row>
    <row r="51">
      <c r="A51" s="56"/>
      <c r="B51" s="56"/>
      <c r="C51" s="58"/>
      <c r="D51" s="59"/>
      <c r="E51" s="79"/>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9"/>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9"/>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9"/>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9"/>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9"/>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9"/>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9"/>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9"/>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9"/>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9"/>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9"/>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9"/>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9"/>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9"/>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9"/>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9"/>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9"/>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9"/>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9"/>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9"/>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9"/>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9"/>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9"/>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9"/>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9"/>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9"/>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9"/>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9"/>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9"/>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9"/>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9"/>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9"/>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9"/>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9"/>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9"/>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9"/>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9"/>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9"/>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9"/>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9"/>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9"/>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9"/>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9"/>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9"/>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9"/>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9"/>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9"/>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9"/>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9"/>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9"/>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9"/>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9"/>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9"/>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9"/>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9"/>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9"/>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9"/>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9"/>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9"/>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9"/>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9"/>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9"/>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9"/>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9"/>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9"/>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9"/>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9"/>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9"/>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9"/>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9"/>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9"/>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9"/>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9"/>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9"/>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9"/>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9"/>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9"/>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9"/>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9"/>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9"/>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9"/>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9"/>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9"/>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9"/>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9"/>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9"/>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9"/>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9"/>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9"/>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9"/>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9"/>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9"/>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9"/>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9"/>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9"/>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9"/>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9"/>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9"/>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9"/>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9"/>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9"/>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9"/>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9"/>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9"/>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9"/>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9"/>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9"/>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9"/>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9"/>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9"/>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9"/>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9"/>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9"/>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9"/>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9"/>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9"/>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9"/>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9"/>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9"/>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9"/>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9"/>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9"/>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9"/>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9"/>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9"/>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9"/>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9"/>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9"/>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9"/>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9"/>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9"/>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9"/>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9"/>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9"/>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9"/>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9"/>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9"/>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9"/>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9"/>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9"/>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9"/>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9"/>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9"/>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9"/>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9"/>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9"/>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9"/>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9"/>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9"/>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9"/>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9"/>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9"/>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9"/>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9"/>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9"/>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9"/>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9"/>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9"/>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9"/>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9"/>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9"/>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9"/>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9"/>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9"/>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9"/>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9"/>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9"/>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9"/>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9"/>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9"/>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9"/>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9"/>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9"/>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9"/>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9"/>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9"/>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9"/>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9"/>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9"/>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9"/>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9"/>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9"/>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9"/>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9"/>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9"/>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9"/>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9"/>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9"/>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9"/>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9"/>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9"/>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9"/>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9"/>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9"/>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9"/>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9"/>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9"/>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9"/>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9"/>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9"/>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9"/>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9"/>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9"/>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9"/>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9"/>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9"/>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9"/>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9"/>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9"/>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9"/>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9"/>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9"/>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9"/>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9"/>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9"/>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9"/>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9"/>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9"/>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9"/>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9"/>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9"/>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9"/>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9"/>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9"/>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9"/>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9"/>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9"/>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9"/>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9"/>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9"/>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9"/>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9"/>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9"/>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9"/>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9"/>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9"/>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9"/>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9"/>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9"/>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9"/>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9"/>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9"/>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9"/>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9"/>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9"/>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9"/>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9"/>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9"/>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9"/>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9"/>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9"/>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9"/>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9"/>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9"/>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9"/>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9"/>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9"/>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9"/>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9"/>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9"/>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9"/>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9"/>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9"/>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9"/>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9"/>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9"/>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9"/>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9"/>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9"/>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9"/>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9"/>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9"/>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9"/>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9"/>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9"/>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9"/>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9"/>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9"/>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9"/>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9"/>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9"/>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9"/>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9"/>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9"/>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9"/>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9"/>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9"/>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9"/>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9"/>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9"/>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9"/>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9"/>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9"/>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9"/>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9"/>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9"/>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9"/>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9"/>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9"/>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9"/>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9"/>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9"/>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9"/>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9"/>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9"/>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9"/>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9"/>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9"/>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9"/>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9"/>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9"/>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9"/>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9"/>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9"/>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9"/>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9"/>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9"/>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9"/>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9"/>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9"/>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9"/>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9"/>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9"/>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9"/>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9"/>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9"/>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9"/>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9"/>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9"/>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9"/>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9"/>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9"/>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9"/>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9"/>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9"/>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9"/>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9"/>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9"/>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9"/>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9"/>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9"/>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9"/>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9"/>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9"/>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9"/>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9"/>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9"/>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9"/>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9"/>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9"/>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9"/>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9"/>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9"/>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9"/>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9"/>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9"/>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9"/>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9"/>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9"/>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9"/>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9"/>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9"/>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9"/>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9"/>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9"/>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9"/>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9"/>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9"/>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9"/>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9"/>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9"/>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9"/>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9"/>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9"/>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9"/>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9"/>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9"/>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9"/>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9"/>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9"/>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9"/>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9"/>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9"/>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9"/>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9"/>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9"/>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9"/>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9"/>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9"/>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9"/>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9"/>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9"/>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9"/>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9"/>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9"/>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9"/>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9"/>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9"/>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9"/>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9"/>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9"/>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9"/>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9"/>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9"/>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9"/>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9"/>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9"/>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9"/>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9"/>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9"/>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9"/>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9"/>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9"/>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9"/>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9"/>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9"/>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9"/>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9"/>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9"/>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9"/>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9"/>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9"/>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9"/>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9"/>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9"/>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9"/>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9"/>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9"/>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9"/>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9"/>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9"/>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9"/>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9"/>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9"/>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9"/>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9"/>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9"/>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9"/>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9"/>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9"/>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9"/>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9"/>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9"/>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9"/>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9"/>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9"/>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9"/>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9"/>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9"/>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9"/>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9"/>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9"/>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9"/>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9"/>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9"/>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9"/>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9"/>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9"/>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9"/>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9"/>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9"/>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9"/>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9"/>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9"/>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9"/>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9"/>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9"/>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9"/>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9"/>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9"/>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9"/>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9"/>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9"/>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9"/>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9"/>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9"/>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9"/>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9"/>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9"/>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9"/>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9"/>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9"/>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9"/>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9"/>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9"/>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9"/>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9"/>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9"/>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9"/>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9"/>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9"/>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9"/>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9"/>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9"/>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9"/>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9"/>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9"/>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9"/>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9"/>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9"/>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9"/>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9"/>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9"/>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9"/>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9"/>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9"/>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9"/>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9"/>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9"/>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9"/>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9"/>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9"/>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9"/>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9"/>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9"/>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9"/>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9"/>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9"/>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9"/>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9"/>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9"/>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9"/>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9"/>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9"/>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9"/>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9"/>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9"/>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9"/>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9"/>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9"/>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9"/>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9"/>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9"/>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9"/>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9"/>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9"/>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9"/>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9"/>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9"/>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9"/>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9"/>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9"/>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9"/>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9"/>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9"/>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9"/>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9"/>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9"/>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9"/>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9"/>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9"/>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9"/>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9"/>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9"/>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9"/>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9"/>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9"/>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9"/>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9"/>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9"/>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9"/>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9"/>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9"/>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9"/>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9"/>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9"/>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9"/>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9"/>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9"/>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9"/>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9"/>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9"/>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9"/>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9"/>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9"/>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9"/>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9"/>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9"/>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9"/>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9"/>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9"/>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9"/>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9"/>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9"/>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9"/>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9"/>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9"/>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9"/>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9"/>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9"/>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9"/>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9"/>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9"/>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9"/>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9"/>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9"/>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9"/>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9"/>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9"/>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9"/>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9"/>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9"/>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9"/>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9"/>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9"/>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9"/>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9"/>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9"/>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9"/>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9"/>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9"/>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9"/>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9"/>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9"/>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9"/>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9"/>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9"/>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9"/>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9"/>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9"/>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9"/>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9"/>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9"/>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9"/>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9"/>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9"/>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9"/>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9"/>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9"/>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9"/>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9"/>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9"/>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9"/>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9"/>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9"/>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9"/>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9"/>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9"/>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9"/>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9"/>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9"/>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9"/>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9"/>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9"/>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9"/>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9"/>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9"/>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9"/>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9"/>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9"/>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9"/>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9"/>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9"/>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9"/>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9"/>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9"/>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9"/>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9"/>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9"/>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9"/>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9"/>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9"/>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9"/>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9"/>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9"/>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9"/>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9"/>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9"/>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9"/>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9"/>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9"/>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9"/>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9"/>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9"/>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9"/>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9"/>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9"/>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9"/>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9"/>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9"/>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9"/>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9"/>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9"/>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9"/>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9"/>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9"/>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9"/>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9"/>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9"/>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9"/>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9"/>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9"/>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9"/>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9"/>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9"/>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9"/>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9"/>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9"/>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9"/>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9"/>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9"/>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9"/>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9"/>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9"/>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9"/>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9"/>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9"/>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9"/>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9"/>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9"/>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9"/>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9"/>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9"/>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9"/>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9"/>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9"/>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9"/>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9"/>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9"/>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9"/>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9"/>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9"/>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9"/>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9"/>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9"/>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9"/>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9"/>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9"/>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9"/>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9"/>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9"/>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9"/>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9"/>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9"/>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9"/>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9"/>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9"/>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9"/>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9"/>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9"/>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9"/>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9"/>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9"/>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9"/>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9"/>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9"/>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9"/>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9"/>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9"/>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9"/>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9"/>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9"/>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9"/>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9"/>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9"/>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9"/>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9"/>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9"/>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9"/>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9"/>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9"/>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9"/>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9"/>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9"/>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9"/>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9"/>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9"/>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9"/>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9"/>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9"/>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9"/>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9"/>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9"/>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9"/>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9"/>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9"/>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9"/>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9"/>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9"/>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9"/>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9"/>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9"/>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9"/>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9"/>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9"/>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9"/>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9"/>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9"/>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9"/>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9"/>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9"/>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9"/>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9"/>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9"/>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9"/>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9"/>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9"/>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9"/>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9"/>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9"/>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9"/>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9"/>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9"/>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9"/>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9"/>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9"/>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9"/>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9"/>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9"/>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9"/>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9"/>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9"/>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9"/>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9"/>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9"/>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9"/>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9"/>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9"/>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9"/>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9"/>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9"/>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9"/>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9"/>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9"/>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9"/>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9"/>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9"/>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9"/>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9"/>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9"/>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9"/>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9"/>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9"/>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9"/>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9"/>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9"/>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9"/>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9"/>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9"/>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9"/>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9"/>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9"/>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9"/>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9"/>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9"/>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9"/>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9"/>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9"/>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9"/>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9"/>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9"/>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9"/>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9"/>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9"/>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9"/>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9"/>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9"/>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9"/>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9"/>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9"/>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9"/>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9"/>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9"/>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9"/>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9"/>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9"/>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9"/>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9"/>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9"/>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9"/>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9"/>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9"/>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9"/>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9"/>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9"/>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9"/>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9"/>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9"/>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9"/>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9"/>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9"/>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9"/>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9"/>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9"/>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9"/>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9"/>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9"/>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9"/>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9"/>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9"/>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9"/>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9"/>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9"/>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9"/>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9"/>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9"/>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9"/>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9"/>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9"/>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9"/>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9"/>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9"/>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9"/>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9"/>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9"/>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9"/>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9"/>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9"/>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9"/>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9"/>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9"/>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9"/>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9"/>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9"/>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9"/>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9"/>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9"/>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9"/>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9"/>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9"/>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9"/>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9"/>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9"/>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9"/>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975">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5">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255</v>
      </c>
      <c r="E2" s="80">
        <f>IFERROR(__xludf.DUMMYFUNCTION("COUNTA(SPLIT(D2,"" ""))/COUNTA(SPLIT($B$2,"" ""))"),0.15621156211562115)</f>
        <v>0.1562115621</v>
      </c>
      <c r="F2" s="7">
        <v>4.0</v>
      </c>
      <c r="G2" s="7">
        <v>5.0</v>
      </c>
      <c r="H2" s="7">
        <v>3.0</v>
      </c>
      <c r="I2" s="7">
        <v>4.0</v>
      </c>
      <c r="J2" s="7">
        <v>5.0</v>
      </c>
      <c r="K2" s="56"/>
      <c r="L2" s="56"/>
      <c r="M2" s="56"/>
      <c r="N2" s="56"/>
      <c r="O2" s="56"/>
      <c r="P2" s="56"/>
      <c r="Q2" s="56"/>
      <c r="R2" s="56"/>
      <c r="S2" s="56"/>
      <c r="T2" s="56"/>
      <c r="U2" s="56"/>
      <c r="V2" s="56"/>
      <c r="W2" s="56"/>
      <c r="X2" s="56"/>
      <c r="Y2" s="56"/>
      <c r="Z2" s="56"/>
      <c r="AA2" s="56"/>
      <c r="AB2" s="56"/>
    </row>
    <row r="3" ht="225.0" customHeight="1">
      <c r="C3" s="7" t="s">
        <v>22</v>
      </c>
      <c r="D3" s="54" t="s">
        <v>256</v>
      </c>
      <c r="E3" s="81">
        <f>IFERROR(__xludf.DUMMYFUNCTION("COUNTA(SPLIT(D3,"" ""))/COUNTA(SPLIT($B$2,"" ""))"),0.03690036900369004)</f>
        <v>0.036900369</v>
      </c>
      <c r="F3" s="7">
        <v>5.0</v>
      </c>
      <c r="G3" s="7">
        <v>5.0</v>
      </c>
      <c r="H3" s="7">
        <v>5.0</v>
      </c>
      <c r="I3" s="7">
        <v>4.0</v>
      </c>
      <c r="J3" s="7">
        <v>3.0</v>
      </c>
      <c r="K3" s="56"/>
      <c r="L3" s="56"/>
      <c r="M3" s="56"/>
      <c r="N3" s="56"/>
      <c r="O3" s="56"/>
      <c r="P3" s="56"/>
      <c r="Q3" s="56"/>
      <c r="R3" s="56"/>
      <c r="S3" s="56"/>
      <c r="T3" s="56"/>
      <c r="U3" s="56"/>
      <c r="V3" s="56"/>
      <c r="W3" s="56"/>
      <c r="X3" s="56"/>
      <c r="Y3" s="56"/>
      <c r="Z3" s="56"/>
      <c r="AA3" s="56"/>
      <c r="AB3" s="56"/>
    </row>
    <row r="4" ht="225.0" customHeight="1">
      <c r="C4" s="7" t="s">
        <v>8</v>
      </c>
      <c r="D4" s="54" t="s">
        <v>257</v>
      </c>
      <c r="E4" s="83">
        <f>IFERROR(__xludf.DUMMYFUNCTION("COUNTA(SPLIT(D4,"" ""))/COUNTA(SPLIT($B$2,"" ""))"),0.21279212792127922)</f>
        <v>0.2127921279</v>
      </c>
      <c r="F4" s="7">
        <v>3.0</v>
      </c>
      <c r="G4" s="7">
        <v>5.0</v>
      </c>
      <c r="H4" s="7">
        <v>4.0</v>
      </c>
      <c r="I4" s="7">
        <v>3.0</v>
      </c>
      <c r="J4" s="7">
        <v>5.0</v>
      </c>
      <c r="K4" s="56"/>
      <c r="L4" s="56"/>
      <c r="M4" s="56"/>
      <c r="N4" s="56"/>
      <c r="O4" s="56"/>
      <c r="P4" s="56"/>
      <c r="Q4" s="56"/>
      <c r="R4" s="56"/>
      <c r="S4" s="56"/>
      <c r="T4" s="56"/>
      <c r="U4" s="56"/>
      <c r="V4" s="56"/>
      <c r="W4" s="56"/>
      <c r="X4" s="56"/>
      <c r="Y4" s="56"/>
      <c r="Z4" s="56"/>
      <c r="AA4" s="56"/>
      <c r="AB4" s="56"/>
    </row>
    <row r="5" ht="225.0" customHeight="1">
      <c r="C5" s="7" t="s">
        <v>23</v>
      </c>
      <c r="D5" s="54" t="s">
        <v>258</v>
      </c>
      <c r="E5" s="84">
        <f>IFERROR(__xludf.DUMMYFUNCTION("COUNTA(SPLIT(D5,"" ""))/COUNTA(SPLIT($B$2,"" ""))"),0.025830258302583026)</f>
        <v>0.0258302583</v>
      </c>
      <c r="F5" s="7">
        <v>5.0</v>
      </c>
      <c r="G5" s="7">
        <v>5.0</v>
      </c>
      <c r="H5" s="7">
        <v>5.0</v>
      </c>
      <c r="I5" s="7">
        <v>5.0</v>
      </c>
      <c r="J5" s="7">
        <v>3.0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52" t="s">
        <v>39</v>
      </c>
      <c r="B7" s="62" t="s">
        <v>40</v>
      </c>
      <c r="C7" s="63" t="s">
        <v>21</v>
      </c>
      <c r="D7" s="64" t="s">
        <v>259</v>
      </c>
      <c r="E7" s="86">
        <f>IFERROR(__xludf.DUMMYFUNCTION("COUNTA(SPLIT(D7,"" ""))/COUNTA(SPLIT($B$7,"" ""))"),0.13550939663699307)</f>
        <v>0.1355093966</v>
      </c>
      <c r="F7" s="63">
        <v>4.0</v>
      </c>
      <c r="G7" s="63">
        <v>3.0</v>
      </c>
      <c r="H7" s="63">
        <v>5.0</v>
      </c>
      <c r="I7" s="63">
        <v>4.0</v>
      </c>
      <c r="J7" s="63">
        <v>3.0</v>
      </c>
      <c r="K7" s="66"/>
      <c r="L7" s="66"/>
      <c r="M7" s="66"/>
      <c r="N7" s="66"/>
      <c r="O7" s="66"/>
      <c r="P7" s="66"/>
      <c r="Q7" s="66"/>
      <c r="R7" s="66"/>
      <c r="S7" s="66"/>
      <c r="T7" s="66"/>
      <c r="U7" s="66"/>
      <c r="V7" s="66"/>
      <c r="W7" s="66"/>
      <c r="X7" s="66"/>
      <c r="Y7" s="66"/>
      <c r="Z7" s="66"/>
      <c r="AA7" s="66"/>
      <c r="AB7" s="66"/>
    </row>
    <row r="8" ht="225.0" customHeight="1">
      <c r="C8" s="7" t="s">
        <v>22</v>
      </c>
      <c r="D8" s="54" t="s">
        <v>260</v>
      </c>
      <c r="E8" s="88">
        <f>IFERROR(__xludf.DUMMYFUNCTION("COUNTA(SPLIT(D8,"" ""))/COUNTA(SPLIT($B$7,"" ""))"),0.13748763600395647)</f>
        <v>0.137487636</v>
      </c>
      <c r="F8" s="7">
        <v>4.0</v>
      </c>
      <c r="G8" s="7">
        <v>4.0</v>
      </c>
      <c r="H8" s="7">
        <v>5.0</v>
      </c>
      <c r="I8" s="7">
        <v>4.0</v>
      </c>
      <c r="J8" s="7">
        <v>3.0</v>
      </c>
      <c r="K8" s="56"/>
      <c r="L8" s="56"/>
      <c r="M8" s="56"/>
      <c r="N8" s="56"/>
      <c r="O8" s="56"/>
      <c r="P8" s="56"/>
      <c r="Q8" s="56"/>
      <c r="R8" s="56"/>
      <c r="S8" s="56"/>
      <c r="T8" s="56"/>
      <c r="U8" s="56"/>
      <c r="V8" s="56"/>
      <c r="W8" s="56"/>
      <c r="X8" s="56"/>
      <c r="Y8" s="56"/>
      <c r="Z8" s="56"/>
      <c r="AA8" s="56"/>
      <c r="AB8" s="56"/>
    </row>
    <row r="9" ht="225.0" customHeight="1">
      <c r="C9" s="7" t="s">
        <v>8</v>
      </c>
      <c r="D9" s="54" t="s">
        <v>261</v>
      </c>
      <c r="E9" s="89">
        <f>IFERROR(__xludf.DUMMYFUNCTION("COUNTA(SPLIT(D9,"" ""))/COUNTA(SPLIT($B$7,"" ""))"),0.19287833827893175)</f>
        <v>0.1928783383</v>
      </c>
      <c r="F9" s="7">
        <v>3.0</v>
      </c>
      <c r="G9" s="7">
        <v>3.0</v>
      </c>
      <c r="H9" s="7">
        <v>5.0</v>
      </c>
      <c r="I9" s="7">
        <v>4.0</v>
      </c>
      <c r="J9" s="7">
        <v>4.0</v>
      </c>
      <c r="K9" s="56"/>
      <c r="L9" s="56"/>
      <c r="M9" s="56"/>
      <c r="N9" s="56"/>
      <c r="O9" s="56"/>
      <c r="P9" s="56"/>
      <c r="Q9" s="56"/>
      <c r="R9" s="56"/>
      <c r="S9" s="56"/>
      <c r="T9" s="56"/>
      <c r="U9" s="56"/>
      <c r="V9" s="56"/>
      <c r="W9" s="56"/>
      <c r="X9" s="56"/>
      <c r="Y9" s="56"/>
      <c r="Z9" s="56"/>
      <c r="AA9" s="56"/>
      <c r="AB9" s="56"/>
    </row>
    <row r="10" ht="225.0" customHeight="1">
      <c r="C10" s="7" t="s">
        <v>23</v>
      </c>
      <c r="D10" s="54" t="s">
        <v>262</v>
      </c>
      <c r="E10" s="90">
        <f>IFERROR(__xludf.DUMMYFUNCTION("COUNTA(SPLIT(D10,"" ""))/COUNTA(SPLIT($B$7,"" ""))"),0.10781404549950543)</f>
        <v>0.1078140455</v>
      </c>
      <c r="F10" s="7">
        <v>4.0</v>
      </c>
      <c r="G10" s="7">
        <v>3.0</v>
      </c>
      <c r="H10" s="7">
        <v>5.0</v>
      </c>
      <c r="I10" s="7">
        <v>5.0</v>
      </c>
      <c r="J10" s="7">
        <v>3.0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52" t="s">
        <v>101</v>
      </c>
      <c r="B12" s="62" t="s">
        <v>46</v>
      </c>
      <c r="C12" s="63" t="s">
        <v>21</v>
      </c>
      <c r="D12" s="64" t="s">
        <v>263</v>
      </c>
      <c r="E12" s="91">
        <f>IFERROR(__xludf.DUMMYFUNCTION("COUNTA(SPLIT(D12,"" ""))/COUNTA(SPLIT($B$12,"" ""))"),0.061465721040189124)</f>
        <v>0.06146572104</v>
      </c>
      <c r="F12" s="63">
        <v>4.0</v>
      </c>
      <c r="G12" s="63">
        <v>5.0</v>
      </c>
      <c r="H12" s="63">
        <v>5.0</v>
      </c>
      <c r="I12" s="63">
        <v>5.0</v>
      </c>
      <c r="J12" s="63">
        <v>4.0</v>
      </c>
      <c r="K12" s="66"/>
      <c r="L12" s="66"/>
      <c r="M12" s="66"/>
      <c r="N12" s="66"/>
      <c r="O12" s="66"/>
      <c r="P12" s="66"/>
      <c r="Q12" s="66"/>
      <c r="R12" s="66"/>
      <c r="S12" s="66"/>
      <c r="T12" s="66"/>
      <c r="U12" s="66"/>
      <c r="V12" s="66"/>
      <c r="W12" s="66"/>
      <c r="X12" s="66"/>
      <c r="Y12" s="66"/>
      <c r="Z12" s="66"/>
      <c r="AA12" s="66"/>
      <c r="AB12" s="66"/>
    </row>
    <row r="13" ht="225.0" customHeight="1">
      <c r="C13" s="7" t="s">
        <v>22</v>
      </c>
      <c r="D13" s="54" t="s">
        <v>264</v>
      </c>
      <c r="E13" s="92">
        <f>IFERROR(__xludf.DUMMYFUNCTION("COUNTA(SPLIT(D13,"" ""))/COUNTA(SPLIT($B$12,"" ""))"),0.13770685579196218)</f>
        <v>0.1377068558</v>
      </c>
      <c r="F13" s="7">
        <v>4.0</v>
      </c>
      <c r="G13" s="7">
        <v>4.0</v>
      </c>
      <c r="H13" s="7">
        <v>5.0</v>
      </c>
      <c r="I13" s="7">
        <v>3.0</v>
      </c>
      <c r="J13" s="7">
        <v>4.0</v>
      </c>
      <c r="K13" s="56"/>
      <c r="L13" s="56"/>
      <c r="M13" s="56"/>
      <c r="N13" s="56"/>
      <c r="O13" s="56"/>
      <c r="P13" s="56"/>
      <c r="Q13" s="56"/>
      <c r="R13" s="56"/>
      <c r="S13" s="56"/>
      <c r="T13" s="56"/>
      <c r="U13" s="56"/>
      <c r="V13" s="56"/>
      <c r="W13" s="56"/>
      <c r="X13" s="56"/>
      <c r="Y13" s="56"/>
      <c r="Z13" s="56"/>
      <c r="AA13" s="56"/>
      <c r="AB13" s="56"/>
    </row>
    <row r="14" ht="225.0" customHeight="1">
      <c r="C14" s="7" t="s">
        <v>8</v>
      </c>
      <c r="D14" s="54" t="s">
        <v>265</v>
      </c>
      <c r="E14" s="93">
        <f>IFERROR(__xludf.DUMMYFUNCTION("COUNTA(SPLIT(D14,"" ""))/COUNTA(SPLIT($B$12,"" ""))"),0.08096926713947991)</f>
        <v>0.08096926714</v>
      </c>
      <c r="F14" s="7">
        <v>3.0</v>
      </c>
      <c r="G14" s="7">
        <v>5.0</v>
      </c>
      <c r="H14" s="7">
        <v>5.0</v>
      </c>
      <c r="I14" s="7">
        <v>5.0</v>
      </c>
      <c r="J14" s="7">
        <v>4.0</v>
      </c>
      <c r="K14" s="56"/>
      <c r="L14" s="56"/>
      <c r="M14" s="56"/>
      <c r="N14" s="56"/>
      <c r="O14" s="56"/>
      <c r="P14" s="56"/>
      <c r="Q14" s="56"/>
      <c r="R14" s="56"/>
      <c r="S14" s="56"/>
      <c r="T14" s="56"/>
      <c r="U14" s="56"/>
      <c r="V14" s="56"/>
      <c r="W14" s="56"/>
      <c r="X14" s="56"/>
      <c r="Y14" s="56"/>
      <c r="Z14" s="56"/>
      <c r="AA14" s="56"/>
      <c r="AB14" s="56"/>
    </row>
    <row r="15" ht="225.0" customHeight="1">
      <c r="C15" s="7" t="s">
        <v>23</v>
      </c>
      <c r="D15" s="54" t="s">
        <v>266</v>
      </c>
      <c r="E15" s="94">
        <f>IFERROR(__xludf.DUMMYFUNCTION("COUNTA(SPLIT(D15,"" ""))/COUNTA(SPLIT($B$12,"" ""))"),0.013002364066193853)</f>
        <v>0.01300236407</v>
      </c>
      <c r="F15" s="7">
        <v>5.0</v>
      </c>
      <c r="G15" s="7">
        <v>5.0</v>
      </c>
      <c r="H15" s="7">
        <v>5.0</v>
      </c>
      <c r="I15" s="7">
        <v>5.0</v>
      </c>
      <c r="J15" s="7">
        <v>2.0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52" t="s">
        <v>51</v>
      </c>
      <c r="B17" s="62" t="s">
        <v>52</v>
      </c>
      <c r="C17" s="63" t="s">
        <v>21</v>
      </c>
      <c r="D17" s="64" t="s">
        <v>267</v>
      </c>
      <c r="E17" s="95">
        <f>IFERROR(__xludf.DUMMYFUNCTION("COUNTA(SPLIT(D17,"" ""))/COUNTA(SPLIT($B$17,"" ""))"),0.1379800853485064)</f>
        <v>0.1379800853</v>
      </c>
      <c r="F17" s="63">
        <v>4.0</v>
      </c>
      <c r="G17" s="63">
        <v>5.0</v>
      </c>
      <c r="H17" s="63">
        <v>5.0</v>
      </c>
      <c r="I17" s="63">
        <v>4.0</v>
      </c>
      <c r="J17" s="63">
        <v>4.0</v>
      </c>
      <c r="K17" s="66"/>
      <c r="L17" s="66"/>
      <c r="M17" s="66"/>
      <c r="N17" s="66"/>
      <c r="O17" s="66"/>
      <c r="P17" s="66"/>
      <c r="Q17" s="66"/>
      <c r="R17" s="66"/>
      <c r="S17" s="66"/>
      <c r="T17" s="66"/>
      <c r="U17" s="66"/>
      <c r="V17" s="66"/>
      <c r="W17" s="66"/>
      <c r="X17" s="66"/>
      <c r="Y17" s="66"/>
      <c r="Z17" s="66"/>
      <c r="AA17" s="66"/>
      <c r="AB17" s="66"/>
    </row>
    <row r="18" ht="225.0" customHeight="1">
      <c r="C18" s="7" t="s">
        <v>22</v>
      </c>
      <c r="D18" s="54" t="s">
        <v>268</v>
      </c>
      <c r="E18" s="96">
        <f>IFERROR(__xludf.DUMMYFUNCTION("COUNTA(SPLIT(D18,"" ""))/COUNTA(SPLIT($B$17,"" ""))"),0.05832147937411095)</f>
        <v>0.05832147937</v>
      </c>
      <c r="F18" s="7">
        <v>5.0</v>
      </c>
      <c r="G18" s="7">
        <v>5.0</v>
      </c>
      <c r="H18" s="7">
        <v>5.0</v>
      </c>
      <c r="I18" s="7">
        <v>5.0</v>
      </c>
      <c r="J18" s="7">
        <v>2.0</v>
      </c>
      <c r="K18" s="56"/>
      <c r="L18" s="56"/>
      <c r="M18" s="56"/>
      <c r="N18" s="56"/>
      <c r="O18" s="56"/>
      <c r="P18" s="56"/>
      <c r="Q18" s="56"/>
      <c r="R18" s="56"/>
      <c r="S18" s="56"/>
      <c r="T18" s="56"/>
      <c r="U18" s="56"/>
      <c r="V18" s="56"/>
      <c r="W18" s="56"/>
      <c r="X18" s="56"/>
      <c r="Y18" s="56"/>
      <c r="Z18" s="56"/>
      <c r="AA18" s="56"/>
      <c r="AB18" s="56"/>
    </row>
    <row r="19" ht="225.0" customHeight="1">
      <c r="C19" s="7" t="s">
        <v>8</v>
      </c>
      <c r="D19" s="54" t="s">
        <v>269</v>
      </c>
      <c r="E19" s="97">
        <f>IFERROR(__xludf.DUMMYFUNCTION("COUNTA(SPLIT(D19,"" ""))/COUNTA(SPLIT($B$17,"" ""))"),0.18776671408250356)</f>
        <v>0.1877667141</v>
      </c>
      <c r="F19" s="7">
        <v>3.0</v>
      </c>
      <c r="G19" s="7">
        <v>4.0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C20" s="7" t="s">
        <v>23</v>
      </c>
      <c r="D20" s="54" t="s">
        <v>270</v>
      </c>
      <c r="E20" s="98">
        <f>IFERROR(__xludf.DUMMYFUNCTION("COUNTA(SPLIT(D20,"" ""))/COUNTA(SPLIT($B$17,"" ""))"),0.09957325746799431)</f>
        <v>0.09957325747</v>
      </c>
      <c r="F20" s="7">
        <v>4.0</v>
      </c>
      <c r="G20" s="7">
        <v>5.0</v>
      </c>
      <c r="H20" s="7">
        <v>5.0</v>
      </c>
      <c r="I20" s="7">
        <v>5.0</v>
      </c>
      <c r="J20" s="7">
        <v>3.0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21</v>
      </c>
      <c r="D22" s="64" t="s">
        <v>271</v>
      </c>
      <c r="E22" s="99">
        <f>IFERROR(__xludf.DUMMYFUNCTION("COUNTA(SPLIT(D22,"" ""))/COUNTA(SPLIT($B$22,"" ""))"),0.1785457163426926)</f>
        <v>0.1785457163</v>
      </c>
      <c r="F22" s="63">
        <v>5.0</v>
      </c>
      <c r="G22" s="63">
        <v>5.0</v>
      </c>
      <c r="H22" s="63">
        <v>5.0</v>
      </c>
      <c r="I22" s="63">
        <v>3.0</v>
      </c>
      <c r="J22" s="63">
        <v>5.0</v>
      </c>
      <c r="K22" s="66"/>
      <c r="L22" s="66"/>
      <c r="M22" s="66"/>
      <c r="N22" s="66"/>
      <c r="O22" s="66"/>
      <c r="P22" s="66"/>
      <c r="Q22" s="66"/>
      <c r="R22" s="66"/>
      <c r="S22" s="66"/>
      <c r="T22" s="66"/>
      <c r="U22" s="66"/>
      <c r="V22" s="66"/>
      <c r="W22" s="66"/>
      <c r="X22" s="66"/>
      <c r="Y22" s="66"/>
      <c r="Z22" s="66"/>
      <c r="AA22" s="66"/>
      <c r="AB22" s="66"/>
    </row>
    <row r="23" ht="225.0" customHeight="1">
      <c r="C23" s="7" t="s">
        <v>22</v>
      </c>
      <c r="D23" s="54" t="s">
        <v>272</v>
      </c>
      <c r="E23" s="100">
        <f>IFERROR(__xludf.DUMMYFUNCTION("COUNTA(SPLIT(D23,"" ""))/COUNTA(SPLIT($B$22,"" ""))"),0.013678905687544997)</f>
        <v>0.01367890569</v>
      </c>
      <c r="F23" s="7">
        <v>5.0</v>
      </c>
      <c r="G23" s="7">
        <v>5.0</v>
      </c>
      <c r="H23" s="7">
        <v>5.0</v>
      </c>
      <c r="I23" s="7">
        <v>2.0</v>
      </c>
      <c r="J23" s="7">
        <v>1.0</v>
      </c>
      <c r="K23" s="56"/>
      <c r="L23" s="56"/>
      <c r="M23" s="56"/>
      <c r="N23" s="56"/>
      <c r="O23" s="56"/>
      <c r="P23" s="56"/>
      <c r="Q23" s="56"/>
      <c r="R23" s="56"/>
      <c r="S23" s="56"/>
      <c r="T23" s="56"/>
      <c r="U23" s="56"/>
      <c r="V23" s="56"/>
      <c r="W23" s="56"/>
      <c r="X23" s="56"/>
      <c r="Y23" s="56"/>
      <c r="Z23" s="56"/>
      <c r="AA23" s="56"/>
      <c r="AB23" s="56"/>
    </row>
    <row r="24" ht="225.0" customHeight="1">
      <c r="C24" s="7" t="s">
        <v>8</v>
      </c>
      <c r="D24" s="54" t="s">
        <v>273</v>
      </c>
      <c r="E24" s="101">
        <f>IFERROR(__xludf.DUMMYFUNCTION("COUNTA(SPLIT(D24,"" ""))/COUNTA(SPLIT($B$22,"" ""))"),0.11231101511879049)</f>
        <v>0.1123110151</v>
      </c>
      <c r="F24" s="7">
        <v>3.0</v>
      </c>
      <c r="G24" s="7">
        <v>3.0</v>
      </c>
      <c r="H24" s="7">
        <v>5.0</v>
      </c>
      <c r="I24" s="7">
        <v>5.0</v>
      </c>
      <c r="J24" s="7">
        <v>3.0</v>
      </c>
      <c r="K24" s="56"/>
      <c r="L24" s="56"/>
      <c r="M24" s="56"/>
      <c r="N24" s="56"/>
      <c r="O24" s="56"/>
      <c r="P24" s="56"/>
      <c r="Q24" s="56"/>
      <c r="R24" s="56"/>
      <c r="S24" s="56"/>
      <c r="T24" s="56"/>
      <c r="U24" s="56"/>
      <c r="V24" s="56"/>
      <c r="W24" s="56"/>
      <c r="X24" s="56"/>
      <c r="Y24" s="56"/>
      <c r="Z24" s="56"/>
      <c r="AA24" s="56"/>
      <c r="AB24" s="56"/>
    </row>
    <row r="25" ht="225.0" customHeight="1">
      <c r="C25" s="7" t="s">
        <v>23</v>
      </c>
      <c r="D25" s="54" t="s">
        <v>274</v>
      </c>
      <c r="E25" s="102">
        <f>IFERROR(__xludf.DUMMYFUNCTION("COUNTA(SPLIT(D25,"" ""))/COUNTA(SPLIT($B$22,"" ""))"),0.03311735061195104)</f>
        <v>0.03311735061</v>
      </c>
      <c r="F25" s="7">
        <v>4.0</v>
      </c>
      <c r="G25" s="7">
        <v>5.0</v>
      </c>
      <c r="H25" s="7">
        <v>5.0</v>
      </c>
      <c r="I25" s="7">
        <v>5.0</v>
      </c>
      <c r="J25" s="7">
        <v>2.0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64" t="s">
        <v>275</v>
      </c>
      <c r="E27" s="104">
        <f>IFERROR(__xludf.DUMMYFUNCTION("COUNTA(SPLIT(D27,"" ""))/COUNTA(SPLIT($B$27,"" ""))"),0.24470134874759153)</f>
        <v>0.2447013487</v>
      </c>
      <c r="F27" s="63">
        <v>4.0</v>
      </c>
      <c r="G27" s="63">
        <v>5.0</v>
      </c>
      <c r="H27" s="63">
        <v>5.0</v>
      </c>
      <c r="I27" s="63">
        <v>5.0</v>
      </c>
      <c r="J27" s="63">
        <v>4.0</v>
      </c>
      <c r="K27" s="66"/>
      <c r="L27" s="66"/>
      <c r="M27" s="66"/>
      <c r="N27" s="66"/>
      <c r="O27" s="66"/>
      <c r="P27" s="66"/>
      <c r="Q27" s="66"/>
      <c r="R27" s="66"/>
      <c r="S27" s="66"/>
      <c r="T27" s="66"/>
      <c r="U27" s="66"/>
      <c r="V27" s="66"/>
      <c r="W27" s="66"/>
      <c r="X27" s="66"/>
      <c r="Y27" s="66"/>
      <c r="Z27" s="66"/>
      <c r="AA27" s="66"/>
      <c r="AB27" s="66"/>
    </row>
    <row r="28" ht="225.0" customHeight="1">
      <c r="C28" s="7" t="s">
        <v>22</v>
      </c>
      <c r="D28" s="54" t="s">
        <v>276</v>
      </c>
      <c r="E28" s="105">
        <f>IFERROR(__xludf.DUMMYFUNCTION("COUNTA(SPLIT(D28,"" ""))/COUNTA(SPLIT($B$27,"" ""))"),0.18689788053949905)</f>
        <v>0.1868978805</v>
      </c>
      <c r="F28" s="7">
        <v>4.0</v>
      </c>
      <c r="G28" s="7">
        <v>5.0</v>
      </c>
      <c r="H28" s="7">
        <v>5.0</v>
      </c>
      <c r="I28" s="7">
        <v>5.0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277</v>
      </c>
      <c r="E29" s="98">
        <f>IFERROR(__xludf.DUMMYFUNCTION("COUNTA(SPLIT(D29,"" ""))/COUNTA(SPLIT($B$27,"" ""))"),0.30828516377649323)</f>
        <v>0.3082851638</v>
      </c>
      <c r="F29" s="7">
        <v>3.0</v>
      </c>
      <c r="G29" s="7">
        <v>4.0</v>
      </c>
      <c r="H29" s="7">
        <v>4.0</v>
      </c>
      <c r="I29" s="7">
        <v>4.0</v>
      </c>
      <c r="J29" s="7">
        <v>4.0</v>
      </c>
      <c r="K29" s="56"/>
      <c r="L29" s="56"/>
      <c r="M29" s="56"/>
      <c r="N29" s="56"/>
      <c r="O29" s="56"/>
      <c r="P29" s="56"/>
      <c r="Q29" s="56"/>
      <c r="R29" s="56"/>
      <c r="S29" s="56"/>
      <c r="T29" s="56"/>
      <c r="U29" s="56"/>
      <c r="V29" s="56"/>
      <c r="W29" s="56"/>
      <c r="X29" s="56"/>
      <c r="Y29" s="56"/>
      <c r="Z29" s="56"/>
      <c r="AA29" s="56"/>
      <c r="AB29" s="56"/>
    </row>
    <row r="30" ht="225.0" customHeight="1">
      <c r="C30" s="7" t="s">
        <v>23</v>
      </c>
      <c r="D30" s="54" t="s">
        <v>278</v>
      </c>
      <c r="E30" s="106">
        <f>IFERROR(__xludf.DUMMYFUNCTION("COUNTA(SPLIT(D30,"" ""))/COUNTA(SPLIT($B$27,"" ""))"),0.1676300578034682)</f>
        <v>0.1676300578</v>
      </c>
      <c r="F30" s="7">
        <v>4.0</v>
      </c>
      <c r="G30" s="7">
        <v>4.0</v>
      </c>
      <c r="H30" s="7">
        <v>4.0</v>
      </c>
      <c r="I30" s="7">
        <v>5.0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70</v>
      </c>
      <c r="C32" s="63" t="s">
        <v>21</v>
      </c>
      <c r="D32" s="64" t="s">
        <v>279</v>
      </c>
      <c r="E32" s="76">
        <f>IFERROR(__xludf.DUMMYFUNCTION("COUNTA(SPLIT(D32,"" ""))/COUNTA(SPLIT($B$32,"" ""))"),0.1891891891891892)</f>
        <v>0.1891891892</v>
      </c>
      <c r="F32" s="63">
        <v>4.0</v>
      </c>
      <c r="G32" s="63">
        <v>5.0</v>
      </c>
      <c r="H32" s="63">
        <v>5.0</v>
      </c>
      <c r="I32" s="63">
        <v>5.0</v>
      </c>
      <c r="J32" s="63">
        <v>3.0</v>
      </c>
      <c r="K32" s="66"/>
      <c r="L32" s="66"/>
      <c r="M32" s="66"/>
      <c r="N32" s="66"/>
      <c r="O32" s="66"/>
      <c r="P32" s="66"/>
      <c r="Q32" s="66"/>
      <c r="R32" s="66"/>
      <c r="S32" s="66"/>
      <c r="T32" s="66"/>
      <c r="U32" s="66"/>
      <c r="V32" s="66"/>
      <c r="W32" s="66"/>
      <c r="X32" s="66"/>
      <c r="Y32" s="66"/>
      <c r="Z32" s="66"/>
      <c r="AA32" s="66"/>
      <c r="AB32" s="66"/>
    </row>
    <row r="33" ht="225.0" customHeight="1">
      <c r="C33" s="7" t="s">
        <v>22</v>
      </c>
      <c r="D33" s="54" t="s">
        <v>280</v>
      </c>
      <c r="E33" s="108">
        <f>IFERROR(__xludf.DUMMYFUNCTION("COUNTA(SPLIT(D33,"" ""))/COUNTA(SPLIT($B$32,"" ""))"),0.24324324324324326)</f>
        <v>0.2432432432</v>
      </c>
      <c r="F33" s="7">
        <v>5.0</v>
      </c>
      <c r="G33" s="7">
        <v>5.0</v>
      </c>
      <c r="H33" s="7">
        <v>5.0</v>
      </c>
      <c r="I33" s="7">
        <v>4.0</v>
      </c>
      <c r="J33" s="7">
        <v>2.0</v>
      </c>
      <c r="K33" s="56"/>
      <c r="L33" s="56"/>
      <c r="M33" s="56"/>
      <c r="N33" s="56"/>
      <c r="O33" s="56"/>
      <c r="P33" s="56"/>
      <c r="Q33" s="56"/>
      <c r="R33" s="56"/>
      <c r="S33" s="56"/>
      <c r="T33" s="56"/>
      <c r="U33" s="56"/>
      <c r="V33" s="56"/>
      <c r="W33" s="56"/>
      <c r="X33" s="56"/>
      <c r="Y33" s="56"/>
      <c r="Z33" s="56"/>
      <c r="AA33" s="56"/>
      <c r="AB33" s="56"/>
    </row>
    <row r="34" ht="225.0" customHeight="1">
      <c r="C34" s="7" t="s">
        <v>8</v>
      </c>
      <c r="D34" s="54" t="s">
        <v>281</v>
      </c>
      <c r="E34" s="109">
        <f>IFERROR(__xludf.DUMMYFUNCTION("COUNTA(SPLIT(D34,"" ""))/COUNTA(SPLIT($B$32,"" ""))"),0.7675675675675676)</f>
        <v>0.7675675676</v>
      </c>
      <c r="F34" s="7">
        <v>3.0</v>
      </c>
      <c r="G34" s="7">
        <v>4.0</v>
      </c>
      <c r="H34" s="7">
        <v>5.0</v>
      </c>
      <c r="I34" s="7">
        <v>4.0</v>
      </c>
      <c r="J34" s="7">
        <v>5.0</v>
      </c>
      <c r="K34" s="56"/>
      <c r="L34" s="56"/>
      <c r="M34" s="56"/>
      <c r="N34" s="56"/>
      <c r="O34" s="56"/>
      <c r="P34" s="56"/>
      <c r="Q34" s="56"/>
      <c r="R34" s="56"/>
      <c r="S34" s="56"/>
      <c r="T34" s="56"/>
      <c r="U34" s="56"/>
      <c r="V34" s="56"/>
      <c r="W34" s="56"/>
      <c r="X34" s="56"/>
      <c r="Y34" s="56"/>
      <c r="Z34" s="56"/>
      <c r="AA34" s="56"/>
      <c r="AB34" s="56"/>
    </row>
    <row r="35" ht="225.0" customHeight="1">
      <c r="C35" s="7" t="s">
        <v>23</v>
      </c>
      <c r="D35" s="54" t="s">
        <v>282</v>
      </c>
      <c r="E35" s="72">
        <f>IFERROR(__xludf.DUMMYFUNCTION("COUNTA(SPLIT(D35,"" ""))/COUNTA(SPLIT($B$32,"" ""))"),0.12432432432432433)</f>
        <v>0.1243243243</v>
      </c>
      <c r="F35" s="7">
        <v>5.0</v>
      </c>
      <c r="G35" s="7">
        <v>5.0</v>
      </c>
      <c r="H35" s="7">
        <v>5.0</v>
      </c>
      <c r="I35" s="7">
        <v>5.0</v>
      </c>
      <c r="J35" s="7">
        <v>2.0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283</v>
      </c>
      <c r="E37" s="81">
        <f>IFERROR(__xludf.DUMMYFUNCTION("COUNTA(SPLIT(D37,"" ""))/COUNTA(SPLIT($B$37,"" ""))"),0.11994784876140809)</f>
        <v>0.1199478488</v>
      </c>
      <c r="F37" s="63">
        <v>4.0</v>
      </c>
      <c r="G37" s="63">
        <v>4.0</v>
      </c>
      <c r="H37" s="63">
        <v>5.0</v>
      </c>
      <c r="I37" s="63">
        <v>4.0</v>
      </c>
      <c r="J37" s="63">
        <v>4.0</v>
      </c>
      <c r="K37" s="66"/>
      <c r="L37" s="66"/>
      <c r="M37" s="66"/>
      <c r="N37" s="66"/>
      <c r="O37" s="66"/>
      <c r="P37" s="66"/>
      <c r="Q37" s="66"/>
      <c r="R37" s="66"/>
      <c r="S37" s="66"/>
      <c r="T37" s="66"/>
      <c r="U37" s="66"/>
      <c r="V37" s="66"/>
      <c r="W37" s="66"/>
      <c r="X37" s="66"/>
      <c r="Y37" s="66"/>
      <c r="Z37" s="66"/>
      <c r="AA37" s="66"/>
      <c r="AB37" s="66"/>
    </row>
    <row r="38" ht="225.0" customHeight="1">
      <c r="C38" s="7" t="s">
        <v>22</v>
      </c>
      <c r="D38" s="54" t="s">
        <v>284</v>
      </c>
      <c r="E38" s="110">
        <f>IFERROR(__xludf.DUMMYFUNCTION("COUNTA(SPLIT(D38,"" ""))/COUNTA(SPLIT($B$37,"" ""))"),0.01564537157757497)</f>
        <v>0.01564537158</v>
      </c>
      <c r="F38" s="7">
        <v>5.0</v>
      </c>
      <c r="G38" s="7">
        <v>5.0</v>
      </c>
      <c r="H38" s="7">
        <v>5.0</v>
      </c>
      <c r="I38" s="7">
        <v>5.0</v>
      </c>
      <c r="J38" s="7">
        <v>2.0</v>
      </c>
      <c r="K38" s="56"/>
      <c r="L38" s="56"/>
      <c r="M38" s="56"/>
      <c r="N38" s="56"/>
      <c r="O38" s="56"/>
      <c r="P38" s="56"/>
      <c r="Q38" s="56"/>
      <c r="R38" s="56"/>
      <c r="S38" s="56"/>
      <c r="T38" s="56"/>
      <c r="U38" s="56"/>
      <c r="V38" s="56"/>
      <c r="W38" s="56"/>
      <c r="X38" s="56"/>
      <c r="Y38" s="56"/>
      <c r="Z38" s="56"/>
      <c r="AA38" s="56"/>
      <c r="AB38" s="56"/>
    </row>
    <row r="39" ht="225.0" customHeight="1">
      <c r="C39" s="7" t="s">
        <v>8</v>
      </c>
      <c r="D39" s="54" t="s">
        <v>285</v>
      </c>
      <c r="E39" s="94">
        <f>IFERROR(__xludf.DUMMYFUNCTION("COUNTA(SPLIT(D39,"" ""))/COUNTA(SPLIT($B$37,"" ""))"),0.20078226857887874)</f>
        <v>0.2007822686</v>
      </c>
      <c r="F39" s="7">
        <v>3.0</v>
      </c>
      <c r="G39" s="7">
        <v>4.0</v>
      </c>
      <c r="H39" s="7">
        <v>5.0</v>
      </c>
      <c r="I39" s="7">
        <v>4.0</v>
      </c>
      <c r="J39" s="7">
        <v>4.0</v>
      </c>
      <c r="K39" s="56"/>
      <c r="L39" s="56"/>
      <c r="M39" s="56"/>
      <c r="N39" s="56"/>
      <c r="O39" s="56"/>
      <c r="P39" s="56"/>
      <c r="Q39" s="56"/>
      <c r="R39" s="56"/>
      <c r="S39" s="56"/>
      <c r="T39" s="56"/>
      <c r="U39" s="56"/>
      <c r="V39" s="56"/>
      <c r="W39" s="56"/>
      <c r="X39" s="56"/>
      <c r="Y39" s="56"/>
      <c r="Z39" s="56"/>
      <c r="AA39" s="56"/>
      <c r="AB39" s="56"/>
    </row>
    <row r="40" ht="225.0" customHeight="1">
      <c r="C40" s="7" t="s">
        <v>23</v>
      </c>
      <c r="D40" s="54" t="s">
        <v>286</v>
      </c>
      <c r="E40" s="84">
        <f>IFERROR(__xludf.DUMMYFUNCTION("COUNTA(SPLIT(D40,"" ""))/COUNTA(SPLIT($B$37,"" ""))"),0.05084745762711865)</f>
        <v>0.05084745763</v>
      </c>
      <c r="F40" s="7">
        <v>5.0</v>
      </c>
      <c r="G40" s="7">
        <v>5.0</v>
      </c>
      <c r="H40" s="7">
        <v>5.0</v>
      </c>
      <c r="I40" s="7">
        <v>5.0</v>
      </c>
      <c r="J40" s="7">
        <v>3.0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287</v>
      </c>
      <c r="E42" s="111">
        <f>IFERROR(__xludf.DUMMYFUNCTION("COUNTA(SPLIT(D42,"" ""))/COUNTA(SPLIT($B$42,"" ""))"),0.1093969144460028)</f>
        <v>0.1093969144</v>
      </c>
      <c r="F42" s="63">
        <v>5.0</v>
      </c>
      <c r="G42" s="63">
        <v>5.0</v>
      </c>
      <c r="H42" s="63">
        <v>5.0</v>
      </c>
      <c r="I42" s="63">
        <v>4.0</v>
      </c>
      <c r="J42" s="63">
        <v>4.0</v>
      </c>
      <c r="K42" s="66"/>
      <c r="L42" s="66"/>
      <c r="M42" s="66"/>
      <c r="N42" s="66"/>
      <c r="O42" s="66"/>
      <c r="P42" s="66"/>
      <c r="Q42" s="66"/>
      <c r="R42" s="66"/>
      <c r="S42" s="66"/>
      <c r="T42" s="66"/>
      <c r="U42" s="66"/>
      <c r="V42" s="66"/>
      <c r="W42" s="66"/>
      <c r="X42" s="66"/>
      <c r="Y42" s="66"/>
      <c r="Z42" s="66"/>
      <c r="AA42" s="66"/>
      <c r="AB42" s="66"/>
    </row>
    <row r="43" ht="225.0" customHeight="1">
      <c r="C43" s="7" t="s">
        <v>22</v>
      </c>
      <c r="D43" s="54" t="s">
        <v>288</v>
      </c>
      <c r="E43" s="81">
        <f>IFERROR(__xludf.DUMMYFUNCTION("COUNTA(SPLIT(D43,"" ""))/COUNTA(SPLIT($B$42,"" ""))"),0.11079943899018233)</f>
        <v>0.110799439</v>
      </c>
      <c r="F43" s="7">
        <v>5.0</v>
      </c>
      <c r="G43" s="7">
        <v>4.0</v>
      </c>
      <c r="H43" s="7">
        <v>5.0</v>
      </c>
      <c r="I43" s="7">
        <v>4.0</v>
      </c>
      <c r="J43" s="7">
        <v>4.0</v>
      </c>
      <c r="K43" s="56"/>
      <c r="L43" s="56"/>
      <c r="M43" s="56"/>
      <c r="N43" s="56"/>
      <c r="O43" s="56"/>
      <c r="P43" s="56"/>
      <c r="Q43" s="56"/>
      <c r="R43" s="56"/>
      <c r="S43" s="56"/>
      <c r="T43" s="56"/>
      <c r="U43" s="56"/>
      <c r="V43" s="56"/>
      <c r="W43" s="56"/>
      <c r="X43" s="56"/>
      <c r="Y43" s="56"/>
      <c r="Z43" s="56"/>
      <c r="AA43" s="56"/>
      <c r="AB43" s="56"/>
    </row>
    <row r="44" ht="225.0" customHeight="1">
      <c r="C44" s="7" t="s">
        <v>8</v>
      </c>
      <c r="D44" s="54" t="s">
        <v>289</v>
      </c>
      <c r="E44" s="112">
        <f>IFERROR(__xludf.DUMMYFUNCTION("COUNTA(SPLIT(D44,"" ""))/COUNTA(SPLIT($B$42,"" ""))"),0.16549789621318373)</f>
        <v>0.1654978962</v>
      </c>
      <c r="F44" s="7">
        <v>3.0</v>
      </c>
      <c r="G44" s="7">
        <v>5.0</v>
      </c>
      <c r="H44" s="7">
        <v>5.0</v>
      </c>
      <c r="I44" s="7">
        <v>4.0</v>
      </c>
      <c r="J44" s="7">
        <v>4.0</v>
      </c>
      <c r="K44" s="56"/>
      <c r="L44" s="56"/>
      <c r="M44" s="56"/>
      <c r="N44" s="56"/>
      <c r="O44" s="56"/>
      <c r="P44" s="56"/>
      <c r="Q44" s="56"/>
      <c r="R44" s="56"/>
      <c r="S44" s="56"/>
      <c r="T44" s="56"/>
      <c r="U44" s="56"/>
      <c r="V44" s="56"/>
      <c r="W44" s="56"/>
      <c r="X44" s="56"/>
      <c r="Y44" s="56"/>
      <c r="Z44" s="56"/>
      <c r="AA44" s="56"/>
      <c r="AB44" s="56"/>
    </row>
    <row r="45" ht="225.0" customHeight="1">
      <c r="C45" s="7" t="s">
        <v>23</v>
      </c>
      <c r="D45" s="54" t="s">
        <v>290</v>
      </c>
      <c r="E45" s="106">
        <f>IFERROR(__xludf.DUMMYFUNCTION("COUNTA(SPLIT(D45,"" ""))/COUNTA(SPLIT($B$42,"" ""))"),0.10659186535764376)</f>
        <v>0.1065918654</v>
      </c>
      <c r="F45" s="7">
        <v>5.0</v>
      </c>
      <c r="G45" s="7">
        <v>5.0</v>
      </c>
      <c r="H45" s="7">
        <v>5.0</v>
      </c>
      <c r="I45" s="7">
        <v>5.0</v>
      </c>
      <c r="J45" s="7">
        <v>4.0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131</v>
      </c>
      <c r="C47" s="63" t="s">
        <v>21</v>
      </c>
      <c r="D47" s="64" t="s">
        <v>291</v>
      </c>
      <c r="E47" s="113">
        <f>IFERROR(__xludf.DUMMYFUNCTION("COUNTA(SPLIT(D47,"" ""))/COUNTA(SPLIT($B$47,"" ""))"),0.09345200254291164)</f>
        <v>0.09345200254</v>
      </c>
      <c r="F47" s="63">
        <v>5.0</v>
      </c>
      <c r="G47" s="63">
        <v>5.0</v>
      </c>
      <c r="H47" s="63">
        <v>5.0</v>
      </c>
      <c r="I47" s="63">
        <v>5.0</v>
      </c>
      <c r="J47" s="63">
        <v>3.0</v>
      </c>
      <c r="K47" s="66"/>
      <c r="L47" s="66"/>
      <c r="M47" s="66"/>
      <c r="N47" s="66"/>
      <c r="O47" s="66"/>
      <c r="P47" s="66"/>
      <c r="Q47" s="66"/>
      <c r="R47" s="66"/>
      <c r="S47" s="66"/>
      <c r="T47" s="66"/>
      <c r="U47" s="66"/>
      <c r="V47" s="66"/>
      <c r="W47" s="66"/>
      <c r="X47" s="66"/>
      <c r="Y47" s="66"/>
      <c r="Z47" s="66"/>
      <c r="AA47" s="66"/>
      <c r="AB47" s="66"/>
    </row>
    <row r="48" ht="225.0" customHeight="1">
      <c r="C48" s="7" t="s">
        <v>22</v>
      </c>
      <c r="D48" s="54" t="s">
        <v>292</v>
      </c>
      <c r="E48" s="114">
        <f>IFERROR(__xludf.DUMMYFUNCTION("COUNTA(SPLIT(D48,"" ""))/COUNTA(SPLIT($B$47,"" ""))"),0.052129688493324854)</f>
        <v>0.05212968849</v>
      </c>
      <c r="F48" s="7">
        <v>5.0</v>
      </c>
      <c r="G48" s="7">
        <v>5.0</v>
      </c>
      <c r="H48" s="7">
        <v>4.0</v>
      </c>
      <c r="I48" s="7">
        <v>5.0</v>
      </c>
      <c r="J48" s="7">
        <v>2.0</v>
      </c>
      <c r="K48" s="56"/>
      <c r="L48" s="56"/>
      <c r="M48" s="56"/>
      <c r="N48" s="56"/>
      <c r="O48" s="56"/>
      <c r="P48" s="56"/>
      <c r="Q48" s="56"/>
      <c r="R48" s="56"/>
      <c r="S48" s="56"/>
      <c r="T48" s="56"/>
      <c r="U48" s="56"/>
      <c r="V48" s="56"/>
      <c r="W48" s="56"/>
      <c r="X48" s="56"/>
      <c r="Y48" s="56"/>
      <c r="Z48" s="56"/>
      <c r="AA48" s="56"/>
      <c r="AB48" s="56"/>
    </row>
    <row r="49" ht="225.0" customHeight="1">
      <c r="C49" s="7" t="s">
        <v>8</v>
      </c>
      <c r="D49" s="54" t="s">
        <v>293</v>
      </c>
      <c r="E49" s="115">
        <f>IFERROR(__xludf.DUMMYFUNCTION("COUNTA(SPLIT(D49,"" ""))/COUNTA(SPLIT($B$47,"" ""))"),0.1487603305785124)</f>
        <v>0.1487603306</v>
      </c>
      <c r="F49" s="7">
        <v>3.0</v>
      </c>
      <c r="G49" s="7">
        <v>4.0</v>
      </c>
      <c r="H49" s="7">
        <v>4.0</v>
      </c>
      <c r="I49" s="7">
        <v>4.0</v>
      </c>
      <c r="J49" s="7">
        <v>3.0</v>
      </c>
      <c r="K49" s="56"/>
      <c r="L49" s="56"/>
      <c r="M49" s="56"/>
      <c r="N49" s="56"/>
      <c r="O49" s="56"/>
      <c r="P49" s="56"/>
      <c r="Q49" s="56"/>
      <c r="R49" s="56"/>
      <c r="S49" s="56"/>
      <c r="T49" s="56"/>
      <c r="U49" s="56"/>
      <c r="V49" s="56"/>
      <c r="W49" s="56"/>
      <c r="X49" s="56"/>
      <c r="Y49" s="56"/>
      <c r="Z49" s="56"/>
      <c r="AA49" s="56"/>
      <c r="AB49" s="56"/>
    </row>
    <row r="50" ht="225.0" customHeight="1">
      <c r="C50" s="7" t="s">
        <v>23</v>
      </c>
      <c r="D50" s="54" t="s">
        <v>294</v>
      </c>
      <c r="E50" s="116">
        <f>IFERROR(__xludf.DUMMYFUNCTION("COUNTA(SPLIT(D50,"" ""))/COUNTA(SPLIT($B$47,"" ""))"),0.07374443738080101)</f>
        <v>0.07374443738</v>
      </c>
      <c r="F50" s="7">
        <v>5.0</v>
      </c>
      <c r="G50" s="7">
        <v>5.0</v>
      </c>
      <c r="H50" s="7">
        <v>4.0</v>
      </c>
      <c r="I50" s="7">
        <v>5.0</v>
      </c>
      <c r="J50" s="7">
        <v>3.0</v>
      </c>
      <c r="K50" s="56"/>
      <c r="L50" s="56"/>
      <c r="M50" s="56"/>
      <c r="N50" s="56"/>
      <c r="O50" s="56"/>
      <c r="P50" s="56"/>
      <c r="Q50" s="56"/>
      <c r="R50" s="56"/>
      <c r="S50" s="56"/>
      <c r="T50" s="56"/>
      <c r="U50" s="56"/>
      <c r="V50" s="56"/>
      <c r="W50" s="56"/>
      <c r="X50" s="56"/>
      <c r="Y50" s="56"/>
      <c r="Z50" s="56"/>
      <c r="AA50" s="56"/>
      <c r="AB50" s="56"/>
    </row>
    <row r="51">
      <c r="A51" s="56"/>
      <c r="B51" s="56"/>
      <c r="C51" s="58"/>
      <c r="D51" s="59"/>
      <c r="E51" s="79"/>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9"/>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9"/>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9"/>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9"/>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9"/>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9"/>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9"/>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9"/>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9"/>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9"/>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9"/>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9"/>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9"/>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9"/>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9"/>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9"/>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9"/>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9"/>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9"/>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9"/>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9"/>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9"/>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9"/>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9"/>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9"/>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9"/>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9"/>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9"/>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9"/>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9"/>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9"/>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9"/>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9"/>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9"/>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9"/>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9"/>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9"/>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9"/>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9"/>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9"/>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9"/>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9"/>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9"/>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9"/>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9"/>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9"/>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9"/>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9"/>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9"/>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9"/>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9"/>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9"/>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9"/>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9"/>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9"/>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9"/>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9"/>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9"/>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9"/>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9"/>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9"/>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9"/>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9"/>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9"/>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9"/>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9"/>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9"/>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9"/>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9"/>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9"/>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9"/>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9"/>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9"/>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9"/>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9"/>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9"/>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9"/>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9"/>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9"/>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9"/>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9"/>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9"/>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9"/>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9"/>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9"/>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9"/>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9"/>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9"/>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9"/>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9"/>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9"/>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9"/>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9"/>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9"/>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9"/>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9"/>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9"/>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9"/>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9"/>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9"/>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9"/>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9"/>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9"/>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9"/>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9"/>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9"/>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9"/>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9"/>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9"/>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9"/>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9"/>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9"/>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9"/>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9"/>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9"/>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9"/>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9"/>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9"/>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9"/>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9"/>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9"/>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9"/>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9"/>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9"/>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9"/>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9"/>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9"/>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9"/>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9"/>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9"/>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9"/>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9"/>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9"/>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9"/>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9"/>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9"/>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9"/>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9"/>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9"/>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9"/>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9"/>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9"/>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9"/>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9"/>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9"/>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9"/>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9"/>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9"/>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9"/>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9"/>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9"/>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9"/>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9"/>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9"/>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9"/>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9"/>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9"/>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9"/>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9"/>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9"/>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9"/>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9"/>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9"/>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9"/>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9"/>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9"/>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9"/>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9"/>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9"/>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9"/>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9"/>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9"/>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9"/>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9"/>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9"/>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9"/>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9"/>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9"/>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9"/>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9"/>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9"/>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9"/>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9"/>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9"/>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9"/>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9"/>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9"/>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9"/>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9"/>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9"/>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9"/>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9"/>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9"/>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9"/>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9"/>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9"/>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9"/>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9"/>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9"/>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9"/>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9"/>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9"/>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9"/>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9"/>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9"/>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9"/>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9"/>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9"/>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9"/>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9"/>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9"/>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9"/>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9"/>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9"/>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9"/>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9"/>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9"/>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9"/>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9"/>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9"/>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9"/>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9"/>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9"/>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9"/>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9"/>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9"/>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9"/>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9"/>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9"/>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9"/>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9"/>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9"/>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9"/>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9"/>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9"/>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9"/>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9"/>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9"/>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9"/>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9"/>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9"/>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9"/>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9"/>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9"/>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9"/>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9"/>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9"/>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9"/>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9"/>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9"/>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9"/>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9"/>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9"/>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9"/>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9"/>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9"/>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9"/>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9"/>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9"/>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9"/>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9"/>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9"/>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9"/>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9"/>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9"/>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9"/>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9"/>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9"/>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9"/>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9"/>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9"/>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9"/>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9"/>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9"/>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9"/>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9"/>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9"/>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9"/>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9"/>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9"/>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9"/>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9"/>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9"/>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9"/>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9"/>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9"/>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9"/>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9"/>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9"/>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9"/>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9"/>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9"/>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9"/>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9"/>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9"/>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9"/>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9"/>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9"/>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9"/>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9"/>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9"/>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9"/>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9"/>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9"/>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9"/>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9"/>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9"/>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9"/>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9"/>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9"/>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9"/>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9"/>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9"/>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9"/>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9"/>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9"/>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9"/>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9"/>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9"/>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9"/>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9"/>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9"/>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9"/>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9"/>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9"/>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9"/>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9"/>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9"/>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9"/>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9"/>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9"/>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9"/>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9"/>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9"/>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9"/>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9"/>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9"/>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9"/>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9"/>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9"/>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9"/>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9"/>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9"/>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9"/>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9"/>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9"/>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9"/>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9"/>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9"/>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9"/>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9"/>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9"/>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9"/>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9"/>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9"/>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9"/>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9"/>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9"/>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9"/>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9"/>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9"/>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9"/>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9"/>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9"/>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9"/>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9"/>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9"/>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9"/>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9"/>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9"/>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9"/>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9"/>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9"/>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9"/>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9"/>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9"/>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9"/>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9"/>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9"/>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9"/>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9"/>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9"/>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9"/>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9"/>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9"/>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9"/>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9"/>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9"/>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9"/>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9"/>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9"/>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9"/>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9"/>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9"/>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9"/>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9"/>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9"/>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9"/>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9"/>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9"/>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9"/>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9"/>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9"/>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9"/>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9"/>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9"/>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9"/>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9"/>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9"/>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9"/>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9"/>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9"/>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9"/>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9"/>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9"/>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9"/>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9"/>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9"/>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9"/>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9"/>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9"/>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9"/>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9"/>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9"/>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9"/>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9"/>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9"/>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9"/>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9"/>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9"/>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9"/>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9"/>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9"/>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9"/>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9"/>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9"/>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9"/>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9"/>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9"/>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9"/>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9"/>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9"/>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9"/>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9"/>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9"/>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9"/>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9"/>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9"/>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9"/>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9"/>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9"/>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9"/>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9"/>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9"/>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9"/>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9"/>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9"/>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9"/>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9"/>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9"/>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9"/>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9"/>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9"/>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9"/>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9"/>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9"/>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9"/>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9"/>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9"/>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9"/>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9"/>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9"/>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9"/>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9"/>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9"/>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9"/>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9"/>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9"/>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9"/>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9"/>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9"/>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9"/>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9"/>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9"/>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9"/>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9"/>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9"/>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9"/>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9"/>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9"/>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9"/>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9"/>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9"/>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9"/>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9"/>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9"/>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9"/>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9"/>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9"/>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9"/>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9"/>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9"/>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9"/>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9"/>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9"/>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9"/>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9"/>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9"/>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9"/>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9"/>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9"/>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9"/>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9"/>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9"/>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9"/>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9"/>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9"/>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9"/>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9"/>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9"/>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9"/>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9"/>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9"/>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9"/>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9"/>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9"/>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9"/>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9"/>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9"/>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9"/>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9"/>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9"/>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9"/>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9"/>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9"/>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9"/>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9"/>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9"/>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9"/>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9"/>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9"/>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9"/>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9"/>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9"/>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9"/>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9"/>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9"/>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9"/>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9"/>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9"/>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9"/>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9"/>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9"/>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9"/>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9"/>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9"/>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9"/>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9"/>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9"/>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9"/>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9"/>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9"/>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9"/>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9"/>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9"/>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9"/>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9"/>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9"/>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9"/>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9"/>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9"/>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9"/>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9"/>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9"/>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9"/>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9"/>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9"/>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9"/>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9"/>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9"/>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9"/>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9"/>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9"/>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9"/>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9"/>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9"/>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9"/>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9"/>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9"/>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9"/>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9"/>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9"/>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9"/>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9"/>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9"/>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9"/>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9"/>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9"/>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9"/>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9"/>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9"/>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9"/>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9"/>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9"/>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9"/>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9"/>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9"/>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9"/>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9"/>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9"/>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9"/>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9"/>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9"/>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9"/>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9"/>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9"/>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9"/>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9"/>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9"/>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9"/>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9"/>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9"/>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9"/>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9"/>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9"/>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9"/>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9"/>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9"/>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9"/>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9"/>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9"/>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9"/>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9"/>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9"/>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9"/>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9"/>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9"/>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9"/>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9"/>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9"/>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9"/>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9"/>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9"/>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9"/>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9"/>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9"/>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9"/>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9"/>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9"/>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9"/>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9"/>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9"/>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9"/>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9"/>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9"/>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9"/>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9"/>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9"/>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9"/>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9"/>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9"/>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9"/>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9"/>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9"/>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9"/>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9"/>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9"/>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9"/>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9"/>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9"/>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9"/>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9"/>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9"/>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9"/>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9"/>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9"/>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9"/>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9"/>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9"/>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9"/>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9"/>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9"/>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9"/>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9"/>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9"/>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9"/>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9"/>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9"/>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9"/>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9"/>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9"/>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9"/>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9"/>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9"/>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9"/>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9"/>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9"/>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9"/>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9"/>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9"/>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9"/>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9"/>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9"/>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9"/>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9"/>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9"/>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9"/>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9"/>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9"/>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9"/>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9"/>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9"/>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9"/>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9"/>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9"/>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9"/>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9"/>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9"/>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9"/>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9"/>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9"/>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9"/>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9"/>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9"/>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9"/>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9"/>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9"/>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9"/>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9"/>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9"/>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9"/>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9"/>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9"/>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9"/>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9"/>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9"/>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9"/>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9"/>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9"/>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9"/>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9"/>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9"/>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9"/>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9"/>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9"/>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9"/>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9"/>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9"/>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9"/>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9"/>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9"/>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9"/>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9"/>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9"/>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9"/>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9"/>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9"/>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9"/>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9"/>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9"/>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9"/>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9"/>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9"/>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9"/>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9"/>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9"/>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9"/>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9"/>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9"/>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9"/>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9"/>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9"/>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9"/>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9"/>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9"/>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9"/>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9"/>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9"/>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9"/>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9"/>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9"/>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9"/>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9"/>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9"/>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9"/>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9"/>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9"/>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9"/>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9"/>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9"/>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9"/>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9"/>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9"/>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9"/>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9"/>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9"/>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9"/>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9"/>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9"/>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9"/>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9"/>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9"/>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9"/>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9"/>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9"/>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9"/>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9"/>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9"/>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9"/>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9"/>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9"/>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9"/>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9"/>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9"/>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9"/>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9"/>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9"/>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9"/>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9"/>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9"/>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9"/>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9"/>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9"/>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9"/>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9"/>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9"/>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9"/>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9"/>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9"/>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9"/>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9"/>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9"/>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9"/>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9"/>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9"/>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9"/>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9"/>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9"/>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9"/>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9"/>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9"/>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9"/>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9"/>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9"/>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9"/>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9"/>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9"/>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9"/>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9"/>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9"/>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9"/>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9"/>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9"/>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9"/>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9"/>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9"/>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9"/>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9"/>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9"/>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9"/>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9"/>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9"/>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9"/>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9"/>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9"/>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9"/>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9"/>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9"/>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9"/>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9"/>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9"/>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9"/>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9"/>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9"/>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9"/>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9"/>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9"/>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9"/>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9"/>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9"/>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9"/>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9"/>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9"/>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9"/>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9"/>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9"/>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9"/>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9"/>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9"/>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9"/>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9"/>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9"/>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9"/>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9"/>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9"/>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9"/>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9"/>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9"/>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9"/>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9"/>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9"/>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9"/>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9"/>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9"/>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9"/>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9"/>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9"/>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9"/>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9"/>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9"/>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9"/>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9"/>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9"/>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9"/>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9"/>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9"/>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9"/>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9"/>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9"/>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9"/>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9"/>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9"/>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9"/>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9"/>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975">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5">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hidden="1" min="10" max="11" width="12.63"/>
  </cols>
  <sheetData>
    <row r="1">
      <c r="A1" s="118" t="s">
        <v>0</v>
      </c>
      <c r="B1" s="118" t="s">
        <v>1</v>
      </c>
      <c r="C1" s="118" t="s">
        <v>2</v>
      </c>
      <c r="D1" s="118" t="s">
        <v>3</v>
      </c>
      <c r="E1" s="119" t="s">
        <v>4</v>
      </c>
      <c r="F1" s="119" t="s">
        <v>5</v>
      </c>
      <c r="G1" s="119" t="s">
        <v>6</v>
      </c>
      <c r="H1" s="119" t="s">
        <v>7</v>
      </c>
      <c r="I1" s="119" t="s">
        <v>8</v>
      </c>
      <c r="J1" s="1" t="s">
        <v>295</v>
      </c>
      <c r="K1" s="1" t="s">
        <v>296</v>
      </c>
    </row>
    <row r="2">
      <c r="A2" s="120" t="str">
        <f>'🤖 Claude Sonnet 3.5'!$A$2</f>
        <v>http://elpais.com/deportes/2019/08/17/actualidad/1566005143_044557.html</v>
      </c>
      <c r="B2" s="121" t="str">
        <f t="shared" ref="B2:B5" si="1">"Claude Sonnet 3.5"</f>
        <v>Claude Sonnet 3.5</v>
      </c>
      <c r="C2" s="122" t="str">
        <f>'🤖 Claude Sonnet 3.5'!C2</f>
        <v>Base</v>
      </c>
      <c r="D2" s="123">
        <f>'🤖 Claude Sonnet 3.5'!E2</f>
        <v>0.1992619926</v>
      </c>
      <c r="E2" s="122">
        <f>'🤖 Claude Sonnet 3.5'!F2</f>
        <v>3</v>
      </c>
      <c r="F2" s="122">
        <f>'🤖 Claude Sonnet 3.5'!G2</f>
        <v>5</v>
      </c>
      <c r="G2" s="122">
        <f>'🤖 Claude Sonnet 3.5'!H2</f>
        <v>5</v>
      </c>
      <c r="H2" s="122">
        <f>'🤖 Claude Sonnet 3.5'!I2</f>
        <v>3</v>
      </c>
      <c r="I2" s="122">
        <f>'🤖 Claude Sonnet 3.5'!J2</f>
        <v>5</v>
      </c>
      <c r="J2" s="12">
        <f>VLOOKUP(B2,'__lookup__'!A:B,2,FALSE)</f>
        <v>1</v>
      </c>
      <c r="K2" s="12">
        <f>VLOOKUP(C2,'__lookup__'!A:B,2,FALSE)</f>
        <v>10</v>
      </c>
      <c r="M2" s="124"/>
      <c r="N2" s="124"/>
      <c r="O2" s="124"/>
      <c r="P2" s="124"/>
      <c r="Q2" s="124"/>
      <c r="R2" s="124"/>
      <c r="S2" s="124"/>
    </row>
    <row r="3">
      <c r="A3" s="120" t="str">
        <f>'🤖 Claude Sonnet 3.5'!$A$2</f>
        <v>http://elpais.com/deportes/2019/08/17/actualidad/1566005143_044557.html</v>
      </c>
      <c r="B3" s="121" t="str">
        <f t="shared" si="1"/>
        <v>Claude Sonnet 3.5</v>
      </c>
      <c r="C3" s="122" t="str">
        <f>'🤖 Claude Sonnet 3.5'!C3</f>
        <v>CoT</v>
      </c>
      <c r="D3" s="125">
        <f>'🤖 Claude Sonnet 3.5'!E3</f>
        <v>0.1783517835</v>
      </c>
      <c r="E3" s="122">
        <f>'🤖 Claude Sonnet 3.5'!F3</f>
        <v>3</v>
      </c>
      <c r="F3" s="122">
        <f>'🤖 Claude Sonnet 3.5'!G3</f>
        <v>4</v>
      </c>
      <c r="G3" s="122">
        <f>'🤖 Claude Sonnet 3.5'!H3</f>
        <v>5</v>
      </c>
      <c r="H3" s="122">
        <f>'🤖 Claude Sonnet 3.5'!I3</f>
        <v>3</v>
      </c>
      <c r="I3" s="122">
        <f>'🤖 Claude Sonnet 3.5'!J3</f>
        <v>5</v>
      </c>
    </row>
    <row r="4">
      <c r="A4" s="120" t="str">
        <f>'🤖 Claude Sonnet 3.5'!$A$2</f>
        <v>http://elpais.com/deportes/2019/08/17/actualidad/1566005143_044557.html</v>
      </c>
      <c r="B4" s="121" t="str">
        <f t="shared" si="1"/>
        <v>Claude Sonnet 3.5</v>
      </c>
      <c r="C4" s="122" t="str">
        <f>'🤖 Claude Sonnet 3.5'!C4</f>
        <v>5W1H</v>
      </c>
      <c r="D4" s="126">
        <f>'🤖 Claude Sonnet 3.5'!E4</f>
        <v>0.2078720787</v>
      </c>
      <c r="E4" s="122">
        <f>'🤖 Claude Sonnet 3.5'!F4</f>
        <v>3</v>
      </c>
      <c r="F4" s="122">
        <f>'🤖 Claude Sonnet 3.5'!G4</f>
        <v>5</v>
      </c>
      <c r="G4" s="122">
        <f>'🤖 Claude Sonnet 3.5'!H4</f>
        <v>5</v>
      </c>
      <c r="H4" s="122">
        <f>'🤖 Claude Sonnet 3.5'!I4</f>
        <v>4</v>
      </c>
      <c r="I4" s="122">
        <f>'🤖 Claude Sonnet 3.5'!J4</f>
        <v>5</v>
      </c>
    </row>
    <row r="5">
      <c r="A5" s="120" t="str">
        <f>'🤖 Claude Sonnet 3.5'!$A$2</f>
        <v>http://elpais.com/deportes/2019/08/17/actualidad/1566005143_044557.html</v>
      </c>
      <c r="B5" s="121" t="str">
        <f t="shared" si="1"/>
        <v>Claude Sonnet 3.5</v>
      </c>
      <c r="C5" s="122" t="str">
        <f>'🤖 Claude Sonnet 3.5'!C5</f>
        <v>tldr</v>
      </c>
      <c r="D5" s="127">
        <f>'🤖 Claude Sonnet 3.5'!E5</f>
        <v>0.1500615006</v>
      </c>
      <c r="E5" s="122">
        <f>'🤖 Claude Sonnet 3.5'!F5</f>
        <v>4</v>
      </c>
      <c r="F5" s="122">
        <f>'🤖 Claude Sonnet 3.5'!G5</f>
        <v>5</v>
      </c>
      <c r="G5" s="122">
        <f>'🤖 Claude Sonnet 3.5'!H5</f>
        <v>1</v>
      </c>
      <c r="H5" s="122">
        <f>'🤖 Claude Sonnet 3.5'!I5</f>
        <v>4</v>
      </c>
      <c r="I5" s="122">
        <f>'🤖 Claude Sonnet 3.5'!J5</f>
        <v>5</v>
      </c>
    </row>
    <row r="6">
      <c r="A6" s="128"/>
      <c r="B6" s="129"/>
      <c r="C6" s="130"/>
      <c r="D6" s="128"/>
      <c r="E6" s="130"/>
      <c r="F6" s="130"/>
      <c r="G6" s="130"/>
      <c r="H6" s="130"/>
      <c r="I6" s="130"/>
    </row>
    <row r="7">
      <c r="A7" s="120" t="str">
        <f>'🤖 Claude Sonnet 3.5'!$A$7</f>
        <v>http://elpais.com/elpais/2019/07/10/planeta_futuro/1562757015_950583.html</v>
      </c>
      <c r="B7" s="121" t="str">
        <f t="shared" ref="B7:B10" si="2">"Claude Sonnet 3.5"</f>
        <v>Claude Sonnet 3.5</v>
      </c>
      <c r="C7" s="122" t="str">
        <f>'🤖 Claude Sonnet 3.5'!C7</f>
        <v>Base</v>
      </c>
      <c r="D7" s="131">
        <f>'🤖 Claude Sonnet 3.5'!E7</f>
        <v>0.1552917903</v>
      </c>
      <c r="E7" s="122">
        <f>'🤖 Claude Sonnet 3.5'!F7</f>
        <v>2</v>
      </c>
      <c r="F7" s="122">
        <f>'🤖 Claude Sonnet 3.5'!G7</f>
        <v>4</v>
      </c>
      <c r="G7" s="122">
        <f>'🤖 Claude Sonnet 3.5'!H7</f>
        <v>5</v>
      </c>
      <c r="H7" s="122">
        <f>'🤖 Claude Sonnet 3.5'!I7</f>
        <v>3</v>
      </c>
      <c r="I7" s="122">
        <f>'🤖 Claude Sonnet 3.5'!J7</f>
        <v>5</v>
      </c>
    </row>
    <row r="8">
      <c r="A8" s="120" t="str">
        <f>'🤖 Claude Sonnet 3.5'!$A$7</f>
        <v>http://elpais.com/elpais/2019/07/10/planeta_futuro/1562757015_950583.html</v>
      </c>
      <c r="B8" s="121" t="str">
        <f t="shared" si="2"/>
        <v>Claude Sonnet 3.5</v>
      </c>
      <c r="C8" s="122" t="str">
        <f>'🤖 Claude Sonnet 3.5'!C8</f>
        <v>CoT</v>
      </c>
      <c r="D8" s="131">
        <f>'🤖 Claude Sonnet 3.5'!E8</f>
        <v>0.1543026706</v>
      </c>
      <c r="E8" s="122">
        <f>'🤖 Claude Sonnet 3.5'!F8</f>
        <v>3</v>
      </c>
      <c r="F8" s="122">
        <f>'🤖 Claude Sonnet 3.5'!G8</f>
        <v>4</v>
      </c>
      <c r="G8" s="122">
        <f>'🤖 Claude Sonnet 3.5'!H8</f>
        <v>5</v>
      </c>
      <c r="H8" s="122">
        <f>'🤖 Claude Sonnet 3.5'!I8</f>
        <v>3</v>
      </c>
      <c r="I8" s="122">
        <f>'🤖 Claude Sonnet 3.5'!J8</f>
        <v>5</v>
      </c>
    </row>
    <row r="9">
      <c r="A9" s="120" t="str">
        <f>'🤖 Claude Sonnet 3.5'!$A$7</f>
        <v>http://elpais.com/elpais/2019/07/10/planeta_futuro/1562757015_950583.html</v>
      </c>
      <c r="B9" s="121" t="str">
        <f t="shared" si="2"/>
        <v>Claude Sonnet 3.5</v>
      </c>
      <c r="C9" s="122" t="str">
        <f>'🤖 Claude Sonnet 3.5'!C9</f>
        <v>5W1H</v>
      </c>
      <c r="D9" s="131">
        <f>'🤖 Claude Sonnet 3.5'!E9</f>
        <v>0.1543026706</v>
      </c>
      <c r="E9" s="122">
        <f>'🤖 Claude Sonnet 3.5'!F9</f>
        <v>3</v>
      </c>
      <c r="F9" s="122">
        <f>'🤖 Claude Sonnet 3.5'!G9</f>
        <v>5</v>
      </c>
      <c r="G9" s="122">
        <f>'🤖 Claude Sonnet 3.5'!H9</f>
        <v>5</v>
      </c>
      <c r="H9" s="122">
        <f>'🤖 Claude Sonnet 3.5'!I9</f>
        <v>5</v>
      </c>
      <c r="I9" s="122">
        <f>'🤖 Claude Sonnet 3.5'!J9</f>
        <v>4</v>
      </c>
      <c r="N9" s="124"/>
      <c r="O9" s="124"/>
      <c r="P9" s="124"/>
      <c r="Q9" s="124"/>
      <c r="R9" s="124"/>
      <c r="S9" s="124"/>
      <c r="T9" s="124"/>
    </row>
    <row r="10">
      <c r="A10" s="120" t="str">
        <f>'🤖 Claude Sonnet 3.5'!$A$7</f>
        <v>http://elpais.com/elpais/2019/07/10/planeta_futuro/1562757015_950583.html</v>
      </c>
      <c r="B10" s="121" t="str">
        <f t="shared" si="2"/>
        <v>Claude Sonnet 3.5</v>
      </c>
      <c r="C10" s="122" t="str">
        <f>'🤖 Claude Sonnet 3.5'!C10</f>
        <v>tldr</v>
      </c>
      <c r="D10" s="132">
        <f>'🤖 Claude Sonnet 3.5'!E10</f>
        <v>0.1127596439</v>
      </c>
      <c r="E10" s="122">
        <f>'🤖 Claude Sonnet 3.5'!F10</f>
        <v>4</v>
      </c>
      <c r="F10" s="122">
        <f>'🤖 Claude Sonnet 3.5'!G10</f>
        <v>4</v>
      </c>
      <c r="G10" s="122">
        <f>'🤖 Claude Sonnet 3.5'!H10</f>
        <v>5</v>
      </c>
      <c r="H10" s="122">
        <f>'🤖 Claude Sonnet 3.5'!I10</f>
        <v>4</v>
      </c>
      <c r="I10" s="122">
        <f>'🤖 Claude Sonnet 3.5'!J10</f>
        <v>5</v>
      </c>
    </row>
    <row r="11">
      <c r="A11" s="128"/>
      <c r="B11" s="129"/>
      <c r="C11" s="130"/>
      <c r="D11" s="128"/>
      <c r="E11" s="130"/>
      <c r="F11" s="130"/>
      <c r="G11" s="130"/>
      <c r="H11" s="130"/>
      <c r="I11" s="130"/>
    </row>
    <row r="12">
      <c r="A12" s="120" t="str">
        <f>'🤖 Claude Sonnet 3.5'!$A$12</f>
        <v>http://elpais.com/ccaa/2019/09/12/madrid/1568307703_277564.html</v>
      </c>
      <c r="B12" s="121" t="str">
        <f t="shared" ref="B12:B15" si="3">"Claude Sonnet 3.5"</f>
        <v>Claude Sonnet 3.5</v>
      </c>
      <c r="C12" s="122" t="str">
        <f>'🤖 Claude Sonnet 3.5'!C12</f>
        <v>Base</v>
      </c>
      <c r="D12" s="133">
        <f>'🤖 Claude Sonnet 3.5'!E12</f>
        <v>0.08806146572</v>
      </c>
      <c r="E12" s="122">
        <f>'🤖 Claude Sonnet 3.5'!F12</f>
        <v>2</v>
      </c>
      <c r="F12" s="122">
        <f>'🤖 Claude Sonnet 3.5'!G12</f>
        <v>5</v>
      </c>
      <c r="G12" s="122">
        <f>'🤖 Claude Sonnet 3.5'!H12</f>
        <v>5</v>
      </c>
      <c r="H12" s="122">
        <f>'🤖 Claude Sonnet 3.5'!I12</f>
        <v>4</v>
      </c>
      <c r="I12" s="122">
        <f>'🤖 Claude Sonnet 3.5'!J12</f>
        <v>5</v>
      </c>
    </row>
    <row r="13">
      <c r="A13" s="120" t="str">
        <f>'🤖 Claude Sonnet 3.5'!$A$12</f>
        <v>http://elpais.com/ccaa/2019/09/12/madrid/1568307703_277564.html</v>
      </c>
      <c r="B13" s="121" t="str">
        <f t="shared" si="3"/>
        <v>Claude Sonnet 3.5</v>
      </c>
      <c r="C13" s="122" t="str">
        <f>'🤖 Claude Sonnet 3.5'!C13</f>
        <v>CoT</v>
      </c>
      <c r="D13" s="132">
        <f>'🤖 Claude Sonnet 3.5'!E13</f>
        <v>0.1081560284</v>
      </c>
      <c r="E13" s="122">
        <f>'🤖 Claude Sonnet 3.5'!F13</f>
        <v>3</v>
      </c>
      <c r="F13" s="122">
        <f>'🤖 Claude Sonnet 3.5'!G13</f>
        <v>5</v>
      </c>
      <c r="G13" s="122">
        <f>'🤖 Claude Sonnet 3.5'!H13</f>
        <v>5</v>
      </c>
      <c r="H13" s="122">
        <f>'🤖 Claude Sonnet 3.5'!I13</f>
        <v>4</v>
      </c>
      <c r="I13" s="122">
        <f>'🤖 Claude Sonnet 3.5'!J13</f>
        <v>5</v>
      </c>
    </row>
    <row r="14">
      <c r="A14" s="120" t="str">
        <f>'🤖 Claude Sonnet 3.5'!$A$12</f>
        <v>http://elpais.com/ccaa/2019/09/12/madrid/1568307703_277564.html</v>
      </c>
      <c r="B14" s="121" t="str">
        <f t="shared" si="3"/>
        <v>Claude Sonnet 3.5</v>
      </c>
      <c r="C14" s="122" t="str">
        <f>'🤖 Claude Sonnet 3.5'!C14</f>
        <v>5W1H</v>
      </c>
      <c r="D14" s="134">
        <f>'🤖 Claude Sonnet 3.5'!E14</f>
        <v>0.09810874704</v>
      </c>
      <c r="E14" s="122">
        <f>'🤖 Claude Sonnet 3.5'!F14</f>
        <v>3</v>
      </c>
      <c r="F14" s="122">
        <f>'🤖 Claude Sonnet 3.5'!G14</f>
        <v>5</v>
      </c>
      <c r="G14" s="122">
        <f>'🤖 Claude Sonnet 3.5'!H14</f>
        <v>5</v>
      </c>
      <c r="H14" s="122">
        <f>'🤖 Claude Sonnet 3.5'!I14</f>
        <v>5</v>
      </c>
      <c r="I14" s="122">
        <f>'🤖 Claude Sonnet 3.5'!J14</f>
        <v>4</v>
      </c>
    </row>
    <row r="15">
      <c r="A15" s="120" t="str">
        <f>'🤖 Claude Sonnet 3.5'!$A$12</f>
        <v>http://elpais.com/ccaa/2019/09/12/madrid/1568307703_277564.html</v>
      </c>
      <c r="B15" s="121" t="str">
        <f t="shared" si="3"/>
        <v>Claude Sonnet 3.5</v>
      </c>
      <c r="C15" s="122" t="str">
        <f>'🤖 Claude Sonnet 3.5'!C15</f>
        <v>tldr</v>
      </c>
      <c r="D15" s="135">
        <f>'🤖 Claude Sonnet 3.5'!E15</f>
        <v>0.07742316785</v>
      </c>
      <c r="E15" s="122">
        <f>'🤖 Claude Sonnet 3.5'!F15</f>
        <v>4</v>
      </c>
      <c r="F15" s="122">
        <f>'🤖 Claude Sonnet 3.5'!G15</f>
        <v>4</v>
      </c>
      <c r="G15" s="122">
        <f>'🤖 Claude Sonnet 3.5'!H15</f>
        <v>5</v>
      </c>
      <c r="H15" s="122">
        <f>'🤖 Claude Sonnet 3.5'!I15</f>
        <v>5</v>
      </c>
      <c r="I15" s="122">
        <f>'🤖 Claude Sonnet 3.5'!J15</f>
        <v>4</v>
      </c>
    </row>
    <row r="16">
      <c r="A16" s="128"/>
      <c r="B16" s="129"/>
      <c r="C16" s="130"/>
      <c r="D16" s="128"/>
      <c r="E16" s="130"/>
      <c r="F16" s="130"/>
      <c r="G16" s="130"/>
      <c r="H16" s="130"/>
      <c r="I16" s="130"/>
    </row>
    <row r="17">
      <c r="A17" s="120" t="str">
        <f>'🤖 Claude Sonnet 3.5'!$A$17</f>
        <v>http://elpais.com/deportes/2019/08/10/actualidad/1565426201_075062.html</v>
      </c>
      <c r="B17" s="121" t="str">
        <f t="shared" ref="B17:B20" si="4">"Claude Sonnet 3.5"</f>
        <v>Claude Sonnet 3.5</v>
      </c>
      <c r="C17" s="122" t="str">
        <f>'🤖 Claude Sonnet 3.5'!C17</f>
        <v>Base</v>
      </c>
      <c r="D17" s="136">
        <f>'🤖 Claude Sonnet 3.5'!E17</f>
        <v>0.2091038407</v>
      </c>
      <c r="E17" s="122">
        <f>'🤖 Claude Sonnet 3.5'!F17</f>
        <v>3</v>
      </c>
      <c r="F17" s="122">
        <f>'🤖 Claude Sonnet 3.5'!G17</f>
        <v>5</v>
      </c>
      <c r="G17" s="122">
        <f>'🤖 Claude Sonnet 3.5'!H17</f>
        <v>5</v>
      </c>
      <c r="H17" s="122">
        <f>'🤖 Claude Sonnet 3.5'!I17</f>
        <v>4</v>
      </c>
      <c r="I17" s="122">
        <f>'🤖 Claude Sonnet 3.5'!J17</f>
        <v>5</v>
      </c>
    </row>
    <row r="18">
      <c r="A18" s="120" t="str">
        <f>'🤖 Claude Sonnet 3.5'!$A$17</f>
        <v>http://elpais.com/deportes/2019/08/10/actualidad/1565426201_075062.html</v>
      </c>
      <c r="B18" s="121" t="str">
        <f t="shared" si="4"/>
        <v>Claude Sonnet 3.5</v>
      </c>
      <c r="C18" s="122" t="str">
        <f>'🤖 Claude Sonnet 3.5'!C18</f>
        <v>CoT</v>
      </c>
      <c r="D18" s="137">
        <f>'🤖 Claude Sonnet 3.5'!E18</f>
        <v>0.2062588905</v>
      </c>
      <c r="E18" s="122">
        <f>'🤖 Claude Sonnet 3.5'!F18</f>
        <v>3</v>
      </c>
      <c r="F18" s="122">
        <f>'🤖 Claude Sonnet 3.5'!G18</f>
        <v>4</v>
      </c>
      <c r="G18" s="122">
        <f>'🤖 Claude Sonnet 3.5'!H18</f>
        <v>5</v>
      </c>
      <c r="H18" s="122">
        <f>'🤖 Claude Sonnet 3.5'!I18</f>
        <v>4</v>
      </c>
      <c r="I18" s="122">
        <f>'🤖 Claude Sonnet 3.5'!J18</f>
        <v>5</v>
      </c>
    </row>
    <row r="19">
      <c r="A19" s="120" t="str">
        <f>'🤖 Claude Sonnet 3.5'!$A$17</f>
        <v>http://elpais.com/deportes/2019/08/10/actualidad/1565426201_075062.html</v>
      </c>
      <c r="B19" s="121" t="str">
        <f t="shared" si="4"/>
        <v>Claude Sonnet 3.5</v>
      </c>
      <c r="C19" s="122" t="str">
        <f>'🤖 Claude Sonnet 3.5'!C19</f>
        <v>5W1H</v>
      </c>
      <c r="D19" s="138">
        <f>'🤖 Claude Sonnet 3.5'!E19</f>
        <v>0.2275960171</v>
      </c>
      <c r="E19" s="122">
        <f>'🤖 Claude Sonnet 3.5'!F19</f>
        <v>2</v>
      </c>
      <c r="F19" s="122">
        <f>'🤖 Claude Sonnet 3.5'!G19</f>
        <v>5</v>
      </c>
      <c r="G19" s="122">
        <f>'🤖 Claude Sonnet 3.5'!H19</f>
        <v>5</v>
      </c>
      <c r="H19" s="122">
        <f>'🤖 Claude Sonnet 3.5'!I19</f>
        <v>3</v>
      </c>
      <c r="I19" s="122">
        <f>'🤖 Claude Sonnet 3.5'!J19</f>
        <v>5</v>
      </c>
    </row>
    <row r="20">
      <c r="A20" s="120" t="str">
        <f>'🤖 Claude Sonnet 3.5'!$A$17</f>
        <v>http://elpais.com/deportes/2019/08/10/actualidad/1565426201_075062.html</v>
      </c>
      <c r="B20" s="121" t="str">
        <f t="shared" si="4"/>
        <v>Claude Sonnet 3.5</v>
      </c>
      <c r="C20" s="122" t="str">
        <f>'🤖 Claude Sonnet 3.5'!C20</f>
        <v>tldr</v>
      </c>
      <c r="D20" s="131">
        <f>'🤖 Claude Sonnet 3.5'!E20</f>
        <v>0.1564722617</v>
      </c>
      <c r="E20" s="122">
        <f>'🤖 Claude Sonnet 3.5'!F20</f>
        <v>3</v>
      </c>
      <c r="F20" s="122">
        <f>'🤖 Claude Sonnet 3.5'!G20</f>
        <v>5</v>
      </c>
      <c r="G20" s="122">
        <f>'🤖 Claude Sonnet 3.5'!H20</f>
        <v>5</v>
      </c>
      <c r="H20" s="122">
        <f>'🤖 Claude Sonnet 3.5'!I20</f>
        <v>3</v>
      </c>
      <c r="I20" s="122">
        <f>'🤖 Claude Sonnet 3.5'!J20</f>
        <v>4</v>
      </c>
    </row>
    <row r="21">
      <c r="A21" s="128"/>
      <c r="B21" s="129"/>
      <c r="C21" s="130"/>
      <c r="D21" s="128"/>
      <c r="E21" s="130"/>
      <c r="F21" s="130"/>
      <c r="G21" s="130"/>
      <c r="H21" s="130"/>
      <c r="I21" s="130"/>
    </row>
    <row r="22">
      <c r="A22" s="120" t="str">
        <f>'🤖 Claude Sonnet 3.5'!$A$22</f>
        <v>http://elpais.com/elpais/2019/07/11/gente/1562866782_776897.html</v>
      </c>
      <c r="B22" s="121" t="str">
        <f t="shared" ref="B22:B25" si="5">"Claude Sonnet 3.5"</f>
        <v>Claude Sonnet 3.5</v>
      </c>
      <c r="C22" s="122" t="str">
        <f>'🤖 Claude Sonnet 3.5'!C22</f>
        <v>Base</v>
      </c>
      <c r="D22" s="134">
        <f>'🤖 Claude Sonnet 3.5'!E22</f>
        <v>0.09719222462</v>
      </c>
      <c r="E22" s="122">
        <f>'🤖 Claude Sonnet 3.5'!F22</f>
        <v>3</v>
      </c>
      <c r="F22" s="122">
        <f>'🤖 Claude Sonnet 3.5'!G22</f>
        <v>5</v>
      </c>
      <c r="G22" s="122">
        <f>'🤖 Claude Sonnet 3.5'!H22</f>
        <v>5</v>
      </c>
      <c r="H22" s="122">
        <f>'🤖 Claude Sonnet 3.5'!I22</f>
        <v>4</v>
      </c>
      <c r="I22" s="122">
        <f>'🤖 Claude Sonnet 3.5'!J22</f>
        <v>5</v>
      </c>
    </row>
    <row r="23">
      <c r="A23" s="120" t="str">
        <f>'🤖 Claude Sonnet 3.5'!$A$22</f>
        <v>http://elpais.com/elpais/2019/07/11/gente/1562866782_776897.html</v>
      </c>
      <c r="B23" s="121" t="str">
        <f t="shared" si="5"/>
        <v>Claude Sonnet 3.5</v>
      </c>
      <c r="C23" s="122" t="str">
        <f>'🤖 Claude Sonnet 3.5'!C23</f>
        <v>CoT</v>
      </c>
      <c r="D23" s="139">
        <f>'🤖 Claude Sonnet 3.5'!E23</f>
        <v>0.06551475882</v>
      </c>
      <c r="E23" s="122">
        <f>'🤖 Claude Sonnet 3.5'!F23</f>
        <v>4</v>
      </c>
      <c r="F23" s="122">
        <f>'🤖 Claude Sonnet 3.5'!G23</f>
        <v>5</v>
      </c>
      <c r="G23" s="122">
        <f>'🤖 Claude Sonnet 3.5'!H23</f>
        <v>5</v>
      </c>
      <c r="H23" s="122">
        <f>'🤖 Claude Sonnet 3.5'!I23</f>
        <v>4</v>
      </c>
      <c r="I23" s="122">
        <f>'🤖 Claude Sonnet 3.5'!J23</f>
        <v>5</v>
      </c>
    </row>
    <row r="24">
      <c r="A24" s="120" t="str">
        <f>'🤖 Claude Sonnet 3.5'!$A$22</f>
        <v>http://elpais.com/elpais/2019/07/11/gente/1562866782_776897.html</v>
      </c>
      <c r="B24" s="121" t="str">
        <f t="shared" si="5"/>
        <v>Claude Sonnet 3.5</v>
      </c>
      <c r="C24" s="122" t="str">
        <f>'🤖 Claude Sonnet 3.5'!C24</f>
        <v>5W1H</v>
      </c>
      <c r="D24" s="132">
        <f>'🤖 Claude Sonnet 3.5'!E24</f>
        <v>0.1087113031</v>
      </c>
      <c r="E24" s="122">
        <f>'🤖 Claude Sonnet 3.5'!F24</f>
        <v>3</v>
      </c>
      <c r="F24" s="122">
        <f>'🤖 Claude Sonnet 3.5'!G24</f>
        <v>4</v>
      </c>
      <c r="G24" s="122">
        <f>'🤖 Claude Sonnet 3.5'!H24</f>
        <v>5</v>
      </c>
      <c r="H24" s="122">
        <f>'🤖 Claude Sonnet 3.5'!I24</f>
        <v>4</v>
      </c>
      <c r="I24" s="122">
        <f>'🤖 Claude Sonnet 3.5'!J24</f>
        <v>4</v>
      </c>
    </row>
    <row r="25">
      <c r="A25" s="120" t="str">
        <f>'🤖 Claude Sonnet 3.5'!$A$22</f>
        <v>http://elpais.com/elpais/2019/07/11/gente/1562866782_776897.html</v>
      </c>
      <c r="B25" s="121" t="str">
        <f t="shared" si="5"/>
        <v>Claude Sonnet 3.5</v>
      </c>
      <c r="C25" s="122" t="str">
        <f>'🤖 Claude Sonnet 3.5'!C25</f>
        <v>tldr</v>
      </c>
      <c r="D25" s="140">
        <f>'🤖 Claude Sonnet 3.5'!E25</f>
        <v>0.07991360691</v>
      </c>
      <c r="E25" s="122">
        <f>'🤖 Claude Sonnet 3.5'!F25</f>
        <v>3</v>
      </c>
      <c r="F25" s="122">
        <f>'🤖 Claude Sonnet 3.5'!G25</f>
        <v>5</v>
      </c>
      <c r="G25" s="122">
        <f>'🤖 Claude Sonnet 3.5'!H25</f>
        <v>5</v>
      </c>
      <c r="H25" s="122">
        <f>'🤖 Claude Sonnet 3.5'!I25</f>
        <v>3</v>
      </c>
      <c r="I25" s="122">
        <f>'🤖 Claude Sonnet 3.5'!J25</f>
        <v>4</v>
      </c>
    </row>
    <row r="26">
      <c r="A26" s="128"/>
      <c r="B26" s="129"/>
      <c r="C26" s="130"/>
      <c r="D26" s="128"/>
      <c r="E26" s="130"/>
      <c r="F26" s="130"/>
      <c r="G26" s="130"/>
      <c r="H26" s="130"/>
      <c r="I26" s="130"/>
    </row>
    <row r="27">
      <c r="A27" s="120" t="str">
        <f>'🤖 Claude Sonnet 3.5'!$A$27</f>
        <v>http://elpais.com/elpais/2019/07/19/ciencia/1563535714_854872.html</v>
      </c>
      <c r="B27" s="121" t="str">
        <f t="shared" ref="B27:B30" si="6">"Claude Sonnet 3.5"</f>
        <v>Claude Sonnet 3.5</v>
      </c>
      <c r="C27" s="122" t="str">
        <f>'🤖 Claude Sonnet 3.5'!C27</f>
        <v>Base</v>
      </c>
      <c r="D27" s="141">
        <f>'🤖 Claude Sonnet 3.5'!E27</f>
        <v>0.2639691715</v>
      </c>
      <c r="E27" s="122">
        <f>'🤖 Claude Sonnet 3.5'!F27</f>
        <v>3</v>
      </c>
      <c r="F27" s="122">
        <f>'🤖 Claude Sonnet 3.5'!G27</f>
        <v>5</v>
      </c>
      <c r="G27" s="122">
        <f>'🤖 Claude Sonnet 3.5'!H27</f>
        <v>5</v>
      </c>
      <c r="H27" s="122">
        <f>'🤖 Claude Sonnet 3.5'!I27</f>
        <v>3</v>
      </c>
      <c r="I27" s="122">
        <f>'🤖 Claude Sonnet 3.5'!J27</f>
        <v>5</v>
      </c>
    </row>
    <row r="28">
      <c r="A28" s="120" t="str">
        <f>'🤖 Claude Sonnet 3.5'!$A$27</f>
        <v>http://elpais.com/elpais/2019/07/19/ciencia/1563535714_854872.html</v>
      </c>
      <c r="B28" s="121" t="str">
        <f t="shared" si="6"/>
        <v>Claude Sonnet 3.5</v>
      </c>
      <c r="C28" s="122" t="str">
        <f>'🤖 Claude Sonnet 3.5'!C28</f>
        <v>CoT</v>
      </c>
      <c r="D28" s="137">
        <f>'🤖 Claude Sonnet 3.5'!E28</f>
        <v>0.2061657033</v>
      </c>
      <c r="E28" s="122">
        <f>'🤖 Claude Sonnet 3.5'!F28</f>
        <v>4</v>
      </c>
      <c r="F28" s="122">
        <f>'🤖 Claude Sonnet 3.5'!G28</f>
        <v>5</v>
      </c>
      <c r="G28" s="122">
        <f>'🤖 Claude Sonnet 3.5'!H28</f>
        <v>5</v>
      </c>
      <c r="H28" s="122">
        <f>'🤖 Claude Sonnet 3.5'!I28</f>
        <v>4</v>
      </c>
      <c r="I28" s="122">
        <f>'🤖 Claude Sonnet 3.5'!J28</f>
        <v>4</v>
      </c>
    </row>
    <row r="29">
      <c r="A29" s="120" t="str">
        <f>'🤖 Claude Sonnet 3.5'!$A$27</f>
        <v>http://elpais.com/elpais/2019/07/19/ciencia/1563535714_854872.html</v>
      </c>
      <c r="B29" s="121" t="str">
        <f t="shared" si="6"/>
        <v>Claude Sonnet 3.5</v>
      </c>
      <c r="C29" s="122" t="str">
        <f>'🤖 Claude Sonnet 3.5'!C29</f>
        <v>5W1H</v>
      </c>
      <c r="D29" s="141">
        <f>'🤖 Claude Sonnet 3.5'!E29</f>
        <v>0.2639691715</v>
      </c>
      <c r="E29" s="122">
        <f>'🤖 Claude Sonnet 3.5'!F29</f>
        <v>3</v>
      </c>
      <c r="F29" s="122">
        <f>'🤖 Claude Sonnet 3.5'!G29</f>
        <v>4</v>
      </c>
      <c r="G29" s="122">
        <f>'🤖 Claude Sonnet 3.5'!H29</f>
        <v>5</v>
      </c>
      <c r="H29" s="122">
        <f>'🤖 Claude Sonnet 3.5'!I29</f>
        <v>3</v>
      </c>
      <c r="I29" s="122">
        <f>'🤖 Claude Sonnet 3.5'!J29</f>
        <v>4</v>
      </c>
    </row>
    <row r="30">
      <c r="A30" s="120" t="str">
        <f>'🤖 Claude Sonnet 3.5'!$A$27</f>
        <v>http://elpais.com/elpais/2019/07/19/ciencia/1563535714_854872.html</v>
      </c>
      <c r="B30" s="121" t="str">
        <f t="shared" si="6"/>
        <v>Claude Sonnet 3.5</v>
      </c>
      <c r="C30" s="122" t="str">
        <f>'🤖 Claude Sonnet 3.5'!C30</f>
        <v>tldr</v>
      </c>
      <c r="D30" s="127">
        <f>'🤖 Claude Sonnet 3.5'!E30</f>
        <v>0.1502890173</v>
      </c>
      <c r="E30" s="122">
        <f>'🤖 Claude Sonnet 3.5'!F30</f>
        <v>4</v>
      </c>
      <c r="F30" s="122">
        <f>'🤖 Claude Sonnet 3.5'!G30</f>
        <v>5</v>
      </c>
      <c r="G30" s="122">
        <f>'🤖 Claude Sonnet 3.5'!H30</f>
        <v>5</v>
      </c>
      <c r="H30" s="122">
        <f>'🤖 Claude Sonnet 3.5'!I30</f>
        <v>4</v>
      </c>
      <c r="I30" s="122">
        <f>'🤖 Claude Sonnet 3.5'!J30</f>
        <v>4</v>
      </c>
    </row>
    <row r="31">
      <c r="A31" s="128"/>
      <c r="B31" s="129"/>
      <c r="C31" s="130"/>
      <c r="D31" s="128"/>
      <c r="E31" s="130"/>
      <c r="F31" s="130"/>
      <c r="G31" s="130"/>
      <c r="H31" s="130"/>
      <c r="I31" s="130"/>
    </row>
    <row r="32">
      <c r="A32" s="120" t="str">
        <f>'🤖 Claude Sonnet 3.5'!$A$32</f>
        <v>http://elpais.com/ccaa/2019/09/28/catalunya/1569665675_576416.html</v>
      </c>
      <c r="B32" s="121" t="str">
        <f t="shared" ref="B32:B35" si="7">"Claude Sonnet 3.5"</f>
        <v>Claude Sonnet 3.5</v>
      </c>
      <c r="C32" s="122" t="str">
        <f>'🤖 Claude Sonnet 3.5'!C32</f>
        <v>Base</v>
      </c>
      <c r="D32" s="142">
        <f>'🤖 Claude Sonnet 3.5'!E32</f>
        <v>0.4108108108</v>
      </c>
      <c r="E32" s="122">
        <f>'🤖 Claude Sonnet 3.5'!F32</f>
        <v>4</v>
      </c>
      <c r="F32" s="122">
        <f>'🤖 Claude Sonnet 3.5'!G32</f>
        <v>5</v>
      </c>
      <c r="G32" s="122">
        <f>'🤖 Claude Sonnet 3.5'!H32</f>
        <v>5</v>
      </c>
      <c r="H32" s="122">
        <f>'🤖 Claude Sonnet 3.5'!I32</f>
        <v>4</v>
      </c>
      <c r="I32" s="122">
        <f>'🤖 Claude Sonnet 3.5'!J32</f>
        <v>5</v>
      </c>
    </row>
    <row r="33">
      <c r="A33" s="120" t="str">
        <f>'🤖 Claude Sonnet 3.5'!$A$32</f>
        <v>http://elpais.com/ccaa/2019/09/28/catalunya/1569665675_576416.html</v>
      </c>
      <c r="B33" s="121" t="str">
        <f t="shared" si="7"/>
        <v>Claude Sonnet 3.5</v>
      </c>
      <c r="C33" s="122" t="str">
        <f>'🤖 Claude Sonnet 3.5'!C33</f>
        <v>CoT</v>
      </c>
      <c r="D33" s="143">
        <f>'🤖 Claude Sonnet 3.5'!E33</f>
        <v>0.4702702703</v>
      </c>
      <c r="E33" s="122">
        <f>'🤖 Claude Sonnet 3.5'!F33</f>
        <v>4</v>
      </c>
      <c r="F33" s="122">
        <f>'🤖 Claude Sonnet 3.5'!G33</f>
        <v>5</v>
      </c>
      <c r="G33" s="122">
        <f>'🤖 Claude Sonnet 3.5'!H33</f>
        <v>5</v>
      </c>
      <c r="H33" s="122">
        <f>'🤖 Claude Sonnet 3.5'!I33</f>
        <v>4</v>
      </c>
      <c r="I33" s="122">
        <f>'🤖 Claude Sonnet 3.5'!J33</f>
        <v>5</v>
      </c>
    </row>
    <row r="34">
      <c r="A34" s="120" t="str">
        <f>'🤖 Claude Sonnet 3.5'!$A$32</f>
        <v>http://elpais.com/ccaa/2019/09/28/catalunya/1569665675_576416.html</v>
      </c>
      <c r="B34" s="121" t="str">
        <f t="shared" si="7"/>
        <v>Claude Sonnet 3.5</v>
      </c>
      <c r="C34" s="122" t="str">
        <f>'🤖 Claude Sonnet 3.5'!C34</f>
        <v>5W1H</v>
      </c>
      <c r="D34" s="144">
        <f>'🤖 Claude Sonnet 3.5'!E34</f>
        <v>0.7513513514</v>
      </c>
      <c r="E34" s="122">
        <f>'🤖 Claude Sonnet 3.5'!F34</f>
        <v>3</v>
      </c>
      <c r="F34" s="122">
        <f>'🤖 Claude Sonnet 3.5'!G34</f>
        <v>5</v>
      </c>
      <c r="G34" s="122">
        <f>'🤖 Claude Sonnet 3.5'!H34</f>
        <v>5</v>
      </c>
      <c r="H34" s="122">
        <f>'🤖 Claude Sonnet 3.5'!I34</f>
        <v>3</v>
      </c>
      <c r="I34" s="122">
        <f>'🤖 Claude Sonnet 3.5'!J34</f>
        <v>5</v>
      </c>
    </row>
    <row r="35">
      <c r="A35" s="120" t="str">
        <f>'🤖 Claude Sonnet 3.5'!$A$32</f>
        <v>http://elpais.com/ccaa/2019/09/28/catalunya/1569665675_576416.html</v>
      </c>
      <c r="B35" s="121" t="str">
        <f t="shared" si="7"/>
        <v>Claude Sonnet 3.5</v>
      </c>
      <c r="C35" s="122" t="str">
        <f>'🤖 Claude Sonnet 3.5'!C35</f>
        <v>tldr</v>
      </c>
      <c r="D35" s="145">
        <f>'🤖 Claude Sonnet 3.5'!E35</f>
        <v>0.372972973</v>
      </c>
      <c r="E35" s="122">
        <f>'🤖 Claude Sonnet 3.5'!F35</f>
        <v>4</v>
      </c>
      <c r="F35" s="122">
        <f>'🤖 Claude Sonnet 3.5'!G35</f>
        <v>5</v>
      </c>
      <c r="G35" s="122">
        <f>'🤖 Claude Sonnet 3.5'!H35</f>
        <v>5</v>
      </c>
      <c r="H35" s="122">
        <f>'🤖 Claude Sonnet 3.5'!I35</f>
        <v>4</v>
      </c>
      <c r="I35" s="122">
        <f>'🤖 Claude Sonnet 3.5'!J35</f>
        <v>5</v>
      </c>
    </row>
    <row r="36">
      <c r="A36" s="128"/>
      <c r="B36" s="129"/>
      <c r="C36" s="130"/>
      <c r="D36" s="128"/>
      <c r="E36" s="130"/>
      <c r="F36" s="130"/>
      <c r="G36" s="130"/>
      <c r="H36" s="130"/>
      <c r="I36" s="130"/>
    </row>
    <row r="37">
      <c r="A37" s="120" t="str">
        <f>'🤖 Claude Sonnet 3.5'!$A$37</f>
        <v>http://elpais.com/elpais/2019/07/17/gente/1563351601_839455.html</v>
      </c>
      <c r="B37" s="121" t="str">
        <f t="shared" ref="B37:B40" si="8">"Claude Sonnet 3.5"</f>
        <v>Claude Sonnet 3.5</v>
      </c>
      <c r="C37" s="122" t="str">
        <f>'🤖 Claude Sonnet 3.5'!C37</f>
        <v>Base</v>
      </c>
      <c r="D37" s="146">
        <f>'🤖 Claude Sonnet 3.5'!E37</f>
        <v>0.1251629726</v>
      </c>
      <c r="E37" s="122">
        <f>'🤖 Claude Sonnet 3.5'!F37</f>
        <v>2</v>
      </c>
      <c r="F37" s="122">
        <f>'🤖 Claude Sonnet 3.5'!G37</f>
        <v>4</v>
      </c>
      <c r="G37" s="122">
        <f>'🤖 Claude Sonnet 3.5'!H37</f>
        <v>5</v>
      </c>
      <c r="H37" s="122">
        <f>'🤖 Claude Sonnet 3.5'!I37</f>
        <v>4</v>
      </c>
      <c r="I37" s="122">
        <f>'🤖 Claude Sonnet 3.5'!J37</f>
        <v>5</v>
      </c>
    </row>
    <row r="38">
      <c r="A38" s="120" t="str">
        <f>'🤖 Claude Sonnet 3.5'!$A$37</f>
        <v>http://elpais.com/elpais/2019/07/17/gente/1563351601_839455.html</v>
      </c>
      <c r="B38" s="121" t="str">
        <f t="shared" si="8"/>
        <v>Claude Sonnet 3.5</v>
      </c>
      <c r="C38" s="122" t="str">
        <f>'🤖 Claude Sonnet 3.5'!C38</f>
        <v>CoT</v>
      </c>
      <c r="D38" s="147">
        <f>'🤖 Claude Sonnet 3.5'!E38</f>
        <v>0.1290743155</v>
      </c>
      <c r="E38" s="122">
        <f>'🤖 Claude Sonnet 3.5'!F38</f>
        <v>3</v>
      </c>
      <c r="F38" s="122">
        <f>'🤖 Claude Sonnet 3.5'!G38</f>
        <v>4</v>
      </c>
      <c r="G38" s="122">
        <f>'🤖 Claude Sonnet 3.5'!H38</f>
        <v>5</v>
      </c>
      <c r="H38" s="122">
        <f>'🤖 Claude Sonnet 3.5'!I38</f>
        <v>4</v>
      </c>
      <c r="I38" s="122">
        <f>'🤖 Claude Sonnet 3.5'!J38</f>
        <v>4</v>
      </c>
    </row>
    <row r="39">
      <c r="A39" s="120" t="str">
        <f>'🤖 Claude Sonnet 3.5'!$A$37</f>
        <v>http://elpais.com/elpais/2019/07/17/gente/1563351601_839455.html</v>
      </c>
      <c r="B39" s="121" t="str">
        <f t="shared" si="8"/>
        <v>Claude Sonnet 3.5</v>
      </c>
      <c r="C39" s="122" t="str">
        <f>'🤖 Claude Sonnet 3.5'!C39</f>
        <v>5W1H</v>
      </c>
      <c r="D39" s="148">
        <f>'🤖 Claude Sonnet 3.5'!E39</f>
        <v>0.1577574967</v>
      </c>
      <c r="E39" s="122">
        <f>'🤖 Claude Sonnet 3.5'!F39</f>
        <v>3</v>
      </c>
      <c r="F39" s="122">
        <f>'🤖 Claude Sonnet 3.5'!G39</f>
        <v>3</v>
      </c>
      <c r="G39" s="122">
        <f>'🤖 Claude Sonnet 3.5'!H39</f>
        <v>5</v>
      </c>
      <c r="H39" s="122">
        <f>'🤖 Claude Sonnet 3.5'!I39</f>
        <v>4</v>
      </c>
      <c r="I39" s="122">
        <f>'🤖 Claude Sonnet 3.5'!J39</f>
        <v>4</v>
      </c>
    </row>
    <row r="40">
      <c r="A40" s="120" t="str">
        <f>'🤖 Claude Sonnet 3.5'!$A$37</f>
        <v>http://elpais.com/elpais/2019/07/17/gente/1563351601_839455.html</v>
      </c>
      <c r="B40" s="121" t="str">
        <f t="shared" si="8"/>
        <v>Claude Sonnet 3.5</v>
      </c>
      <c r="C40" s="122" t="str">
        <f>'🤖 Claude Sonnet 3.5'!C40</f>
        <v>tldr</v>
      </c>
      <c r="D40" s="149">
        <f>'🤖 Claude Sonnet 3.5'!E40</f>
        <v>0.1434159061</v>
      </c>
      <c r="E40" s="122">
        <f>'🤖 Claude Sonnet 3.5'!F40</f>
        <v>3</v>
      </c>
      <c r="F40" s="122">
        <f>'🤖 Claude Sonnet 3.5'!G40</f>
        <v>5</v>
      </c>
      <c r="G40" s="122">
        <f>'🤖 Claude Sonnet 3.5'!H40</f>
        <v>1</v>
      </c>
      <c r="H40" s="122">
        <f>'🤖 Claude Sonnet 3.5'!I40</f>
        <v>4</v>
      </c>
      <c r="I40" s="122">
        <f>'🤖 Claude Sonnet 3.5'!J40</f>
        <v>5</v>
      </c>
    </row>
    <row r="41">
      <c r="A41" s="128"/>
      <c r="B41" s="129"/>
      <c r="C41" s="130"/>
      <c r="D41" s="128"/>
      <c r="E41" s="130"/>
      <c r="F41" s="130"/>
      <c r="G41" s="130"/>
      <c r="H41" s="130"/>
      <c r="I41" s="130"/>
    </row>
    <row r="42">
      <c r="A42" s="120" t="str">
        <f>'🤖 Claude Sonnet 3.5'!$A$42</f>
        <v>http://elpais.com/tecnologia/2019/08/20/actualidad/1566294736_117123.html</v>
      </c>
      <c r="B42" s="121" t="str">
        <f t="shared" ref="B42:B45" si="9">"Claude Sonnet 3.5"</f>
        <v>Claude Sonnet 3.5</v>
      </c>
      <c r="C42" s="122" t="str">
        <f>'🤖 Claude Sonnet 3.5'!C42</f>
        <v>Base</v>
      </c>
      <c r="D42" s="150">
        <f>'🤖 Claude Sonnet 3.5'!E42</f>
        <v>0.1851332398</v>
      </c>
      <c r="E42" s="122">
        <f>'🤖 Claude Sonnet 3.5'!F42</f>
        <v>3</v>
      </c>
      <c r="F42" s="122">
        <f>'🤖 Claude Sonnet 3.5'!G42</f>
        <v>4</v>
      </c>
      <c r="G42" s="122">
        <f>'🤖 Claude Sonnet 3.5'!H42</f>
        <v>5</v>
      </c>
      <c r="H42" s="122">
        <f>'🤖 Claude Sonnet 3.5'!I42</f>
        <v>4</v>
      </c>
      <c r="I42" s="122">
        <f>'🤖 Claude Sonnet 3.5'!J42</f>
        <v>5</v>
      </c>
    </row>
    <row r="43">
      <c r="A43" s="120" t="str">
        <f>'🤖 Claude Sonnet 3.5'!$A$42</f>
        <v>http://elpais.com/tecnologia/2019/08/20/actualidad/1566294736_117123.html</v>
      </c>
      <c r="B43" s="121" t="str">
        <f t="shared" si="9"/>
        <v>Claude Sonnet 3.5</v>
      </c>
      <c r="C43" s="122" t="str">
        <f>'🤖 Claude Sonnet 3.5'!C43</f>
        <v>CoT</v>
      </c>
      <c r="D43" s="151">
        <f>'🤖 Claude Sonnet 3.5'!E43</f>
        <v>0.1879382889</v>
      </c>
      <c r="E43" s="122">
        <f>'🤖 Claude Sonnet 3.5'!F43</f>
        <v>3</v>
      </c>
      <c r="F43" s="122">
        <f>'🤖 Claude Sonnet 3.5'!G43</f>
        <v>5</v>
      </c>
      <c r="G43" s="122">
        <f>'🤖 Claude Sonnet 3.5'!H43</f>
        <v>5</v>
      </c>
      <c r="H43" s="122">
        <f>'🤖 Claude Sonnet 3.5'!I43</f>
        <v>4</v>
      </c>
      <c r="I43" s="122">
        <f>'🤖 Claude Sonnet 3.5'!J43</f>
        <v>5</v>
      </c>
    </row>
    <row r="44">
      <c r="A44" s="120" t="str">
        <f>'🤖 Claude Sonnet 3.5'!$A$42</f>
        <v>http://elpais.com/tecnologia/2019/08/20/actualidad/1566294736_117123.html</v>
      </c>
      <c r="B44" s="121" t="str">
        <f t="shared" si="9"/>
        <v>Claude Sonnet 3.5</v>
      </c>
      <c r="C44" s="122" t="str">
        <f>'🤖 Claude Sonnet 3.5'!C44</f>
        <v>5W1H</v>
      </c>
      <c r="D44" s="123">
        <f>'🤖 Claude Sonnet 3.5'!E44</f>
        <v>0.1963534362</v>
      </c>
      <c r="E44" s="122">
        <f>'🤖 Claude Sonnet 3.5'!F44</f>
        <v>3</v>
      </c>
      <c r="F44" s="122">
        <f>'🤖 Claude Sonnet 3.5'!G44</f>
        <v>5</v>
      </c>
      <c r="G44" s="122">
        <f>'🤖 Claude Sonnet 3.5'!H44</f>
        <v>5</v>
      </c>
      <c r="H44" s="122">
        <f>'🤖 Claude Sonnet 3.5'!I44</f>
        <v>4</v>
      </c>
      <c r="I44" s="122">
        <f>'🤖 Claude Sonnet 3.5'!J44</f>
        <v>5</v>
      </c>
    </row>
    <row r="45">
      <c r="A45" s="120" t="str">
        <f>'🤖 Claude Sonnet 3.5'!$A$42</f>
        <v>http://elpais.com/tecnologia/2019/08/20/actualidad/1566294736_117123.html</v>
      </c>
      <c r="B45" s="121" t="str">
        <f t="shared" si="9"/>
        <v>Claude Sonnet 3.5</v>
      </c>
      <c r="C45" s="122" t="str">
        <f>'🤖 Claude Sonnet 3.5'!C45</f>
        <v>tldr</v>
      </c>
      <c r="D45" s="152">
        <f>'🤖 Claude Sonnet 3.5'!E45</f>
        <v>0.1486676017</v>
      </c>
      <c r="E45" s="122">
        <f>'🤖 Claude Sonnet 3.5'!F45</f>
        <v>3</v>
      </c>
      <c r="F45" s="122">
        <f>'🤖 Claude Sonnet 3.5'!G45</f>
        <v>4</v>
      </c>
      <c r="G45" s="122">
        <f>'🤖 Claude Sonnet 3.5'!H45</f>
        <v>5</v>
      </c>
      <c r="H45" s="122">
        <f>'🤖 Claude Sonnet 3.5'!I45</f>
        <v>4</v>
      </c>
      <c r="I45" s="122">
        <f>'🤖 Claude Sonnet 3.5'!J45</f>
        <v>5</v>
      </c>
    </row>
    <row r="46">
      <c r="A46" s="128"/>
      <c r="B46" s="129"/>
      <c r="C46" s="130"/>
      <c r="D46" s="128"/>
      <c r="E46" s="130"/>
      <c r="F46" s="130"/>
      <c r="G46" s="130"/>
      <c r="H46" s="130"/>
      <c r="I46" s="130"/>
    </row>
    <row r="47">
      <c r="A47" s="120" t="str">
        <f>'🤖 Claude Sonnet 3.5'!$A$47</f>
        <v>http://elpais.com/elpais/2019/07/05/ideas/1562335565_606827.html</v>
      </c>
      <c r="B47" s="121" t="str">
        <f t="shared" ref="B47:B50" si="10">"Claude Sonnet 3.5"</f>
        <v>Claude Sonnet 3.5</v>
      </c>
      <c r="C47" s="122" t="str">
        <f>'🤖 Claude Sonnet 3.5'!C47</f>
        <v>Base</v>
      </c>
      <c r="D47" s="132">
        <f>'🤖 Claude Sonnet 3.5'!E47</f>
        <v>0.1131595677</v>
      </c>
      <c r="E47" s="122">
        <f>'🤖 Claude Sonnet 3.5'!F47</f>
        <v>2</v>
      </c>
      <c r="F47" s="122">
        <f>'🤖 Claude Sonnet 3.5'!G47</f>
        <v>5</v>
      </c>
      <c r="G47" s="122">
        <f>'🤖 Claude Sonnet 3.5'!H47</f>
        <v>5</v>
      </c>
      <c r="H47" s="122">
        <f>'🤖 Claude Sonnet 3.5'!I47</f>
        <v>4</v>
      </c>
      <c r="I47" s="122">
        <f>'🤖 Claude Sonnet 3.5'!J47</f>
        <v>5</v>
      </c>
    </row>
    <row r="48">
      <c r="A48" s="120" t="str">
        <f>'🤖 Claude Sonnet 3.5'!$A$47</f>
        <v>http://elpais.com/elpais/2019/07/05/ideas/1562335565_606827.html</v>
      </c>
      <c r="B48" s="121" t="str">
        <f t="shared" si="10"/>
        <v>Claude Sonnet 3.5</v>
      </c>
      <c r="C48" s="122" t="str">
        <f>'🤖 Claude Sonnet 3.5'!C48</f>
        <v>CoT</v>
      </c>
      <c r="D48" s="134">
        <f>'🤖 Claude Sonnet 3.5'!E48</f>
        <v>0.09980928163</v>
      </c>
      <c r="E48" s="122">
        <f>'🤖 Claude Sonnet 3.5'!F48</f>
        <v>2</v>
      </c>
      <c r="F48" s="122">
        <f>'🤖 Claude Sonnet 3.5'!G48</f>
        <v>5</v>
      </c>
      <c r="G48" s="122">
        <f>'🤖 Claude Sonnet 3.5'!H48</f>
        <v>5</v>
      </c>
      <c r="H48" s="122">
        <f>'🤖 Claude Sonnet 3.5'!I48</f>
        <v>4</v>
      </c>
      <c r="I48" s="122">
        <f>'🤖 Claude Sonnet 3.5'!J48</f>
        <v>5</v>
      </c>
    </row>
    <row r="49">
      <c r="A49" s="120" t="str">
        <f>'🤖 Claude Sonnet 3.5'!$A$47</f>
        <v>http://elpais.com/elpais/2019/07/05/ideas/1562335565_606827.html</v>
      </c>
      <c r="B49" s="121" t="str">
        <f t="shared" si="10"/>
        <v>Claude Sonnet 3.5</v>
      </c>
      <c r="C49" s="122" t="str">
        <f>'🤖 Claude Sonnet 3.5'!C49</f>
        <v>5W1H</v>
      </c>
      <c r="D49" s="153">
        <f>'🤖 Claude Sonnet 3.5'!E49</f>
        <v>0.1048951049</v>
      </c>
      <c r="E49" s="122">
        <f>'🤖 Claude Sonnet 3.5'!F49</f>
        <v>2</v>
      </c>
      <c r="F49" s="122">
        <f>'🤖 Claude Sonnet 3.5'!G49</f>
        <v>5</v>
      </c>
      <c r="G49" s="122">
        <f>'🤖 Claude Sonnet 3.5'!H49</f>
        <v>5</v>
      </c>
      <c r="H49" s="122">
        <f>'🤖 Claude Sonnet 3.5'!I49</f>
        <v>4</v>
      </c>
      <c r="I49" s="122">
        <f>'🤖 Claude Sonnet 3.5'!J49</f>
        <v>5</v>
      </c>
    </row>
    <row r="50">
      <c r="A50" s="120" t="str">
        <f>'🤖 Claude Sonnet 3.5'!$A$47</f>
        <v>http://elpais.com/elpais/2019/07/05/ideas/1562335565_606827.html</v>
      </c>
      <c r="B50" s="121" t="str">
        <f t="shared" si="10"/>
        <v>Claude Sonnet 3.5</v>
      </c>
      <c r="C50" s="122" t="str">
        <f>'🤖 Claude Sonnet 3.5'!C50</f>
        <v>tldr</v>
      </c>
      <c r="D50" s="154">
        <f>'🤖 Claude Sonnet 3.5'!E50</f>
        <v>0.06993006993</v>
      </c>
      <c r="E50" s="122">
        <f>'🤖 Claude Sonnet 3.5'!F50</f>
        <v>3</v>
      </c>
      <c r="F50" s="122">
        <f>'🤖 Claude Sonnet 3.5'!G50</f>
        <v>5</v>
      </c>
      <c r="G50" s="122">
        <f>'🤖 Claude Sonnet 3.5'!H50</f>
        <v>5</v>
      </c>
      <c r="H50" s="122">
        <f>'🤖 Claude Sonnet 3.5'!I50</f>
        <v>4</v>
      </c>
      <c r="I50" s="122">
        <f>'🤖 Claude Sonnet 3.5'!J50</f>
        <v>5</v>
      </c>
    </row>
    <row r="51">
      <c r="A51" s="128"/>
      <c r="B51" s="129"/>
      <c r="C51" s="130"/>
      <c r="D51" s="128"/>
      <c r="E51" s="130"/>
      <c r="F51" s="130"/>
      <c r="G51" s="130"/>
      <c r="H51" s="130"/>
      <c r="I51" s="130"/>
    </row>
    <row r="52">
      <c r="A52" s="120" t="str">
        <f>'🤖 Command R+'!$A$2</f>
        <v>http://elpais.com/deportes/2019/08/17/actualidad/1566005143_044557.html</v>
      </c>
      <c r="B52" s="121" t="s">
        <v>24</v>
      </c>
      <c r="C52" s="122" t="str">
        <f>'🤖 Command R+'!C2</f>
        <v>Base</v>
      </c>
      <c r="D52" s="133">
        <f>'🤖 Command R+'!E2</f>
        <v>0.09102091021</v>
      </c>
      <c r="E52" s="122">
        <f>'🤖 Command R+'!F2</f>
        <v>4</v>
      </c>
      <c r="F52" s="122">
        <f>'🤖 Command R+'!G2</f>
        <v>5</v>
      </c>
      <c r="G52" s="122">
        <f>'🤖 Command R+'!H2</f>
        <v>5</v>
      </c>
      <c r="H52" s="122">
        <f>'🤖 Command R+'!I2</f>
        <v>4</v>
      </c>
      <c r="I52" s="122">
        <f>'🤖 Command R+'!J2</f>
        <v>3</v>
      </c>
    </row>
    <row r="53">
      <c r="A53" s="120" t="str">
        <f>'🤖 Command R+'!$A$2</f>
        <v>http://elpais.com/deportes/2019/08/17/actualidad/1566005143_044557.html</v>
      </c>
      <c r="B53" s="121" t="s">
        <v>24</v>
      </c>
      <c r="C53" s="122" t="str">
        <f>'🤖 Command R+'!C3</f>
        <v>CoT</v>
      </c>
      <c r="D53" s="133">
        <f>'🤖 Command R+'!E3</f>
        <v>0.08979089791</v>
      </c>
      <c r="E53" s="122">
        <f>'🤖 Command R+'!F3</f>
        <v>4</v>
      </c>
      <c r="F53" s="122">
        <f>'🤖 Command R+'!G3</f>
        <v>5</v>
      </c>
      <c r="G53" s="122">
        <f>'🤖 Command R+'!H3</f>
        <v>5</v>
      </c>
      <c r="H53" s="122">
        <f>'🤖 Command R+'!I3</f>
        <v>4</v>
      </c>
      <c r="I53" s="122">
        <f>'🤖 Command R+'!J3</f>
        <v>5</v>
      </c>
    </row>
    <row r="54">
      <c r="A54" s="120" t="str">
        <f>'🤖 Command R+'!$A$2</f>
        <v>http://elpais.com/deportes/2019/08/17/actualidad/1566005143_044557.html</v>
      </c>
      <c r="B54" s="121" t="s">
        <v>24</v>
      </c>
      <c r="C54" s="122" t="str">
        <f>'🤖 Command R+'!C4</f>
        <v>5W1H</v>
      </c>
      <c r="D54" s="123">
        <f>'🤖 Command R+'!E4</f>
        <v>0.1943419434</v>
      </c>
      <c r="E54" s="122">
        <f>'🤖 Command R+'!F4</f>
        <v>2</v>
      </c>
      <c r="F54" s="122">
        <f>'🤖 Command R+'!G4</f>
        <v>4</v>
      </c>
      <c r="G54" s="122">
        <f>'🤖 Command R+'!H4</f>
        <v>5</v>
      </c>
      <c r="H54" s="122">
        <f>'🤖 Command R+'!I4</f>
        <v>3</v>
      </c>
      <c r="I54" s="122">
        <f>'🤖 Command R+'!J4</f>
        <v>5</v>
      </c>
    </row>
    <row r="55">
      <c r="A55" s="120" t="str">
        <f>'🤖 Command R+'!$A$2</f>
        <v>http://elpais.com/deportes/2019/08/17/actualidad/1566005143_044557.html</v>
      </c>
      <c r="B55" s="121" t="s">
        <v>24</v>
      </c>
      <c r="C55" s="122" t="str">
        <f>'🤖 Command R+'!C5</f>
        <v>tldr</v>
      </c>
      <c r="D55" s="155">
        <f>'🤖 Command R+'!E5</f>
        <v>0.08364083641</v>
      </c>
      <c r="E55" s="122">
        <f>'🤖 Command R+'!F5</f>
        <v>4</v>
      </c>
      <c r="F55" s="122">
        <f>'🤖 Command R+'!G5</f>
        <v>5</v>
      </c>
      <c r="G55" s="122">
        <f>'🤖 Command R+'!H5</f>
        <v>5</v>
      </c>
      <c r="H55" s="122">
        <f>'🤖 Command R+'!I5</f>
        <v>5</v>
      </c>
      <c r="I55" s="122">
        <f>'🤖 Command R+'!J5</f>
        <v>4</v>
      </c>
    </row>
    <row r="56">
      <c r="A56" s="128"/>
      <c r="B56" s="129"/>
      <c r="C56" s="130"/>
      <c r="D56" s="128"/>
      <c r="E56" s="130"/>
      <c r="F56" s="130"/>
      <c r="G56" s="130"/>
      <c r="H56" s="130"/>
      <c r="I56" s="130"/>
    </row>
    <row r="57">
      <c r="A57" s="120" t="str">
        <f>'🤖 Command R+'!$A$7</f>
        <v>http://elpais.com/elpais/2019/07/10/planeta_futuro/1562757015_950583.html</v>
      </c>
      <c r="B57" s="121" t="s">
        <v>24</v>
      </c>
      <c r="C57" s="122" t="str">
        <f>'🤖 Command R+'!C7</f>
        <v>Base</v>
      </c>
      <c r="D57" s="156">
        <f>'🤖 Command R+'!E7</f>
        <v>0.2403560831</v>
      </c>
      <c r="E57" s="122">
        <f>'🤖 Command R+'!F7</f>
        <v>5</v>
      </c>
      <c r="F57" s="122">
        <f>'🤖 Command R+'!G7</f>
        <v>4</v>
      </c>
      <c r="G57" s="122">
        <f>'🤖 Command R+'!H7</f>
        <v>5</v>
      </c>
      <c r="H57" s="122">
        <f>'🤖 Command R+'!I7</f>
        <v>3</v>
      </c>
      <c r="I57" s="122">
        <f>'🤖 Command R+'!J7</f>
        <v>4</v>
      </c>
    </row>
    <row r="58">
      <c r="A58" s="120" t="str">
        <f>'🤖 Command R+'!$A$7</f>
        <v>http://elpais.com/elpais/2019/07/10/planeta_futuro/1562757015_950583.html</v>
      </c>
      <c r="B58" s="121" t="s">
        <v>24</v>
      </c>
      <c r="C58" s="122" t="str">
        <f>'🤖 Command R+'!C8</f>
        <v>CoT</v>
      </c>
      <c r="D58" s="151">
        <f>'🤖 Command R+'!E8</f>
        <v>0.1889218595</v>
      </c>
      <c r="E58" s="122">
        <f>'🤖 Command R+'!F8</f>
        <v>5</v>
      </c>
      <c r="F58" s="122">
        <f>'🤖 Command R+'!G8</f>
        <v>3</v>
      </c>
      <c r="G58" s="122">
        <f>'🤖 Command R+'!H8</f>
        <v>5</v>
      </c>
      <c r="H58" s="122">
        <f>'🤖 Command R+'!I8</f>
        <v>4</v>
      </c>
      <c r="I58" s="122">
        <f>'🤖 Command R+'!J8</f>
        <v>4</v>
      </c>
    </row>
    <row r="59">
      <c r="A59" s="120" t="str">
        <f>'🤖 Command R+'!$A$7</f>
        <v>http://elpais.com/elpais/2019/07/10/planeta_futuro/1562757015_950583.html</v>
      </c>
      <c r="B59" s="121" t="s">
        <v>24</v>
      </c>
      <c r="C59" s="122" t="str">
        <f>'🤖 Command R+'!C9</f>
        <v>5W1H</v>
      </c>
      <c r="D59" s="138">
        <f>'🤖 Command R+'!E9</f>
        <v>0.2235410485</v>
      </c>
      <c r="E59" s="122">
        <f>'🤖 Command R+'!F9</f>
        <v>3</v>
      </c>
      <c r="F59" s="122">
        <f>'🤖 Command R+'!G9</f>
        <v>4</v>
      </c>
      <c r="G59" s="122">
        <f>'🤖 Command R+'!H9</f>
        <v>5</v>
      </c>
      <c r="H59" s="122">
        <f>'🤖 Command R+'!I9</f>
        <v>4</v>
      </c>
      <c r="I59" s="122">
        <f>'🤖 Command R+'!J9</f>
        <v>4</v>
      </c>
    </row>
    <row r="60">
      <c r="A60" s="120" t="str">
        <f>'🤖 Command R+'!$A$7</f>
        <v>http://elpais.com/elpais/2019/07/10/planeta_futuro/1562757015_950583.html</v>
      </c>
      <c r="B60" s="121" t="s">
        <v>24</v>
      </c>
      <c r="C60" s="122" t="str">
        <f>'🤖 Command R+'!C10</f>
        <v>tldr</v>
      </c>
      <c r="D60" s="133">
        <f>'🤖 Command R+'!E10</f>
        <v>0.09099901088</v>
      </c>
      <c r="E60" s="122">
        <f>'🤖 Command R+'!F10</f>
        <v>4</v>
      </c>
      <c r="F60" s="122">
        <f>'🤖 Command R+'!G10</f>
        <v>5</v>
      </c>
      <c r="G60" s="122">
        <f>'🤖 Command R+'!H10</f>
        <v>5</v>
      </c>
      <c r="H60" s="122">
        <f>'🤖 Command R+'!I10</f>
        <v>5</v>
      </c>
      <c r="I60" s="122">
        <f>'🤖 Command R+'!J10</f>
        <v>3</v>
      </c>
    </row>
    <row r="61">
      <c r="A61" s="128"/>
      <c r="B61" s="129"/>
      <c r="C61" s="130"/>
      <c r="D61" s="128"/>
      <c r="E61" s="130"/>
      <c r="F61" s="130"/>
      <c r="G61" s="130"/>
      <c r="H61" s="130"/>
      <c r="I61" s="130"/>
    </row>
    <row r="62">
      <c r="A62" s="120" t="str">
        <f>'🤖 Command R+'!$A$12</f>
        <v>http://elpais.com/ccaa/2019/09/12/madrid/1568307703_277564.html</v>
      </c>
      <c r="B62" s="121" t="s">
        <v>24</v>
      </c>
      <c r="C62" s="122" t="str">
        <f>'🤖 Command R+'!C12</f>
        <v>Base</v>
      </c>
      <c r="D62" s="139">
        <f>'🤖 Command R+'!E12</f>
        <v>0.06914893617</v>
      </c>
      <c r="E62" s="122">
        <f>'🤖 Command R+'!F12</f>
        <v>4</v>
      </c>
      <c r="F62" s="122">
        <f>'🤖 Command R+'!G12</f>
        <v>5</v>
      </c>
      <c r="G62" s="122">
        <f>'🤖 Command R+'!H12</f>
        <v>5</v>
      </c>
      <c r="H62" s="122">
        <f>'🤖 Command R+'!I12</f>
        <v>4</v>
      </c>
      <c r="I62" s="122">
        <f>'🤖 Command R+'!J12</f>
        <v>3</v>
      </c>
    </row>
    <row r="63">
      <c r="A63" s="120" t="str">
        <f>'🤖 Command R+'!$A$12</f>
        <v>http://elpais.com/ccaa/2019/09/12/madrid/1568307703_277564.html</v>
      </c>
      <c r="B63" s="121" t="s">
        <v>24</v>
      </c>
      <c r="C63" s="122" t="str">
        <f>'🤖 Command R+'!C13</f>
        <v>CoT</v>
      </c>
      <c r="D63" s="139">
        <f>'🤖 Command R+'!E13</f>
        <v>0.06737588652</v>
      </c>
      <c r="E63" s="122">
        <f>'🤖 Command R+'!F13</f>
        <v>4</v>
      </c>
      <c r="F63" s="122">
        <f>'🤖 Command R+'!G13</f>
        <v>5</v>
      </c>
      <c r="G63" s="122">
        <f>'🤖 Command R+'!H13</f>
        <v>4</v>
      </c>
      <c r="H63" s="122">
        <f>'🤖 Command R+'!I13</f>
        <v>5</v>
      </c>
      <c r="I63" s="122">
        <f>'🤖 Command R+'!J13</f>
        <v>4</v>
      </c>
    </row>
    <row r="64">
      <c r="A64" s="120" t="str">
        <f>'🤖 Command R+'!$A$12</f>
        <v>http://elpais.com/ccaa/2019/09/12/madrid/1568307703_277564.html</v>
      </c>
      <c r="B64" s="121" t="s">
        <v>24</v>
      </c>
      <c r="C64" s="122" t="str">
        <f>'🤖 Command R+'!C14</f>
        <v>5W1H</v>
      </c>
      <c r="D64" s="134">
        <f>'🤖 Command R+'!E14</f>
        <v>0.0975177305</v>
      </c>
      <c r="E64" s="122">
        <f>'🤖 Command R+'!F14</f>
        <v>3</v>
      </c>
      <c r="F64" s="122">
        <f>'🤖 Command R+'!G14</f>
        <v>5</v>
      </c>
      <c r="G64" s="122">
        <f>'🤖 Command R+'!H14</f>
        <v>5</v>
      </c>
      <c r="H64" s="122">
        <f>'🤖 Command R+'!I14</f>
        <v>4</v>
      </c>
      <c r="I64" s="122">
        <f>'🤖 Command R+'!J14</f>
        <v>4</v>
      </c>
    </row>
    <row r="65">
      <c r="A65" s="120" t="str">
        <f>'🤖 Command R+'!$A$12</f>
        <v>http://elpais.com/ccaa/2019/09/12/madrid/1568307703_277564.html</v>
      </c>
      <c r="B65" s="121" t="s">
        <v>24</v>
      </c>
      <c r="C65" s="122" t="str">
        <f>'🤖 Command R+'!C15</f>
        <v>tldr</v>
      </c>
      <c r="D65" s="157">
        <f>'🤖 Command R+'!E15</f>
        <v>0.05673758865</v>
      </c>
      <c r="E65" s="122">
        <f>'🤖 Command R+'!F15</f>
        <v>4</v>
      </c>
      <c r="F65" s="122">
        <f>'🤖 Command R+'!G15</f>
        <v>5</v>
      </c>
      <c r="G65" s="122">
        <f>'🤖 Command R+'!H15</f>
        <v>5</v>
      </c>
      <c r="H65" s="122">
        <f>'🤖 Command R+'!I15</f>
        <v>4</v>
      </c>
      <c r="I65" s="122">
        <f>'🤖 Command R+'!J15</f>
        <v>2</v>
      </c>
    </row>
    <row r="66">
      <c r="A66" s="128"/>
      <c r="B66" s="129"/>
      <c r="C66" s="130"/>
      <c r="D66" s="128"/>
      <c r="E66" s="130"/>
      <c r="F66" s="130"/>
      <c r="G66" s="130"/>
      <c r="H66" s="130"/>
      <c r="I66" s="130"/>
    </row>
    <row r="67">
      <c r="A67" s="120" t="str">
        <f>'🤖 Command R+'!$A$17</f>
        <v>http://elpais.com/deportes/2019/08/10/actualidad/1565426201_075062.html</v>
      </c>
      <c r="B67" s="121" t="s">
        <v>24</v>
      </c>
      <c r="C67" s="122" t="str">
        <f>'🤖 Command R+'!C17</f>
        <v>Base</v>
      </c>
      <c r="D67" s="158">
        <f>'🤖 Command R+'!E17</f>
        <v>0.2745376956</v>
      </c>
      <c r="E67" s="122">
        <f>'🤖 Command R+'!F17</f>
        <v>4</v>
      </c>
      <c r="F67" s="122">
        <f>'🤖 Command R+'!G17</f>
        <v>4</v>
      </c>
      <c r="G67" s="122">
        <f>'🤖 Command R+'!H17</f>
        <v>4</v>
      </c>
      <c r="H67" s="122">
        <f>'🤖 Command R+'!I17</f>
        <v>3</v>
      </c>
      <c r="I67" s="122">
        <f>'🤖 Command R+'!J17</f>
        <v>4</v>
      </c>
    </row>
    <row r="68">
      <c r="A68" s="120" t="str">
        <f>'🤖 Command R+'!$A$17</f>
        <v>http://elpais.com/deportes/2019/08/10/actualidad/1565426201_075062.html</v>
      </c>
      <c r="B68" s="121" t="s">
        <v>24</v>
      </c>
      <c r="C68" s="122" t="str">
        <f>'🤖 Command R+'!C18</f>
        <v>CoT</v>
      </c>
      <c r="D68" s="159">
        <f>'🤖 Command R+'!E18</f>
        <v>0.4167852063</v>
      </c>
      <c r="E68" s="122">
        <f>'🤖 Command R+'!F18</f>
        <v>4</v>
      </c>
      <c r="F68" s="122">
        <f>'🤖 Command R+'!G18</f>
        <v>3</v>
      </c>
      <c r="G68" s="122">
        <f>'🤖 Command R+'!H18</f>
        <v>5</v>
      </c>
      <c r="H68" s="122">
        <f>'🤖 Command R+'!I18</f>
        <v>2</v>
      </c>
      <c r="I68" s="122">
        <f>'🤖 Command R+'!J18</f>
        <v>4</v>
      </c>
    </row>
    <row r="69">
      <c r="A69" s="120" t="str">
        <f>'🤖 Command R+'!$A$17</f>
        <v>http://elpais.com/deportes/2019/08/10/actualidad/1565426201_075062.html</v>
      </c>
      <c r="B69" s="121" t="s">
        <v>24</v>
      </c>
      <c r="C69" s="122" t="str">
        <f>'🤖 Command R+'!C19</f>
        <v>5W1H</v>
      </c>
      <c r="D69" s="142">
        <f>'🤖 Command R+'!E19</f>
        <v>0.4096728307</v>
      </c>
      <c r="E69" s="122">
        <f>'🤖 Command R+'!F19</f>
        <v>3</v>
      </c>
      <c r="F69" s="122">
        <f>'🤖 Command R+'!G19</f>
        <v>4</v>
      </c>
      <c r="G69" s="122">
        <f>'🤖 Command R+'!H19</f>
        <v>5</v>
      </c>
      <c r="H69" s="122">
        <f>'🤖 Command R+'!I19</f>
        <v>3</v>
      </c>
      <c r="I69" s="122">
        <f>'🤖 Command R+'!J19</f>
        <v>5</v>
      </c>
    </row>
    <row r="70">
      <c r="A70" s="120" t="str">
        <f>'🤖 Command R+'!$A$17</f>
        <v>http://elpais.com/deportes/2019/08/10/actualidad/1565426201_075062.html</v>
      </c>
      <c r="B70" s="121" t="s">
        <v>24</v>
      </c>
      <c r="C70" s="122" t="str">
        <f>'🤖 Command R+'!C20</f>
        <v>tldr</v>
      </c>
      <c r="D70" s="160">
        <f>'🤖 Command R+'!E20</f>
        <v>0.1351351351</v>
      </c>
      <c r="E70" s="122">
        <f>'🤖 Command R+'!F20</f>
        <v>5</v>
      </c>
      <c r="F70" s="122">
        <f>'🤖 Command R+'!G20</f>
        <v>4</v>
      </c>
      <c r="G70" s="122">
        <f>'🤖 Command R+'!H20</f>
        <v>5</v>
      </c>
      <c r="H70" s="122">
        <f>'🤖 Command R+'!I20</f>
        <v>5</v>
      </c>
      <c r="I70" s="122">
        <f>'🤖 Command R+'!J20</f>
        <v>4</v>
      </c>
    </row>
    <row r="71">
      <c r="A71" s="128"/>
      <c r="B71" s="129"/>
      <c r="C71" s="130"/>
      <c r="D71" s="128"/>
      <c r="E71" s="130"/>
      <c r="F71" s="130"/>
      <c r="G71" s="130"/>
      <c r="H71" s="130"/>
      <c r="I71" s="130"/>
    </row>
    <row r="72">
      <c r="A72" s="120" t="str">
        <f>'🤖 Command R+'!$A$22</f>
        <v>http://elpais.com/elpais/2019/07/11/gente/1562866782_776897.html</v>
      </c>
      <c r="B72" s="121" t="s">
        <v>24</v>
      </c>
      <c r="C72" s="122" t="str">
        <f>'🤖 Command R+'!C22</f>
        <v>Base</v>
      </c>
      <c r="D72" s="140">
        <f>'🤖 Command R+'!E22</f>
        <v>0.07919366451</v>
      </c>
      <c r="E72" s="122">
        <f>'🤖 Command R+'!F22</f>
        <v>5</v>
      </c>
      <c r="F72" s="122">
        <f>'🤖 Command R+'!G22</f>
        <v>5</v>
      </c>
      <c r="G72" s="122">
        <f>'🤖 Command R+'!H22</f>
        <v>5</v>
      </c>
      <c r="H72" s="122">
        <f>'🤖 Command R+'!I22</f>
        <v>4</v>
      </c>
      <c r="I72" s="122">
        <f>'🤖 Command R+'!J22</f>
        <v>5</v>
      </c>
    </row>
    <row r="73">
      <c r="A73" s="120" t="str">
        <f>'🤖 Command R+'!$A$22</f>
        <v>http://elpais.com/elpais/2019/07/11/gente/1562866782_776897.html</v>
      </c>
      <c r="B73" s="121" t="s">
        <v>24</v>
      </c>
      <c r="C73" s="122" t="str">
        <f>'🤖 Command R+'!C23</f>
        <v>CoT</v>
      </c>
      <c r="D73" s="146">
        <f>'🤖 Command R+'!E23</f>
        <v>0.1274298056</v>
      </c>
      <c r="E73" s="122">
        <f>'🤖 Command R+'!F23</f>
        <v>5</v>
      </c>
      <c r="F73" s="122">
        <f>'🤖 Command R+'!G23</f>
        <v>5</v>
      </c>
      <c r="G73" s="122">
        <f>'🤖 Command R+'!H23</f>
        <v>4</v>
      </c>
      <c r="H73" s="122">
        <f>'🤖 Command R+'!I23</f>
        <v>4</v>
      </c>
      <c r="I73" s="122">
        <f>'🤖 Command R+'!J23</f>
        <v>4</v>
      </c>
    </row>
    <row r="74">
      <c r="A74" s="120" t="str">
        <f>'🤖 Command R+'!$A$22</f>
        <v>http://elpais.com/elpais/2019/07/11/gente/1562866782_776897.html</v>
      </c>
      <c r="B74" s="121" t="s">
        <v>24</v>
      </c>
      <c r="C74" s="122" t="str">
        <f>'🤖 Command R+'!C24</f>
        <v>5W1H</v>
      </c>
      <c r="D74" s="161">
        <f>'🤖 Command R+'!E24</f>
        <v>0.1223902088</v>
      </c>
      <c r="E74" s="122">
        <f>'🤖 Command R+'!F24</f>
        <v>3</v>
      </c>
      <c r="F74" s="122">
        <f>'🤖 Command R+'!G24</f>
        <v>5</v>
      </c>
      <c r="G74" s="122">
        <f>'🤖 Command R+'!H24</f>
        <v>5</v>
      </c>
      <c r="H74" s="122">
        <f>'🤖 Command R+'!I24</f>
        <v>3</v>
      </c>
      <c r="I74" s="122">
        <f>'🤖 Command R+'!J24</f>
        <v>5</v>
      </c>
    </row>
    <row r="75">
      <c r="A75" s="120" t="str">
        <f>'🤖 Command R+'!$A$22</f>
        <v>http://elpais.com/elpais/2019/07/11/gente/1562866782_776897.html</v>
      </c>
      <c r="B75" s="121" t="s">
        <v>24</v>
      </c>
      <c r="C75" s="122" t="str">
        <f>'🤖 Command R+'!C25</f>
        <v>tldr</v>
      </c>
      <c r="D75" s="132">
        <f>'🤖 Command R+'!E25</f>
        <v>0.1079913607</v>
      </c>
      <c r="E75" s="122">
        <f>'🤖 Command R+'!F25</f>
        <v>5</v>
      </c>
      <c r="F75" s="122">
        <f>'🤖 Command R+'!G25</f>
        <v>5</v>
      </c>
      <c r="G75" s="122">
        <f>'🤖 Command R+'!H25</f>
        <v>5</v>
      </c>
      <c r="H75" s="122">
        <f>'🤖 Command R+'!I25</f>
        <v>4</v>
      </c>
      <c r="I75" s="122">
        <f>'🤖 Command R+'!J25</f>
        <v>5</v>
      </c>
    </row>
    <row r="76">
      <c r="A76" s="128"/>
      <c r="B76" s="129"/>
      <c r="C76" s="130"/>
      <c r="D76" s="128"/>
      <c r="E76" s="130"/>
      <c r="F76" s="130"/>
      <c r="G76" s="130"/>
      <c r="H76" s="130"/>
      <c r="I76" s="130"/>
    </row>
    <row r="77">
      <c r="A77" s="120" t="str">
        <f>'🤖 Command R+'!$A$27</f>
        <v>http://elpais.com/elpais/2019/07/19/ciencia/1563535714_854872.html</v>
      </c>
      <c r="B77" s="121" t="s">
        <v>24</v>
      </c>
      <c r="C77" s="122" t="str">
        <f>'🤖 Command R+'!C27</f>
        <v>Base</v>
      </c>
      <c r="D77" s="162">
        <f>'🤖 Command R+'!E27</f>
        <v>0.2697495183</v>
      </c>
      <c r="E77" s="122">
        <f>'🤖 Command R+'!F27</f>
        <v>5</v>
      </c>
      <c r="F77" s="122">
        <f>'🤖 Command R+'!G27</f>
        <v>5</v>
      </c>
      <c r="G77" s="122">
        <f>'🤖 Command R+'!H27</f>
        <v>5</v>
      </c>
      <c r="H77" s="122">
        <f>'🤖 Command R+'!I27</f>
        <v>4</v>
      </c>
      <c r="I77" s="122">
        <f>'🤖 Command R+'!J27</f>
        <v>4</v>
      </c>
      <c r="J77" s="12">
        <f>VLOOKUP(B77,'__lookup__'!A:B,2,FALSE)</f>
        <v>2</v>
      </c>
      <c r="K77" s="12">
        <f>VLOOKUP(C77,'__lookup__'!A:B,2,FALSE)</f>
        <v>10</v>
      </c>
    </row>
    <row r="78">
      <c r="A78" s="120" t="str">
        <f>'🤖 Command R+'!$A$27</f>
        <v>http://elpais.com/elpais/2019/07/19/ciencia/1563535714_854872.html</v>
      </c>
      <c r="B78" s="121" t="s">
        <v>24</v>
      </c>
      <c r="C78" s="122" t="str">
        <f>'🤖 Command R+'!C28</f>
        <v>CoT</v>
      </c>
      <c r="D78" s="163">
        <f>'🤖 Command R+'!E28</f>
        <v>0.2658959538</v>
      </c>
      <c r="E78" s="122">
        <f>'🤖 Command R+'!F28</f>
        <v>4</v>
      </c>
      <c r="F78" s="122">
        <f>'🤖 Command R+'!G28</f>
        <v>4</v>
      </c>
      <c r="G78" s="122">
        <f>'🤖 Command R+'!H28</f>
        <v>5</v>
      </c>
      <c r="H78" s="122">
        <f>'🤖 Command R+'!I28</f>
        <v>4</v>
      </c>
      <c r="I78" s="122">
        <f>'🤖 Command R+'!J28</f>
        <v>4</v>
      </c>
    </row>
    <row r="79">
      <c r="A79" s="120" t="str">
        <f>'🤖 Command R+'!$A$27</f>
        <v>http://elpais.com/elpais/2019/07/19/ciencia/1563535714_854872.html</v>
      </c>
      <c r="B79" s="121" t="s">
        <v>24</v>
      </c>
      <c r="C79" s="122" t="str">
        <f>'🤖 Command R+'!C29</f>
        <v>5W1H</v>
      </c>
      <c r="D79" s="142">
        <f>'🤖 Command R+'!E29</f>
        <v>0.4104046243</v>
      </c>
      <c r="E79" s="122">
        <f>'🤖 Command R+'!F29</f>
        <v>3</v>
      </c>
      <c r="F79" s="122">
        <f>'🤖 Command R+'!G29</f>
        <v>5</v>
      </c>
      <c r="G79" s="122">
        <f>'🤖 Command R+'!H29</f>
        <v>5</v>
      </c>
      <c r="H79" s="122">
        <f>'🤖 Command R+'!I29</f>
        <v>4</v>
      </c>
      <c r="I79" s="122">
        <f>'🤖 Command R+'!J29</f>
        <v>4</v>
      </c>
    </row>
    <row r="80">
      <c r="A80" s="120" t="str">
        <f>'🤖 Command R+'!$A$27</f>
        <v>http://elpais.com/elpais/2019/07/19/ciencia/1563535714_854872.html</v>
      </c>
      <c r="B80" s="121" t="s">
        <v>24</v>
      </c>
      <c r="C80" s="122" t="str">
        <f>'🤖 Command R+'!C30</f>
        <v>tldr</v>
      </c>
      <c r="D80" s="164">
        <f>'🤖 Command R+'!E30</f>
        <v>0.1425818882</v>
      </c>
      <c r="E80" s="122">
        <f>'🤖 Command R+'!F30</f>
        <v>4</v>
      </c>
      <c r="F80" s="122">
        <f>'🤖 Command R+'!G30</f>
        <v>5</v>
      </c>
      <c r="G80" s="122">
        <f>'🤖 Command R+'!H30</f>
        <v>4</v>
      </c>
      <c r="H80" s="122">
        <f>'🤖 Command R+'!I30</f>
        <v>5</v>
      </c>
      <c r="I80" s="122">
        <f>'🤖 Command R+'!J30</f>
        <v>3</v>
      </c>
    </row>
    <row r="81">
      <c r="A81" s="128"/>
      <c r="B81" s="129"/>
      <c r="C81" s="130"/>
      <c r="D81" s="128"/>
      <c r="E81" s="130"/>
      <c r="F81" s="130"/>
      <c r="G81" s="130"/>
      <c r="H81" s="130"/>
      <c r="I81" s="130"/>
    </row>
    <row r="82">
      <c r="A82" s="120" t="str">
        <f>'🤖 Command R+'!$A$32</f>
        <v>http://elpais.com/ccaa/2019/09/28/catalunya/1569665675_576416.html</v>
      </c>
      <c r="B82" s="121" t="s">
        <v>24</v>
      </c>
      <c r="C82" s="122" t="str">
        <f>'🤖 Command R+'!C32</f>
        <v>Base</v>
      </c>
      <c r="D82" s="165">
        <f>'🤖 Command R+'!E32</f>
        <v>0.5135135135</v>
      </c>
      <c r="E82" s="122">
        <f>'🤖 Command R+'!F32</f>
        <v>4</v>
      </c>
      <c r="F82" s="122">
        <f>'🤖 Command R+'!G32</f>
        <v>3</v>
      </c>
      <c r="G82" s="122">
        <f>'🤖 Command R+'!H32</f>
        <v>4</v>
      </c>
      <c r="H82" s="122">
        <f>'🤖 Command R+'!I32</f>
        <v>4</v>
      </c>
      <c r="I82" s="122">
        <f>'🤖 Command R+'!J32</f>
        <v>4</v>
      </c>
    </row>
    <row r="83">
      <c r="A83" s="120" t="str">
        <f>'🤖 Command R+'!$A$32</f>
        <v>http://elpais.com/ccaa/2019/09/28/catalunya/1569665675_576416.html</v>
      </c>
      <c r="B83" s="121" t="s">
        <v>24</v>
      </c>
      <c r="C83" s="122" t="str">
        <f>'🤖 Command R+'!C33</f>
        <v>CoT</v>
      </c>
      <c r="D83" s="166">
        <f>'🤖 Command R+'!E33</f>
        <v>0.4594594595</v>
      </c>
      <c r="E83" s="122">
        <f>'🤖 Command R+'!F33</f>
        <v>4</v>
      </c>
      <c r="F83" s="122">
        <f>'🤖 Command R+'!G33</f>
        <v>5</v>
      </c>
      <c r="G83" s="122">
        <f>'🤖 Command R+'!H33</f>
        <v>5</v>
      </c>
      <c r="H83" s="122">
        <f>'🤖 Command R+'!I33</f>
        <v>4</v>
      </c>
      <c r="I83" s="122">
        <f>'🤖 Command R+'!J33</f>
        <v>5</v>
      </c>
    </row>
    <row r="84">
      <c r="A84" s="120" t="str">
        <f>'🤖 Command R+'!$A$32</f>
        <v>http://elpais.com/ccaa/2019/09/28/catalunya/1569665675_576416.html</v>
      </c>
      <c r="B84" s="121" t="s">
        <v>24</v>
      </c>
      <c r="C84" s="122" t="str">
        <f>'🤖 Command R+'!C34</f>
        <v>5W1H</v>
      </c>
      <c r="D84" s="167">
        <f>'🤖 Command R+'!E34</f>
        <v>0.8486486486</v>
      </c>
      <c r="E84" s="122">
        <f>'🤖 Command R+'!F34</f>
        <v>3</v>
      </c>
      <c r="F84" s="122">
        <f>'🤖 Command R+'!G34</f>
        <v>4</v>
      </c>
      <c r="G84" s="122">
        <f>'🤖 Command R+'!H34</f>
        <v>5</v>
      </c>
      <c r="H84" s="122">
        <f>'🤖 Command R+'!I34</f>
        <v>4</v>
      </c>
      <c r="I84" s="122">
        <f>'🤖 Command R+'!J34</f>
        <v>5</v>
      </c>
    </row>
    <row r="85">
      <c r="A85" s="120" t="str">
        <f>'🤖 Command R+'!$A$32</f>
        <v>http://elpais.com/ccaa/2019/09/28/catalunya/1569665675_576416.html</v>
      </c>
      <c r="B85" s="121" t="s">
        <v>24</v>
      </c>
      <c r="C85" s="122" t="str">
        <f>'🤖 Command R+'!C35</f>
        <v>tldr</v>
      </c>
      <c r="D85" s="168">
        <f>'🤖 Command R+'!E35</f>
        <v>0.2864864865</v>
      </c>
      <c r="E85" s="122">
        <f>'🤖 Command R+'!F35</f>
        <v>4</v>
      </c>
      <c r="F85" s="122">
        <f>'🤖 Command R+'!G35</f>
        <v>3</v>
      </c>
      <c r="G85" s="122">
        <f>'🤖 Command R+'!H35</f>
        <v>5</v>
      </c>
      <c r="H85" s="122">
        <f>'🤖 Command R+'!I35</f>
        <v>5</v>
      </c>
      <c r="I85" s="122">
        <f>'🤖 Command R+'!J35</f>
        <v>4</v>
      </c>
    </row>
    <row r="86">
      <c r="A86" s="128"/>
      <c r="B86" s="129"/>
      <c r="C86" s="130"/>
      <c r="D86" s="128"/>
      <c r="E86" s="130"/>
      <c r="F86" s="130"/>
      <c r="G86" s="130"/>
      <c r="H86" s="130"/>
      <c r="I86" s="130"/>
    </row>
    <row r="87">
      <c r="A87" s="120" t="str">
        <f>'🤖 Command R+'!$A$37</f>
        <v>http://elpais.com/elpais/2019/07/17/gente/1563351601_839455.html</v>
      </c>
      <c r="B87" s="121" t="s">
        <v>24</v>
      </c>
      <c r="C87" s="122" t="str">
        <f>'🤖 Command R+'!C37</f>
        <v>Base</v>
      </c>
      <c r="D87" s="136">
        <f>'🤖 Command R+'!E37</f>
        <v>0.2112125163</v>
      </c>
      <c r="E87" s="122">
        <f>'🤖 Command R+'!F37</f>
        <v>5</v>
      </c>
      <c r="F87" s="122">
        <f>'🤖 Command R+'!G37</f>
        <v>5</v>
      </c>
      <c r="G87" s="122">
        <f>'🤖 Command R+'!H37</f>
        <v>5</v>
      </c>
      <c r="H87" s="122">
        <f>'🤖 Command R+'!I37</f>
        <v>3</v>
      </c>
      <c r="I87" s="122">
        <f>'🤖 Command R+'!J37</f>
        <v>4</v>
      </c>
    </row>
    <row r="88">
      <c r="A88" s="120" t="str">
        <f>'🤖 Command R+'!$A$37</f>
        <v>http://elpais.com/elpais/2019/07/17/gente/1563351601_839455.html</v>
      </c>
      <c r="B88" s="121" t="s">
        <v>24</v>
      </c>
      <c r="C88" s="122" t="str">
        <f>'🤖 Command R+'!C38</f>
        <v>CoT</v>
      </c>
      <c r="D88" s="131">
        <f>'🤖 Command R+'!E38</f>
        <v>0.1551499348</v>
      </c>
      <c r="E88" s="122">
        <f>'🤖 Command R+'!F38</f>
        <v>5</v>
      </c>
      <c r="F88" s="122">
        <f>'🤖 Command R+'!G38</f>
        <v>5</v>
      </c>
      <c r="G88" s="122">
        <f>'🤖 Command R+'!H38</f>
        <v>5</v>
      </c>
      <c r="H88" s="122">
        <f>'🤖 Command R+'!I38</f>
        <v>4</v>
      </c>
      <c r="I88" s="122">
        <f>'🤖 Command R+'!J38</f>
        <v>4</v>
      </c>
    </row>
    <row r="89">
      <c r="A89" s="120" t="str">
        <f>'🤖 Command R+'!$A$37</f>
        <v>http://elpais.com/elpais/2019/07/17/gente/1563351601_839455.html</v>
      </c>
      <c r="B89" s="121" t="s">
        <v>24</v>
      </c>
      <c r="C89" s="122" t="str">
        <f>'🤖 Command R+'!C39</f>
        <v>5W1H</v>
      </c>
      <c r="D89" s="136">
        <f>'🤖 Command R+'!E39</f>
        <v>0.2112125163</v>
      </c>
      <c r="E89" s="122">
        <f>'🤖 Command R+'!F39</f>
        <v>3</v>
      </c>
      <c r="F89" s="122">
        <f>'🤖 Command R+'!G39</f>
        <v>5</v>
      </c>
      <c r="G89" s="122">
        <f>'🤖 Command R+'!H39</f>
        <v>5</v>
      </c>
      <c r="H89" s="122">
        <f>'🤖 Command R+'!I39</f>
        <v>4</v>
      </c>
      <c r="I89" s="122">
        <f>'🤖 Command R+'!J39</f>
        <v>4</v>
      </c>
    </row>
    <row r="90">
      <c r="A90" s="120" t="str">
        <f>'🤖 Command R+'!$A$37</f>
        <v>http://elpais.com/elpais/2019/07/17/gente/1563351601_839455.html</v>
      </c>
      <c r="B90" s="121" t="s">
        <v>24</v>
      </c>
      <c r="C90" s="122" t="str">
        <f>'🤖 Command R+'!C40</f>
        <v>tldr</v>
      </c>
      <c r="D90" s="169">
        <f>'🤖 Command R+'!E40</f>
        <v>0.04041720991</v>
      </c>
      <c r="E90" s="122">
        <f>'🤖 Command R+'!F40</f>
        <v>4</v>
      </c>
      <c r="F90" s="122">
        <f>'🤖 Command R+'!G40</f>
        <v>4</v>
      </c>
      <c r="G90" s="122">
        <f>'🤖 Command R+'!H40</f>
        <v>5</v>
      </c>
      <c r="H90" s="122">
        <f>'🤖 Command R+'!I40</f>
        <v>5</v>
      </c>
      <c r="I90" s="122">
        <f>'🤖 Command R+'!J40</f>
        <v>2</v>
      </c>
    </row>
    <row r="91">
      <c r="A91" s="128"/>
      <c r="B91" s="129"/>
      <c r="C91" s="130"/>
      <c r="D91" s="128"/>
      <c r="E91" s="130"/>
      <c r="F91" s="130"/>
      <c r="G91" s="130"/>
      <c r="H91" s="130"/>
      <c r="I91" s="130"/>
    </row>
    <row r="92">
      <c r="A92" s="120" t="str">
        <f>'🤖 Command R+'!$A$42</f>
        <v>http://elpais.com/tecnologia/2019/08/20/actualidad/1566294736_117123.html</v>
      </c>
      <c r="B92" s="121" t="s">
        <v>24</v>
      </c>
      <c r="C92" s="122" t="str">
        <f>'🤖 Command R+'!C42</f>
        <v>Base</v>
      </c>
      <c r="D92" s="170">
        <f>'🤖 Command R+'!E42</f>
        <v>0.3295932679</v>
      </c>
      <c r="E92" s="122">
        <f>'🤖 Command R+'!F42</f>
        <v>4</v>
      </c>
      <c r="F92" s="122">
        <f>'🤖 Command R+'!G42</f>
        <v>5</v>
      </c>
      <c r="G92" s="122">
        <f>'🤖 Command R+'!H42</f>
        <v>5</v>
      </c>
      <c r="H92" s="122">
        <f>'🤖 Command R+'!I42</f>
        <v>2</v>
      </c>
      <c r="I92" s="122">
        <f>'🤖 Command R+'!J42</f>
        <v>5</v>
      </c>
    </row>
    <row r="93">
      <c r="A93" s="120" t="str">
        <f>'🤖 Command R+'!$A$42</f>
        <v>http://elpais.com/tecnologia/2019/08/20/actualidad/1566294736_117123.html</v>
      </c>
      <c r="B93" s="121" t="s">
        <v>24</v>
      </c>
      <c r="C93" s="122" t="str">
        <f>'🤖 Command R+'!C43</f>
        <v>CoT</v>
      </c>
      <c r="D93" s="171">
        <f>'🤖 Command R+'!E43</f>
        <v>0.2482468443</v>
      </c>
      <c r="E93" s="122">
        <f>'🤖 Command R+'!F43</f>
        <v>5</v>
      </c>
      <c r="F93" s="122">
        <f>'🤖 Command R+'!G43</f>
        <v>5</v>
      </c>
      <c r="G93" s="122">
        <f>'🤖 Command R+'!H43</f>
        <v>5</v>
      </c>
      <c r="H93" s="122">
        <f>'🤖 Command R+'!I43</f>
        <v>3</v>
      </c>
      <c r="I93" s="122">
        <f>'🤖 Command R+'!J43</f>
        <v>5</v>
      </c>
    </row>
    <row r="94">
      <c r="A94" s="120" t="str">
        <f>'🤖 Command R+'!$A$42</f>
        <v>http://elpais.com/tecnologia/2019/08/20/actualidad/1566294736_117123.html</v>
      </c>
      <c r="B94" s="121" t="s">
        <v>24</v>
      </c>
      <c r="C94" s="122" t="str">
        <f>'🤖 Command R+'!C44</f>
        <v>5W1H</v>
      </c>
      <c r="D94" s="172">
        <f>'🤖 Command R+'!E44</f>
        <v>0.2931276297</v>
      </c>
      <c r="E94" s="122">
        <f>'🤖 Command R+'!F44</f>
        <v>3</v>
      </c>
      <c r="F94" s="122">
        <f>'🤖 Command R+'!G44</f>
        <v>4</v>
      </c>
      <c r="G94" s="122">
        <f>'🤖 Command R+'!H44</f>
        <v>5</v>
      </c>
      <c r="H94" s="122">
        <f>'🤖 Command R+'!I44</f>
        <v>3</v>
      </c>
      <c r="I94" s="122">
        <f>'🤖 Command R+'!J44</f>
        <v>5</v>
      </c>
    </row>
    <row r="95">
      <c r="A95" s="120" t="str">
        <f>'🤖 Command R+'!$A$42</f>
        <v>http://elpais.com/tecnologia/2019/08/20/actualidad/1566294736_117123.html</v>
      </c>
      <c r="B95" s="121" t="s">
        <v>24</v>
      </c>
      <c r="C95" s="122" t="str">
        <f>'🤖 Command R+'!C45</f>
        <v>tldr</v>
      </c>
      <c r="D95" s="136">
        <f>'🤖 Command R+'!E45</f>
        <v>0.2117812062</v>
      </c>
      <c r="E95" s="122">
        <f>'🤖 Command R+'!F45</f>
        <v>4</v>
      </c>
      <c r="F95" s="122">
        <f>'🤖 Command R+'!G45</f>
        <v>5</v>
      </c>
      <c r="G95" s="122">
        <f>'🤖 Command R+'!H45</f>
        <v>5</v>
      </c>
      <c r="H95" s="122">
        <f>'🤖 Command R+'!I45</f>
        <v>3</v>
      </c>
      <c r="I95" s="122">
        <f>'🤖 Command R+'!J45</f>
        <v>5</v>
      </c>
    </row>
    <row r="96">
      <c r="A96" s="128"/>
      <c r="B96" s="129"/>
      <c r="C96" s="130"/>
      <c r="D96" s="128"/>
      <c r="E96" s="130"/>
      <c r="F96" s="130"/>
      <c r="G96" s="130"/>
      <c r="H96" s="130"/>
      <c r="I96" s="130"/>
    </row>
    <row r="97">
      <c r="A97" s="120" t="str">
        <f>'🤖 Command R+'!$A$47</f>
        <v>http://elpais.com/elpais/2019/07/05/ideas/1562335565_606827.html</v>
      </c>
      <c r="B97" s="121" t="s">
        <v>24</v>
      </c>
      <c r="C97" s="122" t="str">
        <f>'🤖 Command R+'!C47</f>
        <v>Base</v>
      </c>
      <c r="D97" s="140">
        <f>'🤖 Command R+'!E47</f>
        <v>0.08259212198</v>
      </c>
      <c r="E97" s="122">
        <f>'🤖 Command R+'!F47</f>
        <v>4</v>
      </c>
      <c r="F97" s="122">
        <f>'🤖 Command R+'!G47</f>
        <v>5</v>
      </c>
      <c r="G97" s="122">
        <f>'🤖 Command R+'!H47</f>
        <v>4</v>
      </c>
      <c r="H97" s="122">
        <f>'🤖 Command R+'!I47</f>
        <v>4</v>
      </c>
      <c r="I97" s="122">
        <f>'🤖 Command R+'!J47</f>
        <v>4</v>
      </c>
    </row>
    <row r="98">
      <c r="A98" s="120" t="str">
        <f>'🤖 Command R+'!$A$47</f>
        <v>http://elpais.com/elpais/2019/07/05/ideas/1562335565_606827.html</v>
      </c>
      <c r="B98" s="121" t="s">
        <v>24</v>
      </c>
      <c r="C98" s="122" t="str">
        <f>'🤖 Command R+'!C48</f>
        <v>CoT</v>
      </c>
      <c r="D98" s="146">
        <f>'🤖 Command R+'!E48</f>
        <v>0.1283354511</v>
      </c>
      <c r="E98" s="122">
        <f>'🤖 Command R+'!F48</f>
        <v>4</v>
      </c>
      <c r="F98" s="122">
        <f>'🤖 Command R+'!G48</f>
        <v>4</v>
      </c>
      <c r="G98" s="122">
        <f>'🤖 Command R+'!H48</f>
        <v>5</v>
      </c>
      <c r="H98" s="122">
        <f>'🤖 Command R+'!I48</f>
        <v>3</v>
      </c>
      <c r="I98" s="122">
        <f>'🤖 Command R+'!J48</f>
        <v>4</v>
      </c>
    </row>
    <row r="99">
      <c r="A99" s="120" t="str">
        <f>'🤖 Command R+'!$A$47</f>
        <v>http://elpais.com/elpais/2019/07/05/ideas/1562335565_606827.html</v>
      </c>
      <c r="B99" s="121" t="s">
        <v>24</v>
      </c>
      <c r="C99" s="122" t="str">
        <f>'🤖 Command R+'!C49</f>
        <v>5W1H</v>
      </c>
      <c r="D99" s="173">
        <f>'🤖 Command R+'!E49</f>
        <v>0.1207115629</v>
      </c>
      <c r="E99" s="122">
        <f>'🤖 Command R+'!F49</f>
        <v>3</v>
      </c>
      <c r="F99" s="122">
        <f>'🤖 Command R+'!G49</f>
        <v>5</v>
      </c>
      <c r="G99" s="122">
        <f>'🤖 Command R+'!H49</f>
        <v>5</v>
      </c>
      <c r="H99" s="122">
        <f>'🤖 Command R+'!I49</f>
        <v>4</v>
      </c>
      <c r="I99" s="122">
        <f>'🤖 Command R+'!J49</f>
        <v>4</v>
      </c>
    </row>
    <row r="100">
      <c r="A100" s="120" t="str">
        <f>'🤖 Command R+'!$A$47</f>
        <v>http://elpais.com/elpais/2019/07/05/ideas/1562335565_606827.html</v>
      </c>
      <c r="B100" s="121" t="s">
        <v>24</v>
      </c>
      <c r="C100" s="122" t="str">
        <f>'🤖 Command R+'!C50</f>
        <v>tldr</v>
      </c>
      <c r="D100" s="174">
        <f>'🤖 Command R+'!E50</f>
        <v>0.04764930114</v>
      </c>
      <c r="E100" s="122">
        <f>'🤖 Command R+'!F50</f>
        <v>4</v>
      </c>
      <c r="F100" s="122">
        <f>'🤖 Command R+'!G50</f>
        <v>5</v>
      </c>
      <c r="G100" s="122">
        <f>'🤖 Command R+'!H50</f>
        <v>5</v>
      </c>
      <c r="H100" s="122">
        <f>'🤖 Command R+'!I50</f>
        <v>5</v>
      </c>
      <c r="I100" s="122">
        <f>'🤖 Command R+'!J50</f>
        <v>4</v>
      </c>
    </row>
    <row r="101">
      <c r="A101" s="128"/>
      <c r="B101" s="129"/>
      <c r="C101" s="130"/>
      <c r="D101" s="128"/>
      <c r="E101" s="130"/>
      <c r="F101" s="130"/>
      <c r="G101" s="130"/>
      <c r="H101" s="130"/>
      <c r="I101" s="130"/>
    </row>
    <row r="102">
      <c r="A102" s="120" t="str">
        <f>'🤖 GPT 4o'!$A$2</f>
        <v>http://elpais.com/deportes/2019/08/17/actualidad/1566005143_044557.html</v>
      </c>
      <c r="B102" s="121" t="s">
        <v>25</v>
      </c>
      <c r="C102" s="122" t="str">
        <f>'🤖 GPT 4o'!C2</f>
        <v>Base</v>
      </c>
      <c r="D102" s="164">
        <f>'🤖 GPT 4o'!E2</f>
        <v>0.1414514145</v>
      </c>
      <c r="E102" s="122">
        <f>'🤖 GPT 4o'!F2</f>
        <v>5</v>
      </c>
      <c r="F102" s="122">
        <f>'🤖 GPT 4o'!G2</f>
        <v>5</v>
      </c>
      <c r="G102" s="122">
        <f>'🤖 GPT 4o'!H2</f>
        <v>5</v>
      </c>
      <c r="H102" s="122">
        <f>'🤖 GPT 4o'!I2</f>
        <v>3</v>
      </c>
      <c r="I102" s="122">
        <f>'🤖 GPT 4o'!J2</f>
        <v>5</v>
      </c>
      <c r="J102" s="12">
        <f>VLOOKUP(B102,'__lookup__'!A:B,2,FALSE)</f>
        <v>3</v>
      </c>
      <c r="K102" s="12">
        <f>VLOOKUP(C102,'__lookup__'!A:B,2,FALSE)</f>
        <v>10</v>
      </c>
    </row>
    <row r="103">
      <c r="A103" s="120" t="str">
        <f>'🤖 GPT 4o'!$A$2</f>
        <v>http://elpais.com/deportes/2019/08/17/actualidad/1566005143_044557.html</v>
      </c>
      <c r="B103" s="121" t="s">
        <v>25</v>
      </c>
      <c r="C103" s="122" t="str">
        <f>'🤖 GPT 4o'!C3</f>
        <v>CoT</v>
      </c>
      <c r="D103" s="132">
        <f>'🤖 GPT 4o'!E3</f>
        <v>0.1131611316</v>
      </c>
      <c r="E103" s="122">
        <f>'🤖 GPT 4o'!F3</f>
        <v>5</v>
      </c>
      <c r="F103" s="122">
        <f>'🤖 GPT 4o'!G3</f>
        <v>5</v>
      </c>
      <c r="G103" s="122">
        <f>'🤖 GPT 4o'!H3</f>
        <v>5</v>
      </c>
      <c r="H103" s="122">
        <f>'🤖 GPT 4o'!I3</f>
        <v>4</v>
      </c>
      <c r="I103" s="122">
        <f>'🤖 GPT 4o'!J3</f>
        <v>5</v>
      </c>
    </row>
    <row r="104">
      <c r="A104" s="120" t="str">
        <f>'🤖 GPT 4o'!$A$2</f>
        <v>http://elpais.com/deportes/2019/08/17/actualidad/1566005143_044557.html</v>
      </c>
      <c r="B104" s="121" t="s">
        <v>25</v>
      </c>
      <c r="C104" s="122" t="str">
        <f>'🤖 GPT 4o'!C4</f>
        <v>5W1H</v>
      </c>
      <c r="D104" s="175">
        <f>'🤖 GPT 4o'!E4</f>
        <v>0.1758917589</v>
      </c>
      <c r="E104" s="122">
        <f>'🤖 GPT 4o'!F4</f>
        <v>3</v>
      </c>
      <c r="F104" s="122">
        <f>'🤖 GPT 4o'!G4</f>
        <v>5</v>
      </c>
      <c r="G104" s="122">
        <f>'🤖 GPT 4o'!H4</f>
        <v>5</v>
      </c>
      <c r="H104" s="122">
        <f>'🤖 GPT 4o'!I4</f>
        <v>3</v>
      </c>
      <c r="I104" s="122">
        <f>'🤖 GPT 4o'!J4</f>
        <v>5</v>
      </c>
    </row>
    <row r="105">
      <c r="A105" s="120" t="str">
        <f>'🤖 GPT 4o'!$A$2</f>
        <v>http://elpais.com/deportes/2019/08/17/actualidad/1566005143_044557.html</v>
      </c>
      <c r="B105" s="121" t="s">
        <v>25</v>
      </c>
      <c r="C105" s="122" t="str">
        <f>'🤖 GPT 4o'!C5</f>
        <v>tldr</v>
      </c>
      <c r="D105" s="173">
        <f>'🤖 GPT 4o'!E5</f>
        <v>0.1205412054</v>
      </c>
      <c r="E105" s="122">
        <f>'🤖 GPT 4o'!F5</f>
        <v>4</v>
      </c>
      <c r="F105" s="122">
        <f>'🤖 GPT 4o'!G5</f>
        <v>5</v>
      </c>
      <c r="G105" s="122">
        <f>'🤖 GPT 4o'!H5</f>
        <v>5</v>
      </c>
      <c r="H105" s="122">
        <f>'🤖 GPT 4o'!I5</f>
        <v>4</v>
      </c>
      <c r="I105" s="122">
        <f>'🤖 GPT 4o'!J5</f>
        <v>5</v>
      </c>
    </row>
    <row r="106">
      <c r="A106" s="128"/>
      <c r="B106" s="129"/>
      <c r="C106" s="130"/>
      <c r="D106" s="128"/>
      <c r="E106" s="130"/>
      <c r="F106" s="130"/>
      <c r="G106" s="130"/>
      <c r="H106" s="130"/>
      <c r="I106" s="130"/>
    </row>
    <row r="107">
      <c r="A107" s="120" t="str">
        <f>'🤖 GPT 4o'!$A$7</f>
        <v>http://elpais.com/elpais/2019/07/10/planeta_futuro/1562757015_950583.html</v>
      </c>
      <c r="B107" s="121" t="s">
        <v>25</v>
      </c>
      <c r="C107" s="122" t="str">
        <f>'🤖 GPT 4o'!C7</f>
        <v>Base</v>
      </c>
      <c r="D107" s="176">
        <f>'🤖 GPT 4o'!E7</f>
        <v>0.1246290801</v>
      </c>
      <c r="E107" s="122">
        <f>'🤖 GPT 4o'!F7</f>
        <v>5</v>
      </c>
      <c r="F107" s="122">
        <f>'🤖 GPT 4o'!G7</f>
        <v>4</v>
      </c>
      <c r="G107" s="122">
        <f>'🤖 GPT 4o'!H7</f>
        <v>5</v>
      </c>
      <c r="H107" s="122">
        <f>'🤖 GPT 4o'!I7</f>
        <v>5</v>
      </c>
      <c r="I107" s="122">
        <f>'🤖 GPT 4o'!J7</f>
        <v>5</v>
      </c>
    </row>
    <row r="108">
      <c r="A108" s="120" t="str">
        <f>'🤖 GPT 4o'!$A$7</f>
        <v>http://elpais.com/elpais/2019/07/10/planeta_futuro/1562757015_950583.html</v>
      </c>
      <c r="B108" s="121" t="s">
        <v>25</v>
      </c>
      <c r="C108" s="122" t="str">
        <f>'🤖 GPT 4o'!C8</f>
        <v>CoT</v>
      </c>
      <c r="D108" s="173">
        <f>'🤖 GPT 4o'!E8</f>
        <v>0.115727003</v>
      </c>
      <c r="E108" s="122">
        <f>'🤖 GPT 4o'!F8</f>
        <v>5</v>
      </c>
      <c r="F108" s="122">
        <f>'🤖 GPT 4o'!G8</f>
        <v>5</v>
      </c>
      <c r="G108" s="122">
        <f>'🤖 GPT 4o'!H8</f>
        <v>5</v>
      </c>
      <c r="H108" s="122">
        <f>'🤖 GPT 4o'!I8</f>
        <v>5</v>
      </c>
      <c r="I108" s="122">
        <f>'🤖 GPT 4o'!J8</f>
        <v>5</v>
      </c>
    </row>
    <row r="109">
      <c r="A109" s="120" t="str">
        <f>'🤖 GPT 4o'!$A$7</f>
        <v>http://elpais.com/elpais/2019/07/10/planeta_futuro/1562757015_950583.html</v>
      </c>
      <c r="B109" s="121" t="s">
        <v>25</v>
      </c>
      <c r="C109" s="122" t="str">
        <f>'🤖 GPT 4o'!C9</f>
        <v>5W1H</v>
      </c>
      <c r="D109" s="177">
        <f>'🤖 GPT 4o'!E9</f>
        <v>0.1701285856</v>
      </c>
      <c r="E109" s="122">
        <f>'🤖 GPT 4o'!F9</f>
        <v>3</v>
      </c>
      <c r="F109" s="122">
        <f>'🤖 GPT 4o'!G9</f>
        <v>3</v>
      </c>
      <c r="G109" s="122">
        <f>'🤖 GPT 4o'!H9</f>
        <v>5</v>
      </c>
      <c r="H109" s="122">
        <f>'🤖 GPT 4o'!I9</f>
        <v>4</v>
      </c>
      <c r="I109" s="122">
        <f>'🤖 GPT 4o'!J9</f>
        <v>5</v>
      </c>
    </row>
    <row r="110">
      <c r="A110" s="120" t="str">
        <f>'🤖 GPT 4o'!$A$7</f>
        <v>http://elpais.com/elpais/2019/07/10/planeta_futuro/1562757015_950583.html</v>
      </c>
      <c r="B110" s="121" t="s">
        <v>25</v>
      </c>
      <c r="C110" s="122" t="str">
        <f>'🤖 GPT 4o'!C10</f>
        <v>tldr</v>
      </c>
      <c r="D110" s="178">
        <f>'🤖 GPT 4o'!E10</f>
        <v>0.137487636</v>
      </c>
      <c r="E110" s="122">
        <f>'🤖 GPT 4o'!F10</f>
        <v>4</v>
      </c>
      <c r="F110" s="122">
        <f>'🤖 GPT 4o'!G10</f>
        <v>3</v>
      </c>
      <c r="G110" s="122">
        <f>'🤖 GPT 4o'!H10</f>
        <v>5</v>
      </c>
      <c r="H110" s="122">
        <f>'🤖 GPT 4o'!I10</f>
        <v>5</v>
      </c>
      <c r="I110" s="122">
        <f>'🤖 GPT 4o'!J10</f>
        <v>5</v>
      </c>
    </row>
    <row r="111">
      <c r="A111" s="128"/>
      <c r="B111" s="129"/>
      <c r="C111" s="130"/>
      <c r="D111" s="128"/>
      <c r="E111" s="130"/>
      <c r="F111" s="130"/>
      <c r="G111" s="130"/>
      <c r="H111" s="130"/>
      <c r="I111" s="130"/>
    </row>
    <row r="112">
      <c r="A112" s="120" t="str">
        <f>'🤖 GPT 4o'!$A$12</f>
        <v>http://elpais.com/ccaa/2019/09/12/madrid/1568307703_277564.html</v>
      </c>
      <c r="B112" s="121" t="s">
        <v>25</v>
      </c>
      <c r="C112" s="122" t="str">
        <f>'🤖 GPT 4o'!C12</f>
        <v>Base</v>
      </c>
      <c r="D112" s="154">
        <f>'🤖 GPT 4o'!E12</f>
        <v>0.06973995272</v>
      </c>
      <c r="E112" s="122">
        <f>'🤖 GPT 4o'!F12</f>
        <v>4</v>
      </c>
      <c r="F112" s="122">
        <f>'🤖 GPT 4o'!G12</f>
        <v>4</v>
      </c>
      <c r="G112" s="122">
        <f>'🤖 GPT 4o'!H12</f>
        <v>5</v>
      </c>
      <c r="H112" s="122">
        <f>'🤖 GPT 4o'!I12</f>
        <v>4</v>
      </c>
      <c r="I112" s="122">
        <f>'🤖 GPT 4o'!J12</f>
        <v>5</v>
      </c>
    </row>
    <row r="113">
      <c r="A113" s="120" t="str">
        <f>'🤖 GPT 4o'!$A$12</f>
        <v>http://elpais.com/ccaa/2019/09/12/madrid/1568307703_277564.html</v>
      </c>
      <c r="B113" s="121" t="s">
        <v>25</v>
      </c>
      <c r="C113" s="122" t="str">
        <f>'🤖 GPT 4o'!C13</f>
        <v>CoT</v>
      </c>
      <c r="D113" s="135">
        <f>'🤖 GPT 4o'!E13</f>
        <v>0.0780141844</v>
      </c>
      <c r="E113" s="122">
        <f>'🤖 GPT 4o'!F13</f>
        <v>5</v>
      </c>
      <c r="F113" s="122">
        <f>'🤖 GPT 4o'!G13</f>
        <v>5</v>
      </c>
      <c r="G113" s="122">
        <f>'🤖 GPT 4o'!H13</f>
        <v>5</v>
      </c>
      <c r="H113" s="122">
        <f>'🤖 GPT 4o'!I13</f>
        <v>5</v>
      </c>
      <c r="I113" s="122">
        <f>'🤖 GPT 4o'!J13</f>
        <v>5</v>
      </c>
    </row>
    <row r="114">
      <c r="A114" s="120" t="str">
        <f>'🤖 GPT 4o'!$A$12</f>
        <v>http://elpais.com/ccaa/2019/09/12/madrid/1568307703_277564.html</v>
      </c>
      <c r="B114" s="121" t="s">
        <v>25</v>
      </c>
      <c r="C114" s="122" t="str">
        <f>'🤖 GPT 4o'!C14</f>
        <v>5W1H</v>
      </c>
      <c r="D114" s="134">
        <f>'🤖 GPT 4o'!E14</f>
        <v>0.09869976359</v>
      </c>
      <c r="E114" s="122">
        <f>'🤖 GPT 4o'!F14</f>
        <v>3</v>
      </c>
      <c r="F114" s="122">
        <f>'🤖 GPT 4o'!G14</f>
        <v>5</v>
      </c>
      <c r="G114" s="122">
        <f>'🤖 GPT 4o'!H14</f>
        <v>5</v>
      </c>
      <c r="H114" s="122">
        <f>'🤖 GPT 4o'!I14</f>
        <v>4</v>
      </c>
      <c r="I114" s="122">
        <f>'🤖 GPT 4o'!J14</f>
        <v>5</v>
      </c>
    </row>
    <row r="115">
      <c r="A115" s="120" t="str">
        <f>'🤖 GPT 4o'!$A$12</f>
        <v>http://elpais.com/ccaa/2019/09/12/madrid/1568307703_277564.html</v>
      </c>
      <c r="B115" s="121" t="s">
        <v>25</v>
      </c>
      <c r="C115" s="122" t="str">
        <f>'🤖 GPT 4o'!C15</f>
        <v>tldr</v>
      </c>
      <c r="D115" s="139">
        <f>'🤖 GPT 4o'!E15</f>
        <v>0.06501182033</v>
      </c>
      <c r="E115" s="122">
        <f>'🤖 GPT 4o'!F15</f>
        <v>4</v>
      </c>
      <c r="F115" s="122">
        <f>'🤖 GPT 4o'!G15</f>
        <v>5</v>
      </c>
      <c r="G115" s="122">
        <f>'🤖 GPT 4o'!H15</f>
        <v>5</v>
      </c>
      <c r="H115" s="122">
        <f>'🤖 GPT 4o'!I15</f>
        <v>5</v>
      </c>
      <c r="I115" s="122">
        <f>'🤖 GPT 4o'!J15</f>
        <v>4</v>
      </c>
    </row>
    <row r="116">
      <c r="A116" s="128"/>
      <c r="B116" s="129"/>
      <c r="C116" s="130"/>
      <c r="D116" s="128"/>
      <c r="E116" s="130"/>
      <c r="F116" s="130"/>
      <c r="G116" s="130"/>
      <c r="H116" s="130"/>
      <c r="I116" s="130"/>
    </row>
    <row r="117">
      <c r="A117" s="120" t="str">
        <f>'🤖 GPT 4o'!$A$17</f>
        <v>http://elpais.com/deportes/2019/08/10/actualidad/1565426201_075062.html</v>
      </c>
      <c r="B117" s="121" t="s">
        <v>25</v>
      </c>
      <c r="C117" s="122" t="str">
        <f>'🤖 GPT 4o'!C17</f>
        <v>Base</v>
      </c>
      <c r="D117" s="164">
        <f>'🤖 GPT 4o'!E17</f>
        <v>0.1422475107</v>
      </c>
      <c r="E117" s="122">
        <f>'🤖 GPT 4o'!F17</f>
        <v>5</v>
      </c>
      <c r="F117" s="122">
        <f>'🤖 GPT 4o'!G17</f>
        <v>5</v>
      </c>
      <c r="G117" s="122">
        <f>'🤖 GPT 4o'!H17</f>
        <v>5</v>
      </c>
      <c r="H117" s="122">
        <f>'🤖 GPT 4o'!I17</f>
        <v>4</v>
      </c>
      <c r="I117" s="122">
        <f>'🤖 GPT 4o'!J17</f>
        <v>3</v>
      </c>
    </row>
    <row r="118">
      <c r="A118" s="120" t="str">
        <f>'🤖 GPT 4o'!$A$17</f>
        <v>http://elpais.com/deportes/2019/08/10/actualidad/1565426201_075062.html</v>
      </c>
      <c r="B118" s="121" t="s">
        <v>25</v>
      </c>
      <c r="C118" s="122" t="str">
        <f>'🤖 GPT 4o'!C18</f>
        <v>CoT</v>
      </c>
      <c r="D118" s="137">
        <f>'🤖 GPT 4o'!E18</f>
        <v>0.2034139403</v>
      </c>
      <c r="E118" s="122">
        <f>'🤖 GPT 4o'!F18</f>
        <v>5</v>
      </c>
      <c r="F118" s="122">
        <f>'🤖 GPT 4o'!G18</f>
        <v>5</v>
      </c>
      <c r="G118" s="122">
        <f>'🤖 GPT 4o'!H18</f>
        <v>4</v>
      </c>
      <c r="H118" s="122">
        <f>'🤖 GPT 4o'!I18</f>
        <v>4</v>
      </c>
      <c r="I118" s="122">
        <f>'🤖 GPT 4o'!J18</f>
        <v>5</v>
      </c>
    </row>
    <row r="119">
      <c r="A119" s="120" t="str">
        <f>'🤖 GPT 4o'!$A$17</f>
        <v>http://elpais.com/deportes/2019/08/10/actualidad/1565426201_075062.html</v>
      </c>
      <c r="B119" s="121" t="s">
        <v>25</v>
      </c>
      <c r="C119" s="122" t="str">
        <f>'🤖 GPT 4o'!C19</f>
        <v>5W1H</v>
      </c>
      <c r="D119" s="175">
        <f>'🤖 GPT 4o'!E19</f>
        <v>0.1749644381</v>
      </c>
      <c r="E119" s="122">
        <f>'🤖 GPT 4o'!F19</f>
        <v>3</v>
      </c>
      <c r="F119" s="122">
        <f>'🤖 GPT 4o'!G19</f>
        <v>4</v>
      </c>
      <c r="G119" s="122">
        <f>'🤖 GPT 4o'!H19</f>
        <v>5</v>
      </c>
      <c r="H119" s="122">
        <f>'🤖 GPT 4o'!I19</f>
        <v>5</v>
      </c>
      <c r="I119" s="122">
        <f>'🤖 GPT 4o'!J19</f>
        <v>5</v>
      </c>
    </row>
    <row r="120">
      <c r="A120" s="120" t="str">
        <f>'🤖 GPT 4o'!$A$17</f>
        <v>http://elpais.com/deportes/2019/08/10/actualidad/1565426201_075062.html</v>
      </c>
      <c r="B120" s="121" t="s">
        <v>25</v>
      </c>
      <c r="C120" s="122" t="str">
        <f>'🤖 GPT 4o'!C20</f>
        <v>tldr</v>
      </c>
      <c r="D120" s="178">
        <f>'🤖 GPT 4o'!E20</f>
        <v>0.1379800853</v>
      </c>
      <c r="E120" s="122">
        <f>'🤖 GPT 4o'!F20</f>
        <v>5</v>
      </c>
      <c r="F120" s="122">
        <f>'🤖 GPT 4o'!G20</f>
        <v>4</v>
      </c>
      <c r="G120" s="122">
        <f>'🤖 GPT 4o'!H20</f>
        <v>5</v>
      </c>
      <c r="H120" s="122">
        <f>'🤖 GPT 4o'!I20</f>
        <v>5</v>
      </c>
      <c r="I120" s="122">
        <f>'🤖 GPT 4o'!J20</f>
        <v>4</v>
      </c>
    </row>
    <row r="121">
      <c r="A121" s="128"/>
      <c r="B121" s="129"/>
      <c r="C121" s="130"/>
      <c r="D121" s="128"/>
      <c r="E121" s="130"/>
      <c r="F121" s="130"/>
      <c r="G121" s="130"/>
      <c r="H121" s="130"/>
      <c r="I121" s="130"/>
    </row>
    <row r="122">
      <c r="A122" s="120" t="str">
        <f>'🤖 GPT 4o'!$A$22</f>
        <v>http://elpais.com/elpais/2019/07/11/gente/1562866782_776897.html</v>
      </c>
      <c r="B122" s="121" t="s">
        <v>25</v>
      </c>
      <c r="C122" s="122" t="str">
        <f>'🤖 GPT 4o'!C22</f>
        <v>Base</v>
      </c>
      <c r="D122" s="148">
        <f>'🤖 GPT 4o'!E22</f>
        <v>0.1605471562</v>
      </c>
      <c r="E122" s="122">
        <f>'🤖 GPT 4o'!F22</f>
        <v>5</v>
      </c>
      <c r="F122" s="122">
        <f>'🤖 GPT 4o'!G22</f>
        <v>5</v>
      </c>
      <c r="G122" s="122">
        <f>'🤖 GPT 4o'!H22</f>
        <v>5</v>
      </c>
      <c r="H122" s="122">
        <f>'🤖 GPT 4o'!I22</f>
        <v>3</v>
      </c>
      <c r="I122" s="122">
        <f>'🤖 GPT 4o'!J22</f>
        <v>5</v>
      </c>
    </row>
    <row r="123">
      <c r="A123" s="120" t="str">
        <f>'🤖 GPT 4o'!$A$22</f>
        <v>http://elpais.com/elpais/2019/07/11/gente/1562866782_776897.html</v>
      </c>
      <c r="B123" s="121" t="s">
        <v>25</v>
      </c>
      <c r="C123" s="122" t="str">
        <f>'🤖 GPT 4o'!C23</f>
        <v>CoT</v>
      </c>
      <c r="D123" s="179">
        <f>'🤖 GPT 4o'!E23</f>
        <v>0.07631389489</v>
      </c>
      <c r="E123" s="122">
        <f>'🤖 GPT 4o'!F23</f>
        <v>5</v>
      </c>
      <c r="F123" s="122">
        <f>'🤖 GPT 4o'!G23</f>
        <v>5</v>
      </c>
      <c r="G123" s="122">
        <f>'🤖 GPT 4o'!H23</f>
        <v>5</v>
      </c>
      <c r="H123" s="122">
        <f>'🤖 GPT 4o'!I23</f>
        <v>4</v>
      </c>
      <c r="I123" s="122">
        <f>'🤖 GPT 4o'!J23</f>
        <v>4</v>
      </c>
    </row>
    <row r="124">
      <c r="A124" s="120" t="str">
        <f>'🤖 GPT 4o'!$A$22</f>
        <v>http://elpais.com/elpais/2019/07/11/gente/1562866782_776897.html</v>
      </c>
      <c r="B124" s="121" t="s">
        <v>25</v>
      </c>
      <c r="C124" s="122" t="str">
        <f>'🤖 GPT 4o'!C24</f>
        <v>5W1H</v>
      </c>
      <c r="D124" s="132">
        <f>'🤖 GPT 4o'!E24</f>
        <v>0.1094312455</v>
      </c>
      <c r="E124" s="122">
        <f>'🤖 GPT 4o'!F24</f>
        <v>3</v>
      </c>
      <c r="F124" s="122">
        <f>'🤖 GPT 4o'!G24</f>
        <v>5</v>
      </c>
      <c r="G124" s="122">
        <f>'🤖 GPT 4o'!H24</f>
        <v>5</v>
      </c>
      <c r="H124" s="122">
        <f>'🤖 GPT 4o'!I24</f>
        <v>4</v>
      </c>
      <c r="I124" s="122">
        <f>'🤖 GPT 4o'!J24</f>
        <v>3</v>
      </c>
    </row>
    <row r="125">
      <c r="A125" s="120" t="str">
        <f>'🤖 GPT 4o'!$A$22</f>
        <v>http://elpais.com/elpais/2019/07/11/gente/1562866782_776897.html</v>
      </c>
      <c r="B125" s="121" t="s">
        <v>25</v>
      </c>
      <c r="C125" s="122" t="str">
        <f>'🤖 GPT 4o'!C25</f>
        <v>tldr</v>
      </c>
      <c r="D125" s="179">
        <f>'🤖 GPT 4o'!E25</f>
        <v>0.07631389489</v>
      </c>
      <c r="E125" s="122">
        <f>'🤖 GPT 4o'!F25</f>
        <v>5</v>
      </c>
      <c r="F125" s="122">
        <f>'🤖 GPT 4o'!G25</f>
        <v>5</v>
      </c>
      <c r="G125" s="122">
        <f>'🤖 GPT 4o'!H25</f>
        <v>5</v>
      </c>
      <c r="H125" s="122">
        <f>'🤖 GPT 4o'!I25</f>
        <v>4</v>
      </c>
      <c r="I125" s="122">
        <f>'🤖 GPT 4o'!J25</f>
        <v>5</v>
      </c>
    </row>
    <row r="126">
      <c r="A126" s="128"/>
      <c r="B126" s="129"/>
      <c r="C126" s="130"/>
      <c r="D126" s="128"/>
      <c r="E126" s="130"/>
      <c r="F126" s="130"/>
      <c r="G126" s="130"/>
      <c r="H126" s="130"/>
      <c r="I126" s="130"/>
    </row>
    <row r="127">
      <c r="A127" s="120" t="str">
        <f>'🤖 GPT 4o'!$A$27</f>
        <v>http://elpais.com/elpais/2019/07/19/ciencia/1563535714_854872.html</v>
      </c>
      <c r="B127" s="121" t="s">
        <v>25</v>
      </c>
      <c r="C127" s="122" t="str">
        <f>'🤖 GPT 4o'!C27</f>
        <v>Base</v>
      </c>
      <c r="D127" s="180">
        <f>'🤖 GPT 4o'!E27</f>
        <v>0.3468208092</v>
      </c>
      <c r="E127" s="122">
        <f>'🤖 GPT 4o'!F27</f>
        <v>5</v>
      </c>
      <c r="F127" s="122">
        <f>'🤖 GPT 4o'!G27</f>
        <v>5</v>
      </c>
      <c r="G127" s="122">
        <f>'🤖 GPT 4o'!H27</f>
        <v>5</v>
      </c>
      <c r="H127" s="122">
        <f>'🤖 GPT 4o'!I27</f>
        <v>4</v>
      </c>
      <c r="I127" s="122">
        <f>'🤖 GPT 4o'!J27</f>
        <v>5</v>
      </c>
    </row>
    <row r="128">
      <c r="A128" s="120" t="str">
        <f>'🤖 GPT 4o'!$A$27</f>
        <v>http://elpais.com/elpais/2019/07/19/ciencia/1563535714_854872.html</v>
      </c>
      <c r="B128" s="121" t="s">
        <v>25</v>
      </c>
      <c r="C128" s="122" t="str">
        <f>'🤖 GPT 4o'!C28</f>
        <v>CoT</v>
      </c>
      <c r="D128" s="172">
        <f>'🤖 GPT 4o'!E28</f>
        <v>0.2947976879</v>
      </c>
      <c r="E128" s="122">
        <f>'🤖 GPT 4o'!F28</f>
        <v>5</v>
      </c>
      <c r="F128" s="122">
        <f>'🤖 GPT 4o'!G28</f>
        <v>5</v>
      </c>
      <c r="G128" s="122">
        <f>'🤖 GPT 4o'!H28</f>
        <v>5</v>
      </c>
      <c r="H128" s="122">
        <f>'🤖 GPT 4o'!I28</f>
        <v>5</v>
      </c>
      <c r="I128" s="122">
        <f>'🤖 GPT 4o'!J28</f>
        <v>5</v>
      </c>
    </row>
    <row r="129">
      <c r="A129" s="120" t="str">
        <f>'🤖 GPT 4o'!$A$27</f>
        <v>http://elpais.com/elpais/2019/07/19/ciencia/1563535714_854872.html</v>
      </c>
      <c r="B129" s="121" t="s">
        <v>25</v>
      </c>
      <c r="C129" s="122" t="str">
        <f>'🤖 GPT 4o'!C29</f>
        <v>5W1H</v>
      </c>
      <c r="D129" s="181">
        <f>'🤖 GPT 4o'!E29</f>
        <v>0.2793834297</v>
      </c>
      <c r="E129" s="122">
        <f>'🤖 GPT 4o'!F29</f>
        <v>3</v>
      </c>
      <c r="F129" s="122">
        <f>'🤖 GPT 4o'!G29</f>
        <v>5</v>
      </c>
      <c r="G129" s="122">
        <f>'🤖 GPT 4o'!H29</f>
        <v>5</v>
      </c>
      <c r="H129" s="122">
        <f>'🤖 GPT 4o'!I29</f>
        <v>4</v>
      </c>
      <c r="I129" s="122">
        <f>'🤖 GPT 4o'!J29</f>
        <v>4</v>
      </c>
    </row>
    <row r="130">
      <c r="A130" s="120" t="str">
        <f>'🤖 GPT 4o'!$A$27</f>
        <v>http://elpais.com/elpais/2019/07/19/ciencia/1563535714_854872.html</v>
      </c>
      <c r="B130" s="121" t="s">
        <v>25</v>
      </c>
      <c r="C130" s="122" t="str">
        <f>'🤖 GPT 4o'!C30</f>
        <v>tldr</v>
      </c>
      <c r="D130" s="182">
        <f>'🤖 GPT 4o'!E30</f>
        <v>0.1926782274</v>
      </c>
      <c r="E130" s="122">
        <f>'🤖 GPT 4o'!F30</f>
        <v>4</v>
      </c>
      <c r="F130" s="122">
        <f>'🤖 GPT 4o'!G30</f>
        <v>5</v>
      </c>
      <c r="G130" s="122">
        <f>'🤖 GPT 4o'!H30</f>
        <v>5</v>
      </c>
      <c r="H130" s="122">
        <f>'🤖 GPT 4o'!I30</f>
        <v>4</v>
      </c>
      <c r="I130" s="122">
        <f>'🤖 GPT 4o'!J30</f>
        <v>4</v>
      </c>
    </row>
    <row r="131">
      <c r="A131" s="128"/>
      <c r="B131" s="129"/>
      <c r="C131" s="130"/>
      <c r="D131" s="128"/>
      <c r="E131" s="130"/>
      <c r="F131" s="130"/>
      <c r="G131" s="130"/>
      <c r="H131" s="130"/>
      <c r="I131" s="130"/>
    </row>
    <row r="132">
      <c r="A132" s="120" t="str">
        <f>'🤖 GPT 4o'!$A$32</f>
        <v>http://elpais.com/ccaa/2019/09/28/catalunya/1569665675_576416.html</v>
      </c>
      <c r="B132" s="121" t="s">
        <v>25</v>
      </c>
      <c r="C132" s="122" t="str">
        <f>'🤖 GPT 4o'!C32</f>
        <v>Base</v>
      </c>
      <c r="D132" s="183">
        <f>'🤖 GPT 4o'!E32</f>
        <v>0.5243243243</v>
      </c>
      <c r="E132" s="122">
        <f>'🤖 GPT 4o'!F32</f>
        <v>4</v>
      </c>
      <c r="F132" s="122">
        <f>'🤖 GPT 4o'!G32</f>
        <v>5</v>
      </c>
      <c r="G132" s="122">
        <f>'🤖 GPT 4o'!H32</f>
        <v>5</v>
      </c>
      <c r="H132" s="122">
        <f>'🤖 GPT 4o'!I32</f>
        <v>4</v>
      </c>
      <c r="I132" s="122">
        <f>'🤖 GPT 4o'!J32</f>
        <v>5</v>
      </c>
    </row>
    <row r="133">
      <c r="A133" s="120" t="str">
        <f>'🤖 GPT 4o'!$A$32</f>
        <v>http://elpais.com/ccaa/2019/09/28/catalunya/1569665675_576416.html</v>
      </c>
      <c r="B133" s="121" t="s">
        <v>25</v>
      </c>
      <c r="C133" s="122" t="str">
        <f>'🤖 GPT 4o'!C33</f>
        <v>CoT</v>
      </c>
      <c r="D133" s="184">
        <f>'🤖 GPT 4o'!E33</f>
        <v>0.5459459459</v>
      </c>
      <c r="E133" s="122">
        <f>'🤖 GPT 4o'!F33</f>
        <v>4</v>
      </c>
      <c r="F133" s="122">
        <f>'🤖 GPT 4o'!G33</f>
        <v>5</v>
      </c>
      <c r="G133" s="122">
        <f>'🤖 GPT 4o'!H33</f>
        <v>5</v>
      </c>
      <c r="H133" s="122">
        <f>'🤖 GPT 4o'!I33</f>
        <v>4</v>
      </c>
      <c r="I133" s="122">
        <f>'🤖 GPT 4o'!J33</f>
        <v>5</v>
      </c>
    </row>
    <row r="134">
      <c r="A134" s="120" t="str">
        <f>'🤖 GPT 4o'!$A$32</f>
        <v>http://elpais.com/ccaa/2019/09/28/catalunya/1569665675_576416.html</v>
      </c>
      <c r="B134" s="121" t="s">
        <v>25</v>
      </c>
      <c r="C134" s="122" t="str">
        <f>'🤖 GPT 4o'!C34</f>
        <v>5W1H</v>
      </c>
      <c r="D134" s="185">
        <f>'🤖 GPT 4o'!E34</f>
        <v>0.6594594595</v>
      </c>
      <c r="E134" s="122">
        <f>'🤖 GPT 4o'!F34</f>
        <v>3</v>
      </c>
      <c r="F134" s="122">
        <f>'🤖 GPT 4o'!G34</f>
        <v>5</v>
      </c>
      <c r="G134" s="122">
        <f>'🤖 GPT 4o'!H34</f>
        <v>5</v>
      </c>
      <c r="H134" s="122">
        <f>'🤖 GPT 4o'!I34</f>
        <v>3</v>
      </c>
      <c r="I134" s="122">
        <f>'🤖 GPT 4o'!J34</f>
        <v>5</v>
      </c>
    </row>
    <row r="135">
      <c r="A135" s="120" t="str">
        <f>'🤖 GPT 4o'!$A$32</f>
        <v>http://elpais.com/ccaa/2019/09/28/catalunya/1569665675_576416.html</v>
      </c>
      <c r="B135" s="121" t="s">
        <v>25</v>
      </c>
      <c r="C135" s="122" t="str">
        <f>'🤖 GPT 4o'!C35</f>
        <v>tldr</v>
      </c>
      <c r="D135" s="186">
        <f>'🤖 GPT 4o'!E35</f>
        <v>0.3243243243</v>
      </c>
      <c r="E135" s="122">
        <f>'🤖 GPT 4o'!F35</f>
        <v>4</v>
      </c>
      <c r="F135" s="122">
        <f>'🤖 GPT 4o'!G35</f>
        <v>5</v>
      </c>
      <c r="G135" s="122">
        <f>'🤖 GPT 4o'!H35</f>
        <v>5</v>
      </c>
      <c r="H135" s="122">
        <f>'🤖 GPT 4o'!I35</f>
        <v>5</v>
      </c>
      <c r="I135" s="122">
        <f>'🤖 GPT 4o'!J35</f>
        <v>4</v>
      </c>
    </row>
    <row r="136">
      <c r="A136" s="128"/>
      <c r="B136" s="129"/>
      <c r="C136" s="130"/>
      <c r="D136" s="128"/>
      <c r="E136" s="130"/>
      <c r="F136" s="130"/>
      <c r="G136" s="130"/>
      <c r="H136" s="130"/>
      <c r="I136" s="130"/>
    </row>
    <row r="137">
      <c r="A137" s="120" t="str">
        <f>'🤖 GPT 4o'!$A$37</f>
        <v>http://elpais.com/elpais/2019/07/17/gente/1563351601_839455.html</v>
      </c>
      <c r="B137" s="121" t="s">
        <v>25</v>
      </c>
      <c r="C137" s="122" t="str">
        <f>'🤖 GPT 4o'!C37</f>
        <v>Base</v>
      </c>
      <c r="D137" s="149">
        <f>'🤖 GPT 4o'!E37</f>
        <v>0.1460234681</v>
      </c>
      <c r="E137" s="122">
        <f>'🤖 GPT 4o'!F37</f>
        <v>4</v>
      </c>
      <c r="F137" s="122">
        <f>'🤖 GPT 4o'!G37</f>
        <v>5</v>
      </c>
      <c r="G137" s="122">
        <f>'🤖 GPT 4o'!H37</f>
        <v>5</v>
      </c>
      <c r="H137" s="122">
        <f>'🤖 GPT 4o'!I37</f>
        <v>4</v>
      </c>
      <c r="I137" s="122">
        <f>'🤖 GPT 4o'!J37</f>
        <v>4</v>
      </c>
    </row>
    <row r="138">
      <c r="A138" s="120" t="str">
        <f>'🤖 GPT 4o'!$A$37</f>
        <v>http://elpais.com/elpais/2019/07/17/gente/1563351601_839455.html</v>
      </c>
      <c r="B138" s="121" t="s">
        <v>25</v>
      </c>
      <c r="C138" s="122" t="str">
        <f>'🤖 GPT 4o'!C38</f>
        <v>CoT</v>
      </c>
      <c r="D138" s="146">
        <f>'🤖 GPT 4o'!E38</f>
        <v>0.1277705346</v>
      </c>
      <c r="E138" s="122">
        <f>'🤖 GPT 4o'!F38</f>
        <v>4</v>
      </c>
      <c r="F138" s="122">
        <f>'🤖 GPT 4o'!G38</f>
        <v>5</v>
      </c>
      <c r="G138" s="122">
        <f>'🤖 GPT 4o'!H38</f>
        <v>5</v>
      </c>
      <c r="H138" s="122">
        <f>'🤖 GPT 4o'!I38</f>
        <v>4</v>
      </c>
      <c r="I138" s="122">
        <f>'🤖 GPT 4o'!J38</f>
        <v>3</v>
      </c>
    </row>
    <row r="139">
      <c r="A139" s="120" t="str">
        <f>'🤖 GPT 4o'!$A$37</f>
        <v>http://elpais.com/elpais/2019/07/17/gente/1563351601_839455.html</v>
      </c>
      <c r="B139" s="121" t="s">
        <v>25</v>
      </c>
      <c r="C139" s="122" t="str">
        <f>'🤖 GPT 4o'!C39</f>
        <v>5W1H</v>
      </c>
      <c r="D139" s="151">
        <f>'🤖 GPT 4o'!E39</f>
        <v>0.186440678</v>
      </c>
      <c r="E139" s="122">
        <f>'🤖 GPT 4o'!F39</f>
        <v>3</v>
      </c>
      <c r="F139" s="122">
        <f>'🤖 GPT 4o'!G39</f>
        <v>5</v>
      </c>
      <c r="G139" s="122">
        <f>'🤖 GPT 4o'!H39</f>
        <v>5</v>
      </c>
      <c r="H139" s="122">
        <f>'🤖 GPT 4o'!I39</f>
        <v>4</v>
      </c>
      <c r="I139" s="122">
        <f>'🤖 GPT 4o'!J39</f>
        <v>3</v>
      </c>
    </row>
    <row r="140">
      <c r="A140" s="120" t="str">
        <f>'🤖 GPT 4o'!$A$37</f>
        <v>http://elpais.com/elpais/2019/07/17/gente/1563351601_839455.html</v>
      </c>
      <c r="B140" s="121" t="s">
        <v>25</v>
      </c>
      <c r="C140" s="122" t="str">
        <f>'🤖 GPT 4o'!C40</f>
        <v>tldr</v>
      </c>
      <c r="D140" s="173">
        <f>'🤖 GPT 4o'!E40</f>
        <v>0.1160365059</v>
      </c>
      <c r="E140" s="122">
        <f>'🤖 GPT 4o'!F40</f>
        <v>4</v>
      </c>
      <c r="F140" s="122">
        <f>'🤖 GPT 4o'!G40</f>
        <v>3</v>
      </c>
      <c r="G140" s="122">
        <f>'🤖 GPT 4o'!H40</f>
        <v>5</v>
      </c>
      <c r="H140" s="122">
        <f>'🤖 GPT 4o'!I40</f>
        <v>4</v>
      </c>
      <c r="I140" s="122">
        <f>'🤖 GPT 4o'!J40</f>
        <v>3</v>
      </c>
    </row>
    <row r="141">
      <c r="A141" s="128"/>
      <c r="B141" s="129"/>
      <c r="C141" s="130"/>
      <c r="D141" s="128"/>
      <c r="E141" s="130"/>
      <c r="F141" s="130"/>
      <c r="G141" s="130"/>
      <c r="H141" s="130"/>
      <c r="I141" s="130"/>
    </row>
    <row r="142">
      <c r="A142" s="120" t="str">
        <f>'🤖 GPT 4o'!$A$42</f>
        <v>http://elpais.com/tecnologia/2019/08/20/actualidad/1566294736_117123.html</v>
      </c>
      <c r="B142" s="121" t="s">
        <v>25</v>
      </c>
      <c r="C142" s="122" t="str">
        <f>'🤖 GPT 4o'!C42</f>
        <v>Base</v>
      </c>
      <c r="D142" s="187">
        <f>'🤖 GPT 4o'!E42</f>
        <v>0.3211781206</v>
      </c>
      <c r="E142" s="122">
        <f>'🤖 GPT 4o'!F42</f>
        <v>3</v>
      </c>
      <c r="F142" s="122">
        <f>'🤖 GPT 4o'!G42</f>
        <v>5</v>
      </c>
      <c r="G142" s="122">
        <f>'🤖 GPT 4o'!H42</f>
        <v>5</v>
      </c>
      <c r="H142" s="122">
        <f>'🤖 GPT 4o'!I42</f>
        <v>3</v>
      </c>
      <c r="I142" s="122">
        <f>'🤖 GPT 4o'!J42</f>
        <v>5</v>
      </c>
    </row>
    <row r="143">
      <c r="A143" s="120" t="str">
        <f>'🤖 GPT 4o'!$A$42</f>
        <v>http://elpais.com/tecnologia/2019/08/20/actualidad/1566294736_117123.html</v>
      </c>
      <c r="B143" s="121" t="s">
        <v>25</v>
      </c>
      <c r="C143" s="122" t="str">
        <f>'🤖 GPT 4o'!C43</f>
        <v>CoT</v>
      </c>
      <c r="D143" s="188">
        <f>'🤖 GPT 4o'!E43</f>
        <v>0.2917251052</v>
      </c>
      <c r="E143" s="122">
        <f>'🤖 GPT 4o'!F43</f>
        <v>3</v>
      </c>
      <c r="F143" s="122">
        <f>'🤖 GPT 4o'!G43</f>
        <v>5</v>
      </c>
      <c r="G143" s="122">
        <f>'🤖 GPT 4o'!H43</f>
        <v>5</v>
      </c>
      <c r="H143" s="122">
        <f>'🤖 GPT 4o'!I43</f>
        <v>3</v>
      </c>
      <c r="I143" s="122">
        <f>'🤖 GPT 4o'!J43</f>
        <v>5</v>
      </c>
    </row>
    <row r="144">
      <c r="A144" s="120" t="str">
        <f>'🤖 GPT 4o'!$A$42</f>
        <v>http://elpais.com/tecnologia/2019/08/20/actualidad/1566294736_117123.html</v>
      </c>
      <c r="B144" s="121" t="s">
        <v>25</v>
      </c>
      <c r="C144" s="122" t="str">
        <f>'🤖 GPT 4o'!C44</f>
        <v>5W1H</v>
      </c>
      <c r="D144" s="189">
        <f>'🤖 GPT 4o'!E44</f>
        <v>0.2356241234</v>
      </c>
      <c r="E144" s="122">
        <f>'🤖 GPT 4o'!F44</f>
        <v>3</v>
      </c>
      <c r="F144" s="122">
        <f>'🤖 GPT 4o'!G44</f>
        <v>4</v>
      </c>
      <c r="G144" s="122">
        <f>'🤖 GPT 4o'!H44</f>
        <v>5</v>
      </c>
      <c r="H144" s="122">
        <f>'🤖 GPT 4o'!I44</f>
        <v>4</v>
      </c>
      <c r="I144" s="122">
        <f>'🤖 GPT 4o'!J44</f>
        <v>5</v>
      </c>
    </row>
    <row r="145">
      <c r="A145" s="120" t="str">
        <f>'🤖 GPT 4o'!$A$42</f>
        <v>http://elpais.com/tecnologia/2019/08/20/actualidad/1566294736_117123.html</v>
      </c>
      <c r="B145" s="121" t="s">
        <v>25</v>
      </c>
      <c r="C145" s="122" t="str">
        <f>'🤖 GPT 4o'!C45</f>
        <v>tldr</v>
      </c>
      <c r="D145" s="164">
        <f>'🤖 GPT 4o'!E45</f>
        <v>0.1402524544</v>
      </c>
      <c r="E145" s="122">
        <f>'🤖 GPT 4o'!F45</f>
        <v>4</v>
      </c>
      <c r="F145" s="122">
        <f>'🤖 GPT 4o'!G45</f>
        <v>4</v>
      </c>
      <c r="G145" s="122">
        <f>'🤖 GPT 4o'!H45</f>
        <v>5</v>
      </c>
      <c r="H145" s="122">
        <f>'🤖 GPT 4o'!I45</f>
        <v>4</v>
      </c>
      <c r="I145" s="122">
        <f>'🤖 GPT 4o'!J45</f>
        <v>5</v>
      </c>
    </row>
    <row r="146">
      <c r="A146" s="128"/>
      <c r="B146" s="129"/>
      <c r="C146" s="130"/>
      <c r="D146" s="128"/>
      <c r="E146" s="130"/>
      <c r="F146" s="130"/>
      <c r="G146" s="130"/>
      <c r="H146" s="130"/>
      <c r="I146" s="130"/>
    </row>
    <row r="147">
      <c r="A147" s="120" t="str">
        <f>'🤖 GPT 4o'!$A$47</f>
        <v>http://elpais.com/elpais/2019/07/05/ideas/1562335565_606827.html</v>
      </c>
      <c r="B147" s="121" t="s">
        <v>25</v>
      </c>
      <c r="C147" s="122" t="str">
        <f>'🤖 GPT 4o'!C47</f>
        <v>Base</v>
      </c>
      <c r="D147" s="148">
        <f>'🤖 GPT 4o'!E47</f>
        <v>0.1588310038</v>
      </c>
      <c r="E147" s="122">
        <f>'🤖 GPT 4o'!F47</f>
        <v>5</v>
      </c>
      <c r="F147" s="122">
        <f>'🤖 GPT 4o'!G47</f>
        <v>5</v>
      </c>
      <c r="G147" s="122">
        <f>'🤖 GPT 4o'!H47</f>
        <v>5</v>
      </c>
      <c r="H147" s="122">
        <f>'🤖 GPT 4o'!I47</f>
        <v>3</v>
      </c>
      <c r="I147" s="122">
        <f>'🤖 GPT 4o'!J47</f>
        <v>4</v>
      </c>
    </row>
    <row r="148">
      <c r="A148" s="120" t="str">
        <f>'🤖 GPT 4o'!$A$47</f>
        <v>http://elpais.com/elpais/2019/07/05/ideas/1562335565_606827.html</v>
      </c>
      <c r="B148" s="121" t="s">
        <v>25</v>
      </c>
      <c r="C148" s="122" t="str">
        <f>'🤖 GPT 4o'!C48</f>
        <v>CoT</v>
      </c>
      <c r="D148" s="179">
        <f>'🤖 GPT 4o'!E48</f>
        <v>0.07687420584</v>
      </c>
      <c r="E148" s="122">
        <f>'🤖 GPT 4o'!F48</f>
        <v>5</v>
      </c>
      <c r="F148" s="122">
        <f>'🤖 GPT 4o'!G48</f>
        <v>5</v>
      </c>
      <c r="G148" s="122">
        <f>'🤖 GPT 4o'!H48</f>
        <v>5</v>
      </c>
      <c r="H148" s="122">
        <f>'🤖 GPT 4o'!I48</f>
        <v>5</v>
      </c>
      <c r="I148" s="122">
        <f>'🤖 GPT 4o'!J48</f>
        <v>4</v>
      </c>
    </row>
    <row r="149">
      <c r="A149" s="120" t="str">
        <f>'🤖 GPT 4o'!$A$47</f>
        <v>http://elpais.com/elpais/2019/07/05/ideas/1562335565_606827.html</v>
      </c>
      <c r="B149" s="121" t="s">
        <v>25</v>
      </c>
      <c r="C149" s="122" t="str">
        <f>'🤖 GPT 4o'!C49</f>
        <v>5W1H</v>
      </c>
      <c r="D149" s="134">
        <f>'🤖 GPT 4o'!E49</f>
        <v>0.0959339263</v>
      </c>
      <c r="E149" s="122">
        <f>'🤖 GPT 4o'!F49</f>
        <v>3</v>
      </c>
      <c r="F149" s="122">
        <f>'🤖 GPT 4o'!G49</f>
        <v>5</v>
      </c>
      <c r="G149" s="122">
        <f>'🤖 GPT 4o'!H49</f>
        <v>5</v>
      </c>
      <c r="H149" s="122">
        <f>'🤖 GPT 4o'!I49</f>
        <v>5</v>
      </c>
      <c r="I149" s="122">
        <f>'🤖 GPT 4o'!J49</f>
        <v>4</v>
      </c>
    </row>
    <row r="150">
      <c r="A150" s="120" t="str">
        <f>'🤖 GPT 4o'!$A$47</f>
        <v>http://elpais.com/elpais/2019/07/05/ideas/1562335565_606827.html</v>
      </c>
      <c r="B150" s="121" t="s">
        <v>25</v>
      </c>
      <c r="C150" s="122" t="str">
        <f>'🤖 GPT 4o'!C50</f>
        <v>tldr</v>
      </c>
      <c r="D150" s="190">
        <f>'🤖 GPT 4o'!E50</f>
        <v>0.06226175349</v>
      </c>
      <c r="E150" s="122">
        <f>'🤖 GPT 4o'!F50</f>
        <v>5</v>
      </c>
      <c r="F150" s="122">
        <f>'🤖 GPT 4o'!G50</f>
        <v>5</v>
      </c>
      <c r="G150" s="122">
        <f>'🤖 GPT 4o'!H50</f>
        <v>5</v>
      </c>
      <c r="H150" s="122">
        <f>'🤖 GPT 4o'!I50</f>
        <v>5</v>
      </c>
      <c r="I150" s="122">
        <f>'🤖 GPT 4o'!J50</f>
        <v>4</v>
      </c>
    </row>
    <row r="151">
      <c r="A151" s="128"/>
      <c r="B151" s="129"/>
      <c r="C151" s="130"/>
      <c r="D151" s="128"/>
      <c r="E151" s="130"/>
      <c r="F151" s="130"/>
      <c r="G151" s="130"/>
      <c r="H151" s="130"/>
      <c r="I151" s="130"/>
    </row>
    <row r="152">
      <c r="A152" s="120" t="str">
        <f>'🤖 Reka Core'!$A$2</f>
        <v>http://elpais.com/deportes/2019/08/17/actualidad/1566005143_044557.html</v>
      </c>
      <c r="B152" s="121" t="s">
        <v>26</v>
      </c>
      <c r="C152" s="122" t="str">
        <f>'🤖 Reka Core'!C2</f>
        <v>Base</v>
      </c>
      <c r="D152" s="178">
        <f>'🤖 Reka Core'!E2</f>
        <v>0.1377613776</v>
      </c>
      <c r="E152" s="122">
        <f>'🤖 Reka Core'!F2</f>
        <v>4</v>
      </c>
      <c r="F152" s="122">
        <f>'🤖 Reka Core'!G2</f>
        <v>5</v>
      </c>
      <c r="G152" s="122">
        <f>'🤖 Reka Core'!H2</f>
        <v>5</v>
      </c>
      <c r="H152" s="122">
        <f>'🤖 Reka Core'!I2</f>
        <v>3</v>
      </c>
      <c r="I152" s="122">
        <f>'🤖 Reka Core'!J2</f>
        <v>5</v>
      </c>
    </row>
    <row r="153">
      <c r="A153" s="120" t="str">
        <f>'🤖 Reka Core'!$A$2</f>
        <v>http://elpais.com/deportes/2019/08/17/actualidad/1566005143_044557.html</v>
      </c>
      <c r="B153" s="121" t="s">
        <v>26</v>
      </c>
      <c r="C153" s="122" t="str">
        <f>'🤖 Reka Core'!C3</f>
        <v>CoT</v>
      </c>
      <c r="D153" s="178">
        <f>'🤖 Reka Core'!E3</f>
        <v>0.1377613776</v>
      </c>
      <c r="E153" s="122">
        <f>'🤖 Reka Core'!F3</f>
        <v>4</v>
      </c>
      <c r="F153" s="122">
        <f>'🤖 Reka Core'!G3</f>
        <v>5</v>
      </c>
      <c r="G153" s="122">
        <f>'🤖 Reka Core'!H3</f>
        <v>5</v>
      </c>
      <c r="H153" s="122">
        <f>'🤖 Reka Core'!I3</f>
        <v>3</v>
      </c>
      <c r="I153" s="122">
        <f>'🤖 Reka Core'!J3</f>
        <v>5</v>
      </c>
    </row>
    <row r="154">
      <c r="A154" s="120" t="str">
        <f>'🤖 Reka Core'!$A$2</f>
        <v>http://elpais.com/deportes/2019/08/17/actualidad/1566005143_044557.html</v>
      </c>
      <c r="B154" s="121" t="s">
        <v>26</v>
      </c>
      <c r="C154" s="122" t="str">
        <f>'🤖 Reka Core'!C4</f>
        <v>5W1H</v>
      </c>
      <c r="D154" s="191">
        <f>'🤖 Reka Core'!E4</f>
        <v>0.2226322263</v>
      </c>
      <c r="E154" s="122">
        <f>'🤖 Reka Core'!F4</f>
        <v>3</v>
      </c>
      <c r="F154" s="122">
        <f>'🤖 Reka Core'!G4</f>
        <v>3</v>
      </c>
      <c r="G154" s="122">
        <f>'🤖 Reka Core'!H4</f>
        <v>4</v>
      </c>
      <c r="H154" s="122">
        <f>'🤖 Reka Core'!I4</f>
        <v>3</v>
      </c>
      <c r="I154" s="122">
        <f>'🤖 Reka Core'!J4</f>
        <v>5</v>
      </c>
    </row>
    <row r="155">
      <c r="A155" s="120" t="str">
        <f>'🤖 Reka Core'!$A$2</f>
        <v>http://elpais.com/deportes/2019/08/17/actualidad/1566005143_044557.html</v>
      </c>
      <c r="B155" s="121" t="s">
        <v>26</v>
      </c>
      <c r="C155" s="122" t="str">
        <f>'🤖 Reka Core'!C5</f>
        <v>tldr</v>
      </c>
      <c r="D155" s="164">
        <f>'🤖 Reka Core'!E5</f>
        <v>0.1402214022</v>
      </c>
      <c r="E155" s="122">
        <f>'🤖 Reka Core'!F5</f>
        <v>4</v>
      </c>
      <c r="F155" s="122">
        <f>'🤖 Reka Core'!G5</f>
        <v>5</v>
      </c>
      <c r="G155" s="122">
        <f>'🤖 Reka Core'!H5</f>
        <v>5</v>
      </c>
      <c r="H155" s="122">
        <f>'🤖 Reka Core'!I5</f>
        <v>4</v>
      </c>
      <c r="I155" s="122">
        <f>'🤖 Reka Core'!J5</f>
        <v>5</v>
      </c>
    </row>
    <row r="156">
      <c r="A156" s="128"/>
      <c r="B156" s="129"/>
      <c r="C156" s="130"/>
      <c r="D156" s="128"/>
      <c r="E156" s="130"/>
      <c r="F156" s="130"/>
      <c r="G156" s="130"/>
      <c r="H156" s="130"/>
      <c r="I156" s="130"/>
    </row>
    <row r="157">
      <c r="A157" s="120" t="str">
        <f>'🤖 Reka Core'!$A$7</f>
        <v>http://elpais.com/elpais/2019/07/10/planeta_futuro/1562757015_950583.html</v>
      </c>
      <c r="B157" s="192" t="s">
        <v>26</v>
      </c>
      <c r="C157" s="122" t="str">
        <f>'🤖 Reka Core'!C7</f>
        <v>Base</v>
      </c>
      <c r="D157" s="152">
        <f>'🤖 Reka Core'!E7</f>
        <v>0.1473788328</v>
      </c>
      <c r="E157" s="193">
        <f>'🤖 Reka Core'!F7</f>
        <v>4</v>
      </c>
      <c r="F157" s="193">
        <f>'🤖 Reka Core'!G7</f>
        <v>3</v>
      </c>
      <c r="G157" s="193">
        <f>'🤖 Reka Core'!H7</f>
        <v>5</v>
      </c>
      <c r="H157" s="193">
        <f>'🤖 Reka Core'!I7</f>
        <v>5</v>
      </c>
      <c r="I157" s="193">
        <f>'🤖 Reka Core'!J7</f>
        <v>5</v>
      </c>
    </row>
    <row r="158">
      <c r="A158" s="120" t="str">
        <f>'🤖 Reka Core'!$A$7</f>
        <v>http://elpais.com/elpais/2019/07/10/planeta_futuro/1562757015_950583.html</v>
      </c>
      <c r="B158" s="192" t="s">
        <v>26</v>
      </c>
      <c r="C158" s="122" t="str">
        <f>'🤖 Reka Core'!C8</f>
        <v>CoT</v>
      </c>
      <c r="D158" s="164">
        <f>'🤖 Reka Core'!E8</f>
        <v>0.1424332344</v>
      </c>
      <c r="E158" s="193">
        <f>'🤖 Reka Core'!F8</f>
        <v>4</v>
      </c>
      <c r="F158" s="193">
        <f>'🤖 Reka Core'!G8</f>
        <v>3</v>
      </c>
      <c r="G158" s="193">
        <f>'🤖 Reka Core'!H8</f>
        <v>5</v>
      </c>
      <c r="H158" s="193">
        <f>'🤖 Reka Core'!I8</f>
        <v>5</v>
      </c>
      <c r="I158" s="193">
        <f>'🤖 Reka Core'!J8</f>
        <v>3</v>
      </c>
    </row>
    <row r="159">
      <c r="A159" s="120" t="str">
        <f>'🤖 Reka Core'!$A$7</f>
        <v>http://elpais.com/elpais/2019/07/10/planeta_futuro/1562757015_950583.html</v>
      </c>
      <c r="B159" s="192" t="s">
        <v>26</v>
      </c>
      <c r="C159" s="122" t="str">
        <f>'🤖 Reka Core'!C9</f>
        <v>5W1H</v>
      </c>
      <c r="D159" s="194">
        <f>'🤖 Reka Core'!E9</f>
        <v>0.1790306627</v>
      </c>
      <c r="E159" s="193">
        <f>'🤖 Reka Core'!F9</f>
        <v>3</v>
      </c>
      <c r="F159" s="193">
        <f>'🤖 Reka Core'!G9</f>
        <v>3</v>
      </c>
      <c r="G159" s="193">
        <f>'🤖 Reka Core'!H9</f>
        <v>5</v>
      </c>
      <c r="H159" s="193">
        <f>'🤖 Reka Core'!I9</f>
        <v>5</v>
      </c>
      <c r="I159" s="193">
        <f>'🤖 Reka Core'!J9</f>
        <v>5</v>
      </c>
    </row>
    <row r="160">
      <c r="A160" s="120" t="str">
        <f>'🤖 Reka Core'!$A$7</f>
        <v>http://elpais.com/elpais/2019/07/10/planeta_futuro/1562757015_950583.html</v>
      </c>
      <c r="B160" s="192" t="s">
        <v>26</v>
      </c>
      <c r="C160" s="122" t="str">
        <f>'🤖 Reka Core'!C10</f>
        <v>tldr</v>
      </c>
      <c r="D160" s="134">
        <f>'🤖 Reka Core'!E10</f>
        <v>0.09297725025</v>
      </c>
      <c r="E160" s="193">
        <f>'🤖 Reka Core'!F10</f>
        <v>4</v>
      </c>
      <c r="F160" s="193">
        <f>'🤖 Reka Core'!G10</f>
        <v>4</v>
      </c>
      <c r="G160" s="193">
        <f>'🤖 Reka Core'!H10</f>
        <v>5</v>
      </c>
      <c r="H160" s="193">
        <f>'🤖 Reka Core'!I10</f>
        <v>5</v>
      </c>
      <c r="I160" s="193">
        <f>'🤖 Reka Core'!J10</f>
        <v>3</v>
      </c>
    </row>
    <row r="161">
      <c r="A161" s="128"/>
      <c r="B161" s="128"/>
      <c r="C161" s="130"/>
      <c r="D161" s="128"/>
      <c r="E161" s="79"/>
      <c r="F161" s="79"/>
      <c r="G161" s="79"/>
      <c r="H161" s="79"/>
      <c r="I161" s="79"/>
    </row>
    <row r="162">
      <c r="A162" s="120" t="str">
        <f>'🤖 Reka Core'!$A$12</f>
        <v>http://elpais.com/ccaa/2019/09/12/madrid/1568307703_277564.html</v>
      </c>
      <c r="B162" s="192" t="s">
        <v>26</v>
      </c>
      <c r="C162" s="122" t="str">
        <f>'🤖 Reka Core'!C12</f>
        <v>Base</v>
      </c>
      <c r="D162" s="153">
        <f>'🤖 Reka Core'!E12</f>
        <v>0.1063829787</v>
      </c>
      <c r="E162" s="193">
        <f>'🤖 Reka Core'!F12</f>
        <v>4</v>
      </c>
      <c r="F162" s="193">
        <f>'🤖 Reka Core'!G12</f>
        <v>5</v>
      </c>
      <c r="G162" s="193">
        <f>'🤖 Reka Core'!H12</f>
        <v>5</v>
      </c>
      <c r="H162" s="193">
        <f>'🤖 Reka Core'!I12</f>
        <v>4</v>
      </c>
      <c r="I162" s="193">
        <f>'🤖 Reka Core'!J12</f>
        <v>3</v>
      </c>
    </row>
    <row r="163">
      <c r="A163" s="120" t="str">
        <f>'🤖 Reka Core'!$A$12</f>
        <v>http://elpais.com/ccaa/2019/09/12/madrid/1568307703_277564.html</v>
      </c>
      <c r="B163" s="192" t="s">
        <v>26</v>
      </c>
      <c r="C163" s="122" t="str">
        <f>'🤖 Reka Core'!C13</f>
        <v>CoT</v>
      </c>
      <c r="D163" s="140">
        <f>'🤖 Reka Core'!E13</f>
        <v>0.08156028369</v>
      </c>
      <c r="E163" s="193">
        <f>'🤖 Reka Core'!F13</f>
        <v>4</v>
      </c>
      <c r="F163" s="193">
        <f>'🤖 Reka Core'!G13</f>
        <v>5</v>
      </c>
      <c r="G163" s="193">
        <f>'🤖 Reka Core'!H13</f>
        <v>5</v>
      </c>
      <c r="H163" s="193">
        <f>'🤖 Reka Core'!I13</f>
        <v>3</v>
      </c>
      <c r="I163" s="193">
        <f>'🤖 Reka Core'!J13</f>
        <v>3</v>
      </c>
    </row>
    <row r="164">
      <c r="A164" s="120" t="str">
        <f>'🤖 Reka Core'!$A$12</f>
        <v>http://elpais.com/ccaa/2019/09/12/madrid/1568307703_277564.html</v>
      </c>
      <c r="B164" s="192" t="s">
        <v>26</v>
      </c>
      <c r="C164" s="122" t="str">
        <f>'🤖 Reka Core'!C14</f>
        <v>5W1H</v>
      </c>
      <c r="D164" s="139">
        <f>'🤖 Reka Core'!E14</f>
        <v>0.06501182033</v>
      </c>
      <c r="E164" s="193">
        <f>'🤖 Reka Core'!F14</f>
        <v>3</v>
      </c>
      <c r="F164" s="193">
        <f>'🤖 Reka Core'!G14</f>
        <v>4</v>
      </c>
      <c r="G164" s="193">
        <f>'🤖 Reka Core'!H14</f>
        <v>5</v>
      </c>
      <c r="H164" s="193">
        <f>'🤖 Reka Core'!I14</f>
        <v>5</v>
      </c>
      <c r="I164" s="193">
        <f>'🤖 Reka Core'!J14</f>
        <v>4</v>
      </c>
    </row>
    <row r="165">
      <c r="A165" s="120" t="str">
        <f>'🤖 Reka Core'!$A$12</f>
        <v>http://elpais.com/ccaa/2019/09/12/madrid/1568307703_277564.html</v>
      </c>
      <c r="B165" s="192" t="s">
        <v>26</v>
      </c>
      <c r="C165" s="122" t="str">
        <f>'🤖 Reka Core'!C15</f>
        <v>tldr</v>
      </c>
      <c r="D165" s="195">
        <f>'🤖 Reka Core'!E15</f>
        <v>0.0585106383</v>
      </c>
      <c r="E165" s="193">
        <f>'🤖 Reka Core'!F15</f>
        <v>4</v>
      </c>
      <c r="F165" s="193">
        <f>'🤖 Reka Core'!G15</f>
        <v>3</v>
      </c>
      <c r="G165" s="193">
        <f>'🤖 Reka Core'!H15</f>
        <v>4</v>
      </c>
      <c r="H165" s="193">
        <f>'🤖 Reka Core'!I15</f>
        <v>5</v>
      </c>
      <c r="I165" s="193">
        <f>'🤖 Reka Core'!J15</f>
        <v>3</v>
      </c>
    </row>
    <row r="166">
      <c r="A166" s="128"/>
      <c r="B166" s="128"/>
      <c r="C166" s="130"/>
      <c r="D166" s="128"/>
      <c r="E166" s="79"/>
      <c r="F166" s="79"/>
      <c r="G166" s="79"/>
      <c r="H166" s="79"/>
      <c r="I166" s="79"/>
    </row>
    <row r="167">
      <c r="A167" s="120" t="str">
        <f>'🤖 Reka Core'!$A$17</f>
        <v>http://elpais.com/deportes/2019/08/10/actualidad/1565426201_075062.html</v>
      </c>
      <c r="B167" s="192" t="s">
        <v>26</v>
      </c>
      <c r="C167" s="122" t="str">
        <f>'🤖 Reka Core'!C17</f>
        <v>Base</v>
      </c>
      <c r="D167" s="160">
        <f>'🤖 Reka Core'!E17</f>
        <v>0.1351351351</v>
      </c>
      <c r="E167" s="193">
        <f>'🤖 Reka Core'!F17</f>
        <v>4</v>
      </c>
      <c r="F167" s="193">
        <f>'🤖 Reka Core'!G17</f>
        <v>4</v>
      </c>
      <c r="G167" s="193">
        <f>'🤖 Reka Core'!H17</f>
        <v>5</v>
      </c>
      <c r="H167" s="193">
        <f>'🤖 Reka Core'!I17</f>
        <v>5</v>
      </c>
      <c r="I167" s="193">
        <f>'🤖 Reka Core'!J17</f>
        <v>4</v>
      </c>
    </row>
    <row r="168">
      <c r="A168" s="120" t="str">
        <f>'🤖 Reka Core'!$A$17</f>
        <v>http://elpais.com/deportes/2019/08/10/actualidad/1565426201_075062.html</v>
      </c>
      <c r="B168" s="192" t="s">
        <v>26</v>
      </c>
      <c r="C168" s="122" t="str">
        <f>'🤖 Reka Core'!C18</f>
        <v>CoT</v>
      </c>
      <c r="D168" s="161">
        <f>'🤖 Reka Core'!E18</f>
        <v>0.1223328592</v>
      </c>
      <c r="E168" s="193">
        <f>'🤖 Reka Core'!F18</f>
        <v>4</v>
      </c>
      <c r="F168" s="193">
        <f>'🤖 Reka Core'!G18</f>
        <v>5</v>
      </c>
      <c r="G168" s="193">
        <f>'🤖 Reka Core'!H18</f>
        <v>5</v>
      </c>
      <c r="H168" s="193">
        <f>'🤖 Reka Core'!I18</f>
        <v>5</v>
      </c>
      <c r="I168" s="193">
        <f>'🤖 Reka Core'!J18</f>
        <v>4</v>
      </c>
    </row>
    <row r="169">
      <c r="A169" s="120" t="str">
        <f>'🤖 Reka Core'!$A$17</f>
        <v>http://elpais.com/deportes/2019/08/10/actualidad/1565426201_075062.html</v>
      </c>
      <c r="B169" s="192" t="s">
        <v>26</v>
      </c>
      <c r="C169" s="122" t="str">
        <f>'🤖 Reka Core'!C19</f>
        <v>5W1H</v>
      </c>
      <c r="D169" s="123">
        <f>'🤖 Reka Core'!E19</f>
        <v>0.1934566145</v>
      </c>
      <c r="E169" s="193">
        <f>'🤖 Reka Core'!F19</f>
        <v>3</v>
      </c>
      <c r="F169" s="193">
        <f>'🤖 Reka Core'!G19</f>
        <v>3</v>
      </c>
      <c r="G169" s="193">
        <f>'🤖 Reka Core'!H19</f>
        <v>5</v>
      </c>
      <c r="H169" s="193">
        <f>'🤖 Reka Core'!I19</f>
        <v>5</v>
      </c>
      <c r="I169" s="193">
        <f>'🤖 Reka Core'!J19</f>
        <v>5</v>
      </c>
    </row>
    <row r="170">
      <c r="A170" s="120" t="str">
        <f>'🤖 Reka Core'!$A$17</f>
        <v>http://elpais.com/deportes/2019/08/10/actualidad/1565426201_075062.html</v>
      </c>
      <c r="B170" s="192" t="s">
        <v>26</v>
      </c>
      <c r="C170" s="122" t="str">
        <f>'🤖 Reka Core'!C20</f>
        <v>tldr</v>
      </c>
      <c r="D170" s="148">
        <f>'🤖 Reka Core'!E20</f>
        <v>0.1593172119</v>
      </c>
      <c r="E170" s="193">
        <f>'🤖 Reka Core'!F20</f>
        <v>4</v>
      </c>
      <c r="F170" s="193">
        <f>'🤖 Reka Core'!G20</f>
        <v>5</v>
      </c>
      <c r="G170" s="193">
        <f>'🤖 Reka Core'!H20</f>
        <v>5</v>
      </c>
      <c r="H170" s="193">
        <f>'🤖 Reka Core'!I20</f>
        <v>5</v>
      </c>
      <c r="I170" s="193">
        <f>'🤖 Reka Core'!J20</f>
        <v>4</v>
      </c>
    </row>
    <row r="171">
      <c r="A171" s="128"/>
      <c r="B171" s="128"/>
      <c r="C171" s="130"/>
      <c r="D171" s="128"/>
      <c r="E171" s="79"/>
      <c r="F171" s="79"/>
      <c r="G171" s="79"/>
      <c r="H171" s="79"/>
      <c r="I171" s="79"/>
    </row>
    <row r="172">
      <c r="A172" s="120" t="str">
        <f>'🤖 Reka Core'!$A$22</f>
        <v>http://elpais.com/elpais/2019/07/11/gente/1562866782_776897.html</v>
      </c>
      <c r="B172" s="192" t="s">
        <v>26</v>
      </c>
      <c r="C172" s="122" t="str">
        <f>'🤖 Reka Core'!C22</f>
        <v>Base</v>
      </c>
      <c r="D172" s="196">
        <f>'🤖 Reka Core'!E22</f>
        <v>0.1144708423</v>
      </c>
      <c r="E172" s="193">
        <f>'🤖 Reka Core'!F22</f>
        <v>5</v>
      </c>
      <c r="F172" s="193">
        <f>'🤖 Reka Core'!G22</f>
        <v>5</v>
      </c>
      <c r="G172" s="193">
        <f>'🤖 Reka Core'!H22</f>
        <v>5</v>
      </c>
      <c r="H172" s="193">
        <f>'🤖 Reka Core'!I22</f>
        <v>4</v>
      </c>
      <c r="I172" s="193">
        <f>'🤖 Reka Core'!J22</f>
        <v>4</v>
      </c>
    </row>
    <row r="173">
      <c r="A173" s="120" t="str">
        <f>'🤖 Reka Core'!$A$22</f>
        <v>http://elpais.com/elpais/2019/07/11/gente/1562866782_776897.html</v>
      </c>
      <c r="B173" s="192" t="s">
        <v>26</v>
      </c>
      <c r="C173" s="122" t="str">
        <f>'🤖 Reka Core'!C23</f>
        <v>CoT</v>
      </c>
      <c r="D173" s="155">
        <f>'🤖 Reka Core'!E23</f>
        <v>0.08351331893</v>
      </c>
      <c r="E173" s="193">
        <f>'🤖 Reka Core'!F23</f>
        <v>4</v>
      </c>
      <c r="F173" s="193">
        <f>'🤖 Reka Core'!G23</f>
        <v>5</v>
      </c>
      <c r="G173" s="193">
        <f>'🤖 Reka Core'!H23</f>
        <v>5</v>
      </c>
      <c r="H173" s="193">
        <f>'🤖 Reka Core'!I23</f>
        <v>4</v>
      </c>
      <c r="I173" s="193">
        <f>'🤖 Reka Core'!J23</f>
        <v>2</v>
      </c>
    </row>
    <row r="174">
      <c r="A174" s="120" t="str">
        <f>'🤖 Reka Core'!$A$22</f>
        <v>http://elpais.com/elpais/2019/07/11/gente/1562866782_776897.html</v>
      </c>
      <c r="B174" s="192" t="s">
        <v>26</v>
      </c>
      <c r="C174" s="122" t="str">
        <f>'🤖 Reka Core'!C24</f>
        <v>5W1H</v>
      </c>
      <c r="D174" s="132">
        <f>'🤖 Reka Core'!E24</f>
        <v>0.1094312455</v>
      </c>
      <c r="E174" s="193">
        <f>'🤖 Reka Core'!F24</f>
        <v>3</v>
      </c>
      <c r="F174" s="193">
        <f>'🤖 Reka Core'!G24</f>
        <v>5</v>
      </c>
      <c r="G174" s="193">
        <f>'🤖 Reka Core'!H24</f>
        <v>5</v>
      </c>
      <c r="H174" s="193">
        <f>'🤖 Reka Core'!I24</f>
        <v>4</v>
      </c>
      <c r="I174" s="193">
        <f>'🤖 Reka Core'!J24</f>
        <v>3</v>
      </c>
    </row>
    <row r="175">
      <c r="A175" s="120" t="str">
        <f>'🤖 Reka Core'!$A$22</f>
        <v>http://elpais.com/elpais/2019/07/11/gente/1562866782_776897.html</v>
      </c>
      <c r="B175" s="192" t="s">
        <v>26</v>
      </c>
      <c r="C175" s="122" t="str">
        <f>'🤖 Reka Core'!C25</f>
        <v>tldr</v>
      </c>
      <c r="D175" s="197">
        <f>'🤖 Reka Core'!E25</f>
        <v>0.1072714183</v>
      </c>
      <c r="E175" s="193">
        <f>'🤖 Reka Core'!F25</f>
        <v>4</v>
      </c>
      <c r="F175" s="193">
        <f>'🤖 Reka Core'!G25</f>
        <v>5</v>
      </c>
      <c r="G175" s="193">
        <f>'🤖 Reka Core'!H25</f>
        <v>5</v>
      </c>
      <c r="H175" s="193">
        <f>'🤖 Reka Core'!I25</f>
        <v>4</v>
      </c>
      <c r="I175" s="193">
        <f>'🤖 Reka Core'!J25</f>
        <v>4</v>
      </c>
    </row>
    <row r="176">
      <c r="A176" s="128"/>
      <c r="B176" s="128"/>
      <c r="C176" s="130"/>
      <c r="D176" s="128"/>
      <c r="E176" s="79"/>
      <c r="F176" s="79"/>
      <c r="G176" s="79"/>
      <c r="H176" s="79"/>
      <c r="I176" s="79"/>
    </row>
    <row r="177">
      <c r="A177" s="120" t="str">
        <f>'🤖 Reka Core'!$A$27</f>
        <v>http://elpais.com/elpais/2019/07/19/ciencia/1563535714_854872.html</v>
      </c>
      <c r="B177" s="192" t="s">
        <v>26</v>
      </c>
      <c r="C177" s="122" t="str">
        <f>'🤖 Reka Core'!C27</f>
        <v>Base</v>
      </c>
      <c r="D177" s="198">
        <f>'🤖 Reka Core'!E27</f>
        <v>0.344894027</v>
      </c>
      <c r="E177" s="193">
        <f>'🤖 Reka Core'!F27</f>
        <v>5</v>
      </c>
      <c r="F177" s="193">
        <f>'🤖 Reka Core'!G27</f>
        <v>5</v>
      </c>
      <c r="G177" s="193">
        <f>'🤖 Reka Core'!H27</f>
        <v>5</v>
      </c>
      <c r="H177" s="193">
        <f>'🤖 Reka Core'!I27</f>
        <v>4</v>
      </c>
      <c r="I177" s="193">
        <f>'🤖 Reka Core'!J27</f>
        <v>5</v>
      </c>
    </row>
    <row r="178">
      <c r="A178" s="120" t="str">
        <f>'🤖 Reka Core'!$A$27</f>
        <v>http://elpais.com/elpais/2019/07/19/ciencia/1563535714_854872.html</v>
      </c>
      <c r="B178" s="192" t="s">
        <v>26</v>
      </c>
      <c r="C178" s="122" t="str">
        <f>'🤖 Reka Core'!C28</f>
        <v>CoT</v>
      </c>
      <c r="D178" s="189">
        <f>'🤖 Reka Core'!E28</f>
        <v>0.2350674374</v>
      </c>
      <c r="E178" s="193">
        <f>'🤖 Reka Core'!F28</f>
        <v>5</v>
      </c>
      <c r="F178" s="193">
        <f>'🤖 Reka Core'!G28</f>
        <v>4</v>
      </c>
      <c r="G178" s="193">
        <f>'🤖 Reka Core'!H28</f>
        <v>5</v>
      </c>
      <c r="H178" s="193">
        <f>'🤖 Reka Core'!I28</f>
        <v>4</v>
      </c>
      <c r="I178" s="193">
        <f>'🤖 Reka Core'!J28</f>
        <v>4</v>
      </c>
    </row>
    <row r="179">
      <c r="A179" s="120" t="str">
        <f>'🤖 Reka Core'!$A$27</f>
        <v>http://elpais.com/elpais/2019/07/19/ciencia/1563535714_854872.html</v>
      </c>
      <c r="B179" s="192" t="s">
        <v>26</v>
      </c>
      <c r="C179" s="122" t="str">
        <f>'🤖 Reka Core'!C29</f>
        <v>5W1H</v>
      </c>
      <c r="D179" s="199">
        <f>'🤖 Reka Core'!E29</f>
        <v>0.3776493256</v>
      </c>
      <c r="E179" s="193">
        <f>'🤖 Reka Core'!F29</f>
        <v>3</v>
      </c>
      <c r="F179" s="193">
        <f>'🤖 Reka Core'!G29</f>
        <v>2</v>
      </c>
      <c r="G179" s="193">
        <f>'🤖 Reka Core'!H29</f>
        <v>5</v>
      </c>
      <c r="H179" s="193">
        <f>'🤖 Reka Core'!I29</f>
        <v>4</v>
      </c>
      <c r="I179" s="193">
        <f>'🤖 Reka Core'!J29</f>
        <v>4</v>
      </c>
    </row>
    <row r="180">
      <c r="A180" s="120" t="str">
        <f>'🤖 Reka Core'!$A$27</f>
        <v>http://elpais.com/elpais/2019/07/19/ciencia/1563535714_854872.html</v>
      </c>
      <c r="B180" s="192" t="s">
        <v>26</v>
      </c>
      <c r="C180" s="122" t="str">
        <f>'🤖 Reka Core'!C30</f>
        <v>tldr</v>
      </c>
      <c r="D180" s="200">
        <f>'🤖 Reka Core'!E30</f>
        <v>0.2292870906</v>
      </c>
      <c r="E180" s="193">
        <f>'🤖 Reka Core'!F30</f>
        <v>4</v>
      </c>
      <c r="F180" s="193">
        <f>'🤖 Reka Core'!G30</f>
        <v>5</v>
      </c>
      <c r="G180" s="193">
        <f>'🤖 Reka Core'!H30</f>
        <v>5</v>
      </c>
      <c r="H180" s="193">
        <f>'🤖 Reka Core'!I30</f>
        <v>4</v>
      </c>
      <c r="I180" s="193">
        <f>'🤖 Reka Core'!J30</f>
        <v>4</v>
      </c>
    </row>
    <row r="181">
      <c r="A181" s="128"/>
      <c r="B181" s="128"/>
      <c r="C181" s="130"/>
      <c r="D181" s="128"/>
      <c r="E181" s="79"/>
      <c r="F181" s="79"/>
      <c r="G181" s="79"/>
      <c r="H181" s="79"/>
      <c r="I181" s="79"/>
    </row>
    <row r="182">
      <c r="A182" s="120" t="str">
        <f>'🤖 Reka Core'!$A$32</f>
        <v>http://elpais.com/ccaa/2019/09/28/catalunya/1569665675_576416.html</v>
      </c>
      <c r="B182" s="192" t="s">
        <v>26</v>
      </c>
      <c r="C182" s="122" t="str">
        <f>'🤖 Reka Core'!C32</f>
        <v>Base</v>
      </c>
      <c r="D182" s="165">
        <f>'🤖 Reka Core'!E32</f>
        <v>0.5135135135</v>
      </c>
      <c r="E182" s="193">
        <f>'🤖 Reka Core'!F32</f>
        <v>4</v>
      </c>
      <c r="F182" s="193">
        <f>'🤖 Reka Core'!G32</f>
        <v>4</v>
      </c>
      <c r="G182" s="193">
        <f>'🤖 Reka Core'!H32</f>
        <v>4</v>
      </c>
      <c r="H182" s="193">
        <f>'🤖 Reka Core'!I32</f>
        <v>4</v>
      </c>
      <c r="I182" s="193">
        <f>'🤖 Reka Core'!J32</f>
        <v>4</v>
      </c>
    </row>
    <row r="183">
      <c r="A183" s="120" t="str">
        <f>'🤖 Reka Core'!$A$32</f>
        <v>http://elpais.com/ccaa/2019/09/28/catalunya/1569665675_576416.html</v>
      </c>
      <c r="B183" s="192" t="s">
        <v>26</v>
      </c>
      <c r="C183" s="122" t="str">
        <f>'🤖 Reka Core'!C33</f>
        <v>CoT</v>
      </c>
      <c r="D183" s="201">
        <f>'🤖 Reka Core'!E33</f>
        <v>0.5351351351</v>
      </c>
      <c r="E183" s="193">
        <f>'🤖 Reka Core'!F33</f>
        <v>4</v>
      </c>
      <c r="F183" s="193">
        <f>'🤖 Reka Core'!G33</f>
        <v>5</v>
      </c>
      <c r="G183" s="193">
        <f>'🤖 Reka Core'!H33</f>
        <v>5</v>
      </c>
      <c r="H183" s="193">
        <f>'🤖 Reka Core'!I33</f>
        <v>4</v>
      </c>
      <c r="I183" s="193">
        <f>'🤖 Reka Core'!J33</f>
        <v>4</v>
      </c>
    </row>
    <row r="184">
      <c r="A184" s="120" t="str">
        <f>'🤖 Reka Core'!$A$32</f>
        <v>http://elpais.com/ccaa/2019/09/28/catalunya/1569665675_576416.html</v>
      </c>
      <c r="B184" s="192" t="s">
        <v>26</v>
      </c>
      <c r="C184" s="122" t="str">
        <f>'🤖 Reka Core'!C34</f>
        <v>5W1H</v>
      </c>
      <c r="D184" s="202">
        <f>'🤖 Reka Core'!E34</f>
        <v>0.9027027027</v>
      </c>
      <c r="E184" s="193">
        <f>'🤖 Reka Core'!F34</f>
        <v>3</v>
      </c>
      <c r="F184" s="193">
        <f>'🤖 Reka Core'!G34</f>
        <v>4</v>
      </c>
      <c r="G184" s="193">
        <f>'🤖 Reka Core'!H34</f>
        <v>5</v>
      </c>
      <c r="H184" s="193">
        <f>'🤖 Reka Core'!I34</f>
        <v>4</v>
      </c>
      <c r="I184" s="193">
        <f>'🤖 Reka Core'!J34</f>
        <v>4</v>
      </c>
    </row>
    <row r="185">
      <c r="A185" s="120" t="str">
        <f>'🤖 Reka Core'!$A$32</f>
        <v>http://elpais.com/ccaa/2019/09/28/catalunya/1569665675_576416.html</v>
      </c>
      <c r="B185" s="192" t="s">
        <v>26</v>
      </c>
      <c r="C185" s="122" t="str">
        <f>'🤖 Reka Core'!C35</f>
        <v>tldr</v>
      </c>
      <c r="D185" s="186">
        <f>'🤖 Reka Core'!E35</f>
        <v>0.3243243243</v>
      </c>
      <c r="E185" s="193">
        <f>'🤖 Reka Core'!F35</f>
        <v>4</v>
      </c>
      <c r="F185" s="193">
        <f>'🤖 Reka Core'!G35</f>
        <v>5</v>
      </c>
      <c r="G185" s="193">
        <f>'🤖 Reka Core'!H35</f>
        <v>5</v>
      </c>
      <c r="H185" s="193">
        <f>'🤖 Reka Core'!I35</f>
        <v>5</v>
      </c>
      <c r="I185" s="193">
        <f>'🤖 Reka Core'!J35</f>
        <v>4</v>
      </c>
    </row>
    <row r="186">
      <c r="A186" s="128"/>
      <c r="B186" s="128"/>
      <c r="C186" s="130"/>
      <c r="D186" s="128"/>
      <c r="E186" s="79"/>
      <c r="F186" s="79"/>
      <c r="G186" s="79"/>
      <c r="H186" s="79"/>
      <c r="I186" s="79"/>
    </row>
    <row r="187">
      <c r="A187" s="120" t="str">
        <f>'🤖 Reka Core'!$A$37</f>
        <v>http://elpais.com/elpais/2019/07/17/gente/1563351601_839455.html</v>
      </c>
      <c r="B187" s="192" t="s">
        <v>26</v>
      </c>
      <c r="C187" s="122" t="str">
        <f>'🤖 Reka Core'!C37</f>
        <v>Base</v>
      </c>
      <c r="D187" s="160">
        <f>'🤖 Reka Core'!E37</f>
        <v>0.1355932203</v>
      </c>
      <c r="E187" s="193">
        <f>'🤖 Reka Core'!F37</f>
        <v>4</v>
      </c>
      <c r="F187" s="193">
        <f>'🤖 Reka Core'!G37</f>
        <v>5</v>
      </c>
      <c r="G187" s="193">
        <f>'🤖 Reka Core'!H37</f>
        <v>5</v>
      </c>
      <c r="H187" s="193">
        <f>'🤖 Reka Core'!I37</f>
        <v>4</v>
      </c>
      <c r="I187" s="193">
        <f>'🤖 Reka Core'!J37</f>
        <v>4</v>
      </c>
    </row>
    <row r="188">
      <c r="A188" s="120" t="str">
        <f>'🤖 Reka Core'!$A$37</f>
        <v>http://elpais.com/elpais/2019/07/17/gente/1563351601_839455.html</v>
      </c>
      <c r="B188" s="192" t="s">
        <v>26</v>
      </c>
      <c r="C188" s="122" t="str">
        <f>'🤖 Reka Core'!C38</f>
        <v>CoT</v>
      </c>
      <c r="D188" s="153">
        <f>'🤖 Reka Core'!E38</f>
        <v>0.1069100391</v>
      </c>
      <c r="E188" s="193">
        <f>'🤖 Reka Core'!F38</f>
        <v>4</v>
      </c>
      <c r="F188" s="193">
        <f>'🤖 Reka Core'!G38</f>
        <v>4</v>
      </c>
      <c r="G188" s="193">
        <f>'🤖 Reka Core'!H38</f>
        <v>5</v>
      </c>
      <c r="H188" s="193">
        <f>'🤖 Reka Core'!I38</f>
        <v>4</v>
      </c>
      <c r="I188" s="193">
        <f>'🤖 Reka Core'!J38</f>
        <v>4</v>
      </c>
    </row>
    <row r="189">
      <c r="A189" s="120" t="str">
        <f>'🤖 Reka Core'!$A$37</f>
        <v>http://elpais.com/elpais/2019/07/17/gente/1563351601_839455.html</v>
      </c>
      <c r="B189" s="192" t="s">
        <v>26</v>
      </c>
      <c r="C189" s="122" t="str">
        <f>'🤖 Reka Core'!C39</f>
        <v>5W1H</v>
      </c>
      <c r="D189" s="203">
        <f>'🤖 Reka Core'!E39</f>
        <v>0.1655801825</v>
      </c>
      <c r="E189" s="193">
        <f>'🤖 Reka Core'!F39</f>
        <v>3</v>
      </c>
      <c r="F189" s="193">
        <f>'🤖 Reka Core'!G39</f>
        <v>5</v>
      </c>
      <c r="G189" s="193">
        <f>'🤖 Reka Core'!H39</f>
        <v>5</v>
      </c>
      <c r="H189" s="193">
        <f>'🤖 Reka Core'!I39</f>
        <v>4</v>
      </c>
      <c r="I189" s="193">
        <f>'🤖 Reka Core'!J39</f>
        <v>4</v>
      </c>
    </row>
    <row r="190">
      <c r="A190" s="120" t="str">
        <f>'🤖 Reka Core'!$A$37</f>
        <v>http://elpais.com/elpais/2019/07/17/gente/1563351601_839455.html</v>
      </c>
      <c r="B190" s="192" t="s">
        <v>26</v>
      </c>
      <c r="C190" s="122" t="str">
        <f>'🤖 Reka Core'!C40</f>
        <v>tldr</v>
      </c>
      <c r="D190" s="146">
        <f>'🤖 Reka Core'!E40</f>
        <v>0.1264667536</v>
      </c>
      <c r="E190" s="193">
        <f>'🤖 Reka Core'!F40</f>
        <v>4</v>
      </c>
      <c r="F190" s="193">
        <f>'🤖 Reka Core'!G40</f>
        <v>5</v>
      </c>
      <c r="G190" s="193">
        <f>'🤖 Reka Core'!H40</f>
        <v>5</v>
      </c>
      <c r="H190" s="193">
        <f>'🤖 Reka Core'!I40</f>
        <v>4</v>
      </c>
      <c r="I190" s="193">
        <f>'🤖 Reka Core'!J40</f>
        <v>4</v>
      </c>
    </row>
    <row r="191">
      <c r="A191" s="128"/>
      <c r="B191" s="128"/>
      <c r="C191" s="130"/>
      <c r="D191" s="128"/>
      <c r="E191" s="79"/>
      <c r="F191" s="79"/>
      <c r="G191" s="79"/>
      <c r="H191" s="79"/>
      <c r="I191" s="79"/>
    </row>
    <row r="192">
      <c r="A192" s="120" t="str">
        <f>'🤖 Reka Core'!$A$42</f>
        <v>http://elpais.com/tecnologia/2019/08/20/actualidad/1566294736_117123.html</v>
      </c>
      <c r="B192" s="192" t="s">
        <v>26</v>
      </c>
      <c r="C192" s="122" t="str">
        <f>'🤖 Reka Core'!C42</f>
        <v>Base</v>
      </c>
      <c r="D192" s="204">
        <f>'🤖 Reka Core'!E42</f>
        <v>0.3127629734</v>
      </c>
      <c r="E192" s="193">
        <f>'🤖 Reka Core'!F42</f>
        <v>4</v>
      </c>
      <c r="F192" s="193">
        <f>'🤖 Reka Core'!G42</f>
        <v>4</v>
      </c>
      <c r="G192" s="193">
        <f>'🤖 Reka Core'!H42</f>
        <v>5</v>
      </c>
      <c r="H192" s="193">
        <f>'🤖 Reka Core'!I42</f>
        <v>4</v>
      </c>
      <c r="I192" s="193">
        <f>'🤖 Reka Core'!J42</f>
        <v>5</v>
      </c>
    </row>
    <row r="193">
      <c r="A193" s="120" t="str">
        <f>'🤖 Reka Core'!$A$42</f>
        <v>http://elpais.com/tecnologia/2019/08/20/actualidad/1566294736_117123.html</v>
      </c>
      <c r="B193" s="192" t="s">
        <v>26</v>
      </c>
      <c r="C193" s="122" t="str">
        <f>'🤖 Reka Core'!C43</f>
        <v>CoT</v>
      </c>
      <c r="D193" s="136">
        <f>'🤖 Reka Core'!E43</f>
        <v>0.2117812062</v>
      </c>
      <c r="E193" s="193">
        <f>'🤖 Reka Core'!F43</f>
        <v>5</v>
      </c>
      <c r="F193" s="193">
        <f>'🤖 Reka Core'!G43</f>
        <v>5</v>
      </c>
      <c r="G193" s="193">
        <f>'🤖 Reka Core'!H43</f>
        <v>5</v>
      </c>
      <c r="H193" s="193">
        <f>'🤖 Reka Core'!I43</f>
        <v>4</v>
      </c>
      <c r="I193" s="193">
        <f>'🤖 Reka Core'!J43</f>
        <v>5</v>
      </c>
    </row>
    <row r="194">
      <c r="A194" s="120" t="str">
        <f>'🤖 Reka Core'!$A$42</f>
        <v>http://elpais.com/tecnologia/2019/08/20/actualidad/1566294736_117123.html</v>
      </c>
      <c r="B194" s="192" t="s">
        <v>26</v>
      </c>
      <c r="C194" s="122" t="str">
        <f>'🤖 Reka Core'!C44</f>
        <v>5W1H</v>
      </c>
      <c r="D194" s="205">
        <f>'🤖 Reka Core'!E44</f>
        <v>0.2594670407</v>
      </c>
      <c r="E194" s="193">
        <f>'🤖 Reka Core'!F44</f>
        <v>3</v>
      </c>
      <c r="F194" s="193">
        <f>'🤖 Reka Core'!G44</f>
        <v>5</v>
      </c>
      <c r="G194" s="193">
        <f>'🤖 Reka Core'!H44</f>
        <v>5</v>
      </c>
      <c r="H194" s="193">
        <f>'🤖 Reka Core'!I44</f>
        <v>4</v>
      </c>
      <c r="I194" s="193">
        <f>'🤖 Reka Core'!J44</f>
        <v>5</v>
      </c>
    </row>
    <row r="195">
      <c r="A195" s="120" t="str">
        <f>'🤖 Reka Core'!$A$42</f>
        <v>http://elpais.com/tecnologia/2019/08/20/actualidad/1566294736_117123.html</v>
      </c>
      <c r="B195" s="192" t="s">
        <v>26</v>
      </c>
      <c r="C195" s="122" t="str">
        <f>'🤖 Reka Core'!C45</f>
        <v>tldr</v>
      </c>
      <c r="D195" s="204">
        <f>'🤖 Reka Core'!E45</f>
        <v>0.3085553997</v>
      </c>
      <c r="E195" s="193">
        <f>'🤖 Reka Core'!F45</f>
        <v>4</v>
      </c>
      <c r="F195" s="193">
        <f>'🤖 Reka Core'!G45</f>
        <v>4</v>
      </c>
      <c r="G195" s="193">
        <f>'🤖 Reka Core'!H45</f>
        <v>5</v>
      </c>
      <c r="H195" s="193">
        <f>'🤖 Reka Core'!I45</f>
        <v>3</v>
      </c>
      <c r="I195" s="193">
        <f>'🤖 Reka Core'!J45</f>
        <v>5</v>
      </c>
    </row>
    <row r="196">
      <c r="A196" s="128"/>
      <c r="B196" s="128"/>
      <c r="C196" s="130"/>
      <c r="D196" s="128"/>
      <c r="E196" s="79"/>
      <c r="F196" s="79"/>
      <c r="G196" s="79"/>
      <c r="H196" s="79"/>
      <c r="I196" s="79"/>
    </row>
    <row r="197">
      <c r="A197" s="120" t="str">
        <f>'🤖 Reka Core'!$A$47</f>
        <v>http://elpais.com/elpais/2019/07/05/ideas/1562335565_606827.html</v>
      </c>
      <c r="B197" s="192" t="s">
        <v>26</v>
      </c>
      <c r="C197" s="122" t="str">
        <f>'🤖 Reka Core'!C47</f>
        <v>Base</v>
      </c>
      <c r="D197" s="189">
        <f>'🤖 Reka Core'!E47</f>
        <v>0.2337992376</v>
      </c>
      <c r="E197" s="193">
        <f>'🤖 Reka Core'!F47</f>
        <v>4</v>
      </c>
      <c r="F197" s="193">
        <f>'🤖 Reka Core'!G47</f>
        <v>5</v>
      </c>
      <c r="G197" s="193">
        <f>'🤖 Reka Core'!H47</f>
        <v>5</v>
      </c>
      <c r="H197" s="193">
        <f>'🤖 Reka Core'!I47</f>
        <v>4</v>
      </c>
      <c r="I197" s="193">
        <f>'🤖 Reka Core'!J47</f>
        <v>4</v>
      </c>
    </row>
    <row r="198">
      <c r="A198" s="120" t="str">
        <f>'🤖 Reka Core'!$A$47</f>
        <v>http://elpais.com/elpais/2019/07/05/ideas/1562335565_606827.html</v>
      </c>
      <c r="B198" s="192" t="s">
        <v>26</v>
      </c>
      <c r="C198" s="122" t="str">
        <f>'🤖 Reka Core'!C48</f>
        <v>CoT</v>
      </c>
      <c r="D198" s="125">
        <f>'🤖 Reka Core'!E48</f>
        <v>0.1772554003</v>
      </c>
      <c r="E198" s="193">
        <f>'🤖 Reka Core'!F48</f>
        <v>5</v>
      </c>
      <c r="F198" s="193">
        <f>'🤖 Reka Core'!G48</f>
        <v>5</v>
      </c>
      <c r="G198" s="193">
        <f>'🤖 Reka Core'!H48</f>
        <v>5</v>
      </c>
      <c r="H198" s="193">
        <f>'🤖 Reka Core'!I48</f>
        <v>4</v>
      </c>
      <c r="I198" s="193">
        <f>'🤖 Reka Core'!J48</f>
        <v>5</v>
      </c>
    </row>
    <row r="199">
      <c r="A199" s="120" t="str">
        <f>'🤖 Reka Core'!$A$47</f>
        <v>http://elpais.com/elpais/2019/07/05/ideas/1562335565_606827.html</v>
      </c>
      <c r="B199" s="192" t="s">
        <v>26</v>
      </c>
      <c r="C199" s="122" t="str">
        <f>'🤖 Reka Core'!C49</f>
        <v>5W1H</v>
      </c>
      <c r="D199" s="152">
        <f>'🤖 Reka Core'!E49</f>
        <v>0.1473951715</v>
      </c>
      <c r="E199" s="193">
        <f>'🤖 Reka Core'!F49</f>
        <v>3</v>
      </c>
      <c r="F199" s="193">
        <f>'🤖 Reka Core'!G49</f>
        <v>4</v>
      </c>
      <c r="G199" s="193">
        <f>'🤖 Reka Core'!H49</f>
        <v>5</v>
      </c>
      <c r="H199" s="193">
        <f>'🤖 Reka Core'!I49</f>
        <v>4</v>
      </c>
      <c r="I199" s="193">
        <f>'🤖 Reka Core'!J49</f>
        <v>4</v>
      </c>
    </row>
    <row r="200">
      <c r="A200" s="120" t="str">
        <f>'🤖 Reka Core'!$A$47</f>
        <v>http://elpais.com/elpais/2019/07/05/ideas/1562335565_606827.html</v>
      </c>
      <c r="B200" s="192" t="s">
        <v>26</v>
      </c>
      <c r="C200" s="122" t="str">
        <f>'🤖 Reka Core'!C50</f>
        <v>tldr</v>
      </c>
      <c r="D200" s="175">
        <f>'🤖 Reka Core'!E50</f>
        <v>0.1747141042</v>
      </c>
      <c r="E200" s="193">
        <f>'🤖 Reka Core'!F50</f>
        <v>5</v>
      </c>
      <c r="F200" s="193">
        <f>'🤖 Reka Core'!G50</f>
        <v>5</v>
      </c>
      <c r="G200" s="193">
        <f>'🤖 Reka Core'!H50</f>
        <v>4</v>
      </c>
      <c r="H200" s="193">
        <f>'🤖 Reka Core'!I50</f>
        <v>4</v>
      </c>
      <c r="I200" s="193">
        <f>'🤖 Reka Core'!J50</f>
        <v>4</v>
      </c>
    </row>
    <row r="201">
      <c r="A201" s="128"/>
      <c r="B201" s="128"/>
      <c r="C201" s="130"/>
      <c r="D201" s="128"/>
      <c r="E201" s="79"/>
      <c r="F201" s="79"/>
      <c r="G201" s="79"/>
      <c r="H201" s="79"/>
      <c r="I201" s="79"/>
    </row>
    <row r="202">
      <c r="A202" s="120" t="str">
        <f>'🖐🏾 Human'!$A$2</f>
        <v>http://elpais.com/deportes/2019/08/17/actualidad/1566005143_044557.html</v>
      </c>
      <c r="B202" s="192" t="s">
        <v>15</v>
      </c>
      <c r="C202" s="193" t="str">
        <f>'🖐🏾 Human'!C2</f>
        <v>Heading</v>
      </c>
      <c r="D202" s="206">
        <f>'🖐🏾 Human'!E2</f>
        <v>0.0381303813</v>
      </c>
      <c r="E202" s="193">
        <f>'🖐🏾 Human'!F2</f>
        <v>3</v>
      </c>
      <c r="F202" s="193">
        <f>'🖐🏾 Human'!G2</f>
        <v>5</v>
      </c>
      <c r="G202" s="193">
        <f>'🖐🏾 Human'!H2</f>
        <v>5</v>
      </c>
      <c r="H202" s="193">
        <f>'🖐🏾 Human'!I2</f>
        <v>5</v>
      </c>
      <c r="I202" s="193">
        <f>'🖐🏾 Human'!J2</f>
        <v>2</v>
      </c>
    </row>
    <row r="203">
      <c r="A203" s="120" t="str">
        <f>'🖐🏾 Human'!$A$2</f>
        <v>http://elpais.com/deportes/2019/08/17/actualidad/1566005143_044557.html</v>
      </c>
      <c r="B203" s="192" t="s">
        <v>15</v>
      </c>
      <c r="C203" s="193" t="str">
        <f>'🖐🏾 Human'!C3</f>
        <v>Jeremy</v>
      </c>
      <c r="D203" s="206">
        <f>'🖐🏾 Human'!E3</f>
        <v>0.06765067651</v>
      </c>
      <c r="E203" s="193" t="str">
        <f>'🖐🏾 Human'!F3</f>
        <v/>
      </c>
      <c r="F203" s="193" t="str">
        <f>'🖐🏾 Human'!G3</f>
        <v/>
      </c>
      <c r="G203" s="193" t="str">
        <f>'🖐🏾 Human'!H3</f>
        <v/>
      </c>
      <c r="H203" s="193" t="str">
        <f>'🖐🏾 Human'!I3</f>
        <v/>
      </c>
      <c r="I203" s="193" t="str">
        <f>'🖐🏾 Human'!J3</f>
        <v/>
      </c>
    </row>
    <row r="204">
      <c r="A204" s="120" t="str">
        <f>'🖐🏾 Human'!$A$2</f>
        <v>http://elpais.com/deportes/2019/08/17/actualidad/1566005143_044557.html</v>
      </c>
      <c r="B204" s="192" t="s">
        <v>15</v>
      </c>
      <c r="C204" s="193" t="str">
        <f>'🖐🏾 Human'!C4</f>
        <v>Begoña</v>
      </c>
      <c r="D204" s="206">
        <f>'🖐🏾 Human'!E4</f>
        <v>0.2398523985</v>
      </c>
      <c r="E204" s="193">
        <f>'🖐🏾 Human'!F4</f>
        <v>5</v>
      </c>
      <c r="F204" s="193">
        <f>'🖐🏾 Human'!G4</f>
        <v>5</v>
      </c>
      <c r="G204" s="193">
        <f>'🖐🏾 Human'!H4</f>
        <v>5</v>
      </c>
      <c r="H204" s="193">
        <f>'🖐🏾 Human'!I4</f>
        <v>4</v>
      </c>
      <c r="I204" s="193">
        <f>'🖐🏾 Human'!J4</f>
        <v>5</v>
      </c>
    </row>
    <row r="205">
      <c r="A205" s="120" t="str">
        <f>'🖐🏾 Human'!$A$2</f>
        <v>http://elpais.com/deportes/2019/08/17/actualidad/1566005143_044557.html</v>
      </c>
      <c r="B205" s="192" t="s">
        <v>15</v>
      </c>
      <c r="C205" s="193" t="str">
        <f>'🖐🏾 Human'!C5</f>
        <v>Alba</v>
      </c>
      <c r="D205" s="206">
        <f>'🖐🏾 Human'!E5</f>
        <v>0.09471094711</v>
      </c>
      <c r="E205" s="193">
        <f>'🖐🏾 Human'!F5</f>
        <v>5</v>
      </c>
      <c r="F205" s="193">
        <f>'🖐🏾 Human'!G5</f>
        <v>5</v>
      </c>
      <c r="G205" s="193">
        <f>'🖐🏾 Human'!H5</f>
        <v>5</v>
      </c>
      <c r="H205" s="193">
        <f>'🖐🏾 Human'!I5</f>
        <v>5</v>
      </c>
      <c r="I205" s="193">
        <f>'🖐🏾 Human'!J5</f>
        <v>4</v>
      </c>
    </row>
    <row r="206">
      <c r="A206" s="128"/>
      <c r="B206" s="192"/>
      <c r="C206" s="193"/>
      <c r="D206" s="206"/>
      <c r="E206" s="193"/>
      <c r="F206" s="193"/>
      <c r="G206" s="193"/>
      <c r="H206" s="193"/>
      <c r="I206" s="193"/>
    </row>
    <row r="207">
      <c r="A207" s="120" t="str">
        <f>'🖐🏾 Human'!$A$7</f>
        <v>http://elpais.com/elpais/2019/07/10/planeta_futuro/1562757015_950583.html</v>
      </c>
      <c r="B207" s="192" t="s">
        <v>15</v>
      </c>
      <c r="C207" s="193" t="str">
        <f>'🖐🏾 Human'!C7</f>
        <v>Heading</v>
      </c>
      <c r="D207" s="206">
        <f>'🖐🏾 Human'!E7</f>
        <v>0.03857566766</v>
      </c>
      <c r="E207" s="193">
        <f>'🖐🏾 Human'!F7</f>
        <v>5</v>
      </c>
      <c r="F207" s="193">
        <f>'🖐🏾 Human'!G7</f>
        <v>5</v>
      </c>
      <c r="G207" s="193">
        <f>'🖐🏾 Human'!H7</f>
        <v>5</v>
      </c>
      <c r="H207" s="193">
        <f>'🖐🏾 Human'!I7</f>
        <v>3</v>
      </c>
      <c r="I207" s="193">
        <f>'🖐🏾 Human'!J7</f>
        <v>1</v>
      </c>
    </row>
    <row r="208">
      <c r="A208" s="120" t="str">
        <f>'🖐🏾 Human'!$A$7</f>
        <v>http://elpais.com/elpais/2019/07/10/planeta_futuro/1562757015_950583.html</v>
      </c>
      <c r="B208" s="192" t="s">
        <v>15</v>
      </c>
      <c r="C208" s="193" t="str">
        <f>'🖐🏾 Human'!C8</f>
        <v>Jeremy</v>
      </c>
      <c r="D208" s="206">
        <f>'🖐🏾 Human'!E8</f>
        <v>0.1216617211</v>
      </c>
      <c r="E208" s="193" t="str">
        <f>'🖐🏾 Human'!F8</f>
        <v/>
      </c>
      <c r="F208" s="193" t="str">
        <f>'🖐🏾 Human'!G8</f>
        <v/>
      </c>
      <c r="G208" s="193" t="str">
        <f>'🖐🏾 Human'!H8</f>
        <v/>
      </c>
      <c r="H208" s="193" t="str">
        <f>'🖐🏾 Human'!I8</f>
        <v/>
      </c>
      <c r="I208" s="193" t="str">
        <f>'🖐🏾 Human'!J8</f>
        <v/>
      </c>
    </row>
    <row r="209">
      <c r="A209" s="120" t="str">
        <f>'🖐🏾 Human'!$A$7</f>
        <v>http://elpais.com/elpais/2019/07/10/planeta_futuro/1562757015_950583.html</v>
      </c>
      <c r="B209" s="192" t="s">
        <v>15</v>
      </c>
      <c r="C209" s="193" t="str">
        <f>'🖐🏾 Human'!C9</f>
        <v>Begoña</v>
      </c>
      <c r="D209" s="206">
        <f>'🖐🏾 Human'!E9</f>
        <v>0.1869436202</v>
      </c>
      <c r="E209" s="193">
        <f>'🖐🏾 Human'!F9</f>
        <v>5</v>
      </c>
      <c r="F209" s="193">
        <f>'🖐🏾 Human'!G9</f>
        <v>5</v>
      </c>
      <c r="G209" s="193">
        <f>'🖐🏾 Human'!H9</f>
        <v>5</v>
      </c>
      <c r="H209" s="193">
        <f>'🖐🏾 Human'!I9</f>
        <v>4</v>
      </c>
      <c r="I209" s="193">
        <f>'🖐🏾 Human'!J9</f>
        <v>5</v>
      </c>
    </row>
    <row r="210">
      <c r="A210" s="120" t="str">
        <f>'🖐🏾 Human'!$A$7</f>
        <v>http://elpais.com/elpais/2019/07/10/planeta_futuro/1562757015_950583.html</v>
      </c>
      <c r="B210" s="192" t="s">
        <v>15</v>
      </c>
      <c r="C210" s="193" t="str">
        <f>'🖐🏾 Human'!C10</f>
        <v>Alba</v>
      </c>
      <c r="D210" s="206">
        <f>'🖐🏾 Human'!E10</f>
        <v>0.1454005935</v>
      </c>
      <c r="E210" s="193">
        <f>'🖐🏾 Human'!F10</f>
        <v>5</v>
      </c>
      <c r="F210" s="193">
        <f>'🖐🏾 Human'!G10</f>
        <v>5</v>
      </c>
      <c r="G210" s="193">
        <f>'🖐🏾 Human'!H10</f>
        <v>5</v>
      </c>
      <c r="H210" s="193">
        <f>'🖐🏾 Human'!I10</f>
        <v>5</v>
      </c>
      <c r="I210" s="193">
        <f>'🖐🏾 Human'!J10</f>
        <v>5</v>
      </c>
    </row>
    <row r="211">
      <c r="A211" s="128"/>
      <c r="B211" s="192"/>
      <c r="C211" s="193"/>
      <c r="D211" s="206"/>
      <c r="E211" s="193"/>
      <c r="F211" s="193"/>
      <c r="G211" s="193"/>
      <c r="H211" s="193"/>
      <c r="I211" s="193"/>
    </row>
    <row r="212">
      <c r="A212" s="120" t="str">
        <f>'🖐🏾 Human'!$A$12</f>
        <v>http://elpais.com/ccaa/2019/09/12/madrid/1568307703_277564.html
</v>
      </c>
      <c r="B212" s="192" t="s">
        <v>15</v>
      </c>
      <c r="C212" s="193" t="str">
        <f>'🖐🏾 Human'!C12</f>
        <v>Heading</v>
      </c>
      <c r="D212" s="206">
        <f>'🖐🏾 Human'!E12</f>
        <v>0.01713947991</v>
      </c>
      <c r="E212" s="193">
        <f>'🖐🏾 Human'!F12</f>
        <v>5</v>
      </c>
      <c r="F212" s="193">
        <f>'🖐🏾 Human'!G12</f>
        <v>5</v>
      </c>
      <c r="G212" s="193">
        <f>'🖐🏾 Human'!H12</f>
        <v>5</v>
      </c>
      <c r="H212" s="193">
        <f>'🖐🏾 Human'!I12</f>
        <v>5</v>
      </c>
      <c r="I212" s="193">
        <f>'🖐🏾 Human'!J12</f>
        <v>2</v>
      </c>
    </row>
    <row r="213">
      <c r="A213" s="120" t="str">
        <f>'🖐🏾 Human'!$A$12</f>
        <v>http://elpais.com/ccaa/2019/09/12/madrid/1568307703_277564.html
</v>
      </c>
      <c r="B213" s="192" t="s">
        <v>15</v>
      </c>
      <c r="C213" s="193" t="str">
        <f>'🖐🏾 Human'!C13</f>
        <v>Jeremy</v>
      </c>
      <c r="D213" s="206">
        <f>'🖐🏾 Human'!E13</f>
        <v>0.06619385343</v>
      </c>
      <c r="E213" s="193" t="str">
        <f>'🖐🏾 Human'!F13</f>
        <v/>
      </c>
      <c r="F213" s="193" t="str">
        <f>'🖐🏾 Human'!G13</f>
        <v/>
      </c>
      <c r="G213" s="193" t="str">
        <f>'🖐🏾 Human'!H13</f>
        <v/>
      </c>
      <c r="H213" s="193" t="str">
        <f>'🖐🏾 Human'!I13</f>
        <v/>
      </c>
      <c r="I213" s="193" t="str">
        <f>'🖐🏾 Human'!J13</f>
        <v/>
      </c>
    </row>
    <row r="214">
      <c r="A214" s="120" t="str">
        <f>'🖐🏾 Human'!$A$12</f>
        <v>http://elpais.com/ccaa/2019/09/12/madrid/1568307703_277564.html
</v>
      </c>
      <c r="B214" s="192" t="s">
        <v>15</v>
      </c>
      <c r="C214" s="193" t="str">
        <f>'🖐🏾 Human'!C14</f>
        <v>Begoña</v>
      </c>
      <c r="D214" s="206">
        <f>'🖐🏾 Human'!E14</f>
        <v>0.1867612293</v>
      </c>
      <c r="E214" s="193">
        <f>'🖐🏾 Human'!F14</f>
        <v>5</v>
      </c>
      <c r="F214" s="193">
        <f>'🖐🏾 Human'!G14</f>
        <v>5</v>
      </c>
      <c r="G214" s="193">
        <f>'🖐🏾 Human'!H14</f>
        <v>5</v>
      </c>
      <c r="H214" s="193">
        <f>'🖐🏾 Human'!I14</f>
        <v>3</v>
      </c>
      <c r="I214" s="193">
        <f>'🖐🏾 Human'!J14</f>
        <v>5</v>
      </c>
    </row>
    <row r="215">
      <c r="A215" s="120" t="str">
        <f>'🖐🏾 Human'!$A$12</f>
        <v>http://elpais.com/ccaa/2019/09/12/madrid/1568307703_277564.html
</v>
      </c>
      <c r="B215" s="192" t="s">
        <v>15</v>
      </c>
      <c r="C215" s="193" t="str">
        <f>'🖐🏾 Human'!C15</f>
        <v>Alba</v>
      </c>
      <c r="D215" s="206">
        <f>'🖐🏾 Human'!E15</f>
        <v>0.08392434988</v>
      </c>
      <c r="E215" s="193">
        <f>'🖐🏾 Human'!F15</f>
        <v>5</v>
      </c>
      <c r="F215" s="193">
        <f>'🖐🏾 Human'!G15</f>
        <v>5</v>
      </c>
      <c r="G215" s="193">
        <f>'🖐🏾 Human'!H15</f>
        <v>5</v>
      </c>
      <c r="H215" s="193">
        <f>'🖐🏾 Human'!I15</f>
        <v>5</v>
      </c>
      <c r="I215" s="193">
        <f>'🖐🏾 Human'!J15</f>
        <v>5</v>
      </c>
    </row>
    <row r="216">
      <c r="A216" s="128"/>
      <c r="B216" s="192"/>
      <c r="C216" s="193"/>
      <c r="D216" s="206"/>
      <c r="E216" s="193"/>
      <c r="F216" s="193"/>
      <c r="G216" s="193"/>
      <c r="H216" s="193"/>
      <c r="I216" s="193"/>
    </row>
    <row r="217">
      <c r="A217" s="120" t="str">
        <f>'🖐🏾 Human'!$A$17</f>
        <v>http://elpais.com/deportes/2019/08/10/actualidad/1565426201_075062.html</v>
      </c>
      <c r="B217" s="192" t="s">
        <v>15</v>
      </c>
      <c r="C217" s="193" t="str">
        <f>'🖐🏾 Human'!C17</f>
        <v>Heading</v>
      </c>
      <c r="D217" s="206">
        <f>'🖐🏾 Human'!E17</f>
        <v>0.02275960171</v>
      </c>
      <c r="E217" s="193">
        <f>'🖐🏾 Human'!F17</f>
        <v>5</v>
      </c>
      <c r="F217" s="193">
        <f>'🖐🏾 Human'!G17</f>
        <v>5</v>
      </c>
      <c r="G217" s="193">
        <f>'🖐🏾 Human'!H17</f>
        <v>5</v>
      </c>
      <c r="H217" s="193">
        <f>'🖐🏾 Human'!I17</f>
        <v>5</v>
      </c>
      <c r="I217" s="193">
        <f>'🖐🏾 Human'!J17</f>
        <v>2</v>
      </c>
    </row>
    <row r="218">
      <c r="A218" s="120" t="str">
        <f>'🖐🏾 Human'!$A$17</f>
        <v>http://elpais.com/deportes/2019/08/10/actualidad/1565426201_075062.html</v>
      </c>
      <c r="B218" s="192" t="s">
        <v>15</v>
      </c>
      <c r="C218" s="193" t="str">
        <f>'🖐🏾 Human'!C18</f>
        <v>Jeremy</v>
      </c>
      <c r="D218" s="206">
        <f>'🖐🏾 Human'!E18</f>
        <v>0.1635846373</v>
      </c>
      <c r="E218" s="193" t="str">
        <f>'🖐🏾 Human'!F18</f>
        <v/>
      </c>
      <c r="F218" s="193" t="str">
        <f>'🖐🏾 Human'!G18</f>
        <v/>
      </c>
      <c r="G218" s="193" t="str">
        <f>'🖐🏾 Human'!H18</f>
        <v/>
      </c>
      <c r="H218" s="193" t="str">
        <f>'🖐🏾 Human'!I18</f>
        <v/>
      </c>
      <c r="I218" s="193" t="str">
        <f>'🖐🏾 Human'!J18</f>
        <v/>
      </c>
    </row>
    <row r="219">
      <c r="A219" s="120" t="str">
        <f>'🖐🏾 Human'!$A$17</f>
        <v>http://elpais.com/deportes/2019/08/10/actualidad/1565426201_075062.html</v>
      </c>
      <c r="B219" s="192" t="s">
        <v>15</v>
      </c>
      <c r="C219" s="193" t="str">
        <f>'🖐🏾 Human'!C19</f>
        <v>Begoña</v>
      </c>
      <c r="D219" s="206">
        <f>'🖐🏾 Human'!E19</f>
        <v>0.3271692745</v>
      </c>
      <c r="E219" s="193">
        <f>'🖐🏾 Human'!F19</f>
        <v>5</v>
      </c>
      <c r="F219" s="193">
        <f>'🖐🏾 Human'!G19</f>
        <v>5</v>
      </c>
      <c r="G219" s="193">
        <f>'🖐🏾 Human'!H19</f>
        <v>5</v>
      </c>
      <c r="H219" s="193">
        <f>'🖐🏾 Human'!I19</f>
        <v>4</v>
      </c>
      <c r="I219" s="193">
        <f>'🖐🏾 Human'!J19</f>
        <v>5</v>
      </c>
    </row>
    <row r="220">
      <c r="A220" s="120" t="str">
        <f>'🖐🏾 Human'!$A$17</f>
        <v>http://elpais.com/deportes/2019/08/10/actualidad/1565426201_075062.html</v>
      </c>
      <c r="B220" s="192" t="s">
        <v>15</v>
      </c>
      <c r="C220" s="193" t="str">
        <f>'🖐🏾 Human'!C20</f>
        <v>Alba</v>
      </c>
      <c r="D220" s="206">
        <f>'🖐🏾 Human'!E20</f>
        <v>0.1095305832</v>
      </c>
      <c r="E220" s="193">
        <f>'🖐🏾 Human'!F20</f>
        <v>5</v>
      </c>
      <c r="F220" s="193">
        <f>'🖐🏾 Human'!G20</f>
        <v>5</v>
      </c>
      <c r="G220" s="193">
        <f>'🖐🏾 Human'!H20</f>
        <v>5</v>
      </c>
      <c r="H220" s="193">
        <f>'🖐🏾 Human'!I20</f>
        <v>5</v>
      </c>
      <c r="I220" s="193">
        <f>'🖐🏾 Human'!J20</f>
        <v>3</v>
      </c>
    </row>
    <row r="221">
      <c r="A221" s="128"/>
      <c r="B221" s="192"/>
      <c r="C221" s="193"/>
      <c r="D221" s="206"/>
      <c r="E221" s="193"/>
      <c r="F221" s="193"/>
      <c r="G221" s="193"/>
      <c r="H221" s="193"/>
      <c r="I221" s="193"/>
    </row>
    <row r="222">
      <c r="A222" s="120" t="str">
        <f>'🖐🏾 Human'!$A$22</f>
        <v>http://elpais.com/elpais/2019/07/11/gente/1562866782_776897.html</v>
      </c>
      <c r="B222" s="192" t="s">
        <v>15</v>
      </c>
      <c r="C222" s="193" t="str">
        <f>'🖐🏾 Human'!C22</f>
        <v>Heading</v>
      </c>
      <c r="D222" s="206">
        <f>'🖐🏾 Human'!E22</f>
        <v>0.01943844492</v>
      </c>
      <c r="E222" s="193">
        <f>'🖐🏾 Human'!F22</f>
        <v>5</v>
      </c>
      <c r="F222" s="193">
        <f>'🖐🏾 Human'!G22</f>
        <v>5</v>
      </c>
      <c r="G222" s="193">
        <f>'🖐🏾 Human'!H22</f>
        <v>5</v>
      </c>
      <c r="H222" s="193">
        <f>'🖐🏾 Human'!I22</f>
        <v>5</v>
      </c>
      <c r="I222" s="193">
        <f>'🖐🏾 Human'!J22</f>
        <v>2</v>
      </c>
    </row>
    <row r="223">
      <c r="A223" s="120" t="str">
        <f>'🖐🏾 Human'!$A$22</f>
        <v>http://elpais.com/elpais/2019/07/11/gente/1562866782_776897.html</v>
      </c>
      <c r="B223" s="192" t="s">
        <v>15</v>
      </c>
      <c r="C223" s="193" t="str">
        <f>'🖐🏾 Human'!C23</f>
        <v>Jeremy</v>
      </c>
      <c r="D223" s="206">
        <f>'🖐🏾 Human'!E23</f>
        <v>0.08423326134</v>
      </c>
      <c r="E223" s="193" t="str">
        <f>'🖐🏾 Human'!F23</f>
        <v/>
      </c>
      <c r="F223" s="193" t="str">
        <f>'🖐🏾 Human'!G23</f>
        <v/>
      </c>
      <c r="G223" s="193" t="str">
        <f>'🖐🏾 Human'!H23</f>
        <v/>
      </c>
      <c r="H223" s="193" t="str">
        <f>'🖐🏾 Human'!I23</f>
        <v/>
      </c>
      <c r="I223" s="193" t="str">
        <f>'🖐🏾 Human'!J23</f>
        <v/>
      </c>
    </row>
    <row r="224">
      <c r="A224" s="120" t="str">
        <f>'🖐🏾 Human'!$A$22</f>
        <v>http://elpais.com/elpais/2019/07/11/gente/1562866782_776897.html</v>
      </c>
      <c r="B224" s="192" t="s">
        <v>15</v>
      </c>
      <c r="C224" s="193" t="str">
        <f>'🖐🏾 Human'!C24</f>
        <v>Begoña</v>
      </c>
      <c r="D224" s="206">
        <f>'🖐🏾 Human'!E24</f>
        <v>0.2051835853</v>
      </c>
      <c r="E224" s="193">
        <f>'🖐🏾 Human'!F24</f>
        <v>5</v>
      </c>
      <c r="F224" s="193">
        <f>'🖐🏾 Human'!G24</f>
        <v>5</v>
      </c>
      <c r="G224" s="193">
        <f>'🖐🏾 Human'!H24</f>
        <v>5</v>
      </c>
      <c r="H224" s="193">
        <f>'🖐🏾 Human'!I24</f>
        <v>4</v>
      </c>
      <c r="I224" s="193">
        <f>'🖐🏾 Human'!J24</f>
        <v>5</v>
      </c>
    </row>
    <row r="225">
      <c r="A225" s="120" t="str">
        <f>'🖐🏾 Human'!$A$22</f>
        <v>http://elpais.com/elpais/2019/07/11/gente/1562866782_776897.html</v>
      </c>
      <c r="B225" s="192" t="s">
        <v>15</v>
      </c>
      <c r="C225" s="193" t="str">
        <f>'🖐🏾 Human'!C25</f>
        <v>Alba</v>
      </c>
      <c r="D225" s="206">
        <f>'🖐🏾 Human'!E25</f>
        <v>0.07919366451</v>
      </c>
      <c r="E225" s="193">
        <f>'🖐🏾 Human'!F25</f>
        <v>5</v>
      </c>
      <c r="F225" s="193">
        <f>'🖐🏾 Human'!G25</f>
        <v>5</v>
      </c>
      <c r="G225" s="193">
        <f>'🖐🏾 Human'!H25</f>
        <v>5</v>
      </c>
      <c r="H225" s="193">
        <f>'🖐🏾 Human'!I25</f>
        <v>5</v>
      </c>
      <c r="I225" s="193">
        <f>'🖐🏾 Human'!J25</f>
        <v>5</v>
      </c>
    </row>
    <row r="226">
      <c r="A226" s="128"/>
      <c r="B226" s="192"/>
      <c r="C226" s="193"/>
      <c r="D226" s="206"/>
      <c r="E226" s="193"/>
      <c r="F226" s="193"/>
      <c r="G226" s="193"/>
      <c r="H226" s="193"/>
      <c r="I226" s="193"/>
    </row>
    <row r="227">
      <c r="A227" s="120" t="str">
        <f>'🖐🏾 Human'!$A$27</f>
        <v>http://elpais.com/elpais/2019/07/19/ciencia/1563535714_854872.html</v>
      </c>
      <c r="B227" s="192" t="s">
        <v>15</v>
      </c>
      <c r="C227" s="193" t="str">
        <f>'🖐🏾 Human'!C27</f>
        <v>Heading</v>
      </c>
      <c r="D227" s="206">
        <f>'🖐🏾 Human'!E27</f>
        <v>0.04238921002</v>
      </c>
      <c r="E227" s="193">
        <f>'🖐🏾 Human'!F27</f>
        <v>5</v>
      </c>
      <c r="F227" s="193">
        <f>'🖐🏾 Human'!G27</f>
        <v>5</v>
      </c>
      <c r="G227" s="193">
        <f>'🖐🏾 Human'!H27</f>
        <v>5</v>
      </c>
      <c r="H227" s="193">
        <f>'🖐🏾 Human'!I27</f>
        <v>5</v>
      </c>
      <c r="I227" s="193">
        <f>'🖐🏾 Human'!J27</f>
        <v>2</v>
      </c>
    </row>
    <row r="228">
      <c r="A228" s="120" t="str">
        <f>'🖐🏾 Human'!$A$27</f>
        <v>http://elpais.com/elpais/2019/07/19/ciencia/1563535714_854872.html</v>
      </c>
      <c r="B228" s="192" t="s">
        <v>15</v>
      </c>
      <c r="C228" s="193" t="str">
        <f>'🖐🏾 Human'!C28</f>
        <v>Jeremy</v>
      </c>
      <c r="D228" s="206">
        <f>'🖐🏾 Human'!E28</f>
        <v>0.1753371869</v>
      </c>
      <c r="E228" s="193" t="str">
        <f>'🖐🏾 Human'!F28</f>
        <v/>
      </c>
      <c r="F228" s="193" t="str">
        <f>'🖐🏾 Human'!G28</f>
        <v/>
      </c>
      <c r="G228" s="193" t="str">
        <f>'🖐🏾 Human'!H28</f>
        <v/>
      </c>
      <c r="H228" s="193" t="str">
        <f>'🖐🏾 Human'!I28</f>
        <v/>
      </c>
      <c r="I228" s="193" t="str">
        <f>'🖐🏾 Human'!J28</f>
        <v/>
      </c>
    </row>
    <row r="229">
      <c r="A229" s="120" t="str">
        <f>'🖐🏾 Human'!$A$27</f>
        <v>http://elpais.com/elpais/2019/07/19/ciencia/1563535714_854872.html</v>
      </c>
      <c r="B229" s="192" t="s">
        <v>15</v>
      </c>
      <c r="C229" s="193" t="str">
        <f>'🖐🏾 Human'!C29</f>
        <v>Begoña</v>
      </c>
      <c r="D229" s="206">
        <f>'🖐🏾 Human'!E29</f>
        <v>0.3371868979</v>
      </c>
      <c r="E229" s="193">
        <f>'🖐🏾 Human'!F29</f>
        <v>5</v>
      </c>
      <c r="F229" s="193">
        <f>'🖐🏾 Human'!G29</f>
        <v>5</v>
      </c>
      <c r="G229" s="193">
        <f>'🖐🏾 Human'!H29</f>
        <v>5</v>
      </c>
      <c r="H229" s="193">
        <f>'🖐🏾 Human'!I29</f>
        <v>5</v>
      </c>
      <c r="I229" s="193">
        <f>'🖐🏾 Human'!J29</f>
        <v>4</v>
      </c>
    </row>
    <row r="230">
      <c r="A230" s="120" t="str">
        <f>'🖐🏾 Human'!$A$27</f>
        <v>http://elpais.com/elpais/2019/07/19/ciencia/1563535714_854872.html</v>
      </c>
      <c r="B230" s="192" t="s">
        <v>15</v>
      </c>
      <c r="C230" s="193" t="str">
        <f>'🖐🏾 Human'!C30</f>
        <v>Alba</v>
      </c>
      <c r="D230" s="206">
        <f>'🖐🏾 Human'!E30</f>
        <v>0.1657032755</v>
      </c>
      <c r="E230" s="193">
        <f>'🖐🏾 Human'!F30</f>
        <v>5</v>
      </c>
      <c r="F230" s="193">
        <f>'🖐🏾 Human'!G30</f>
        <v>5</v>
      </c>
      <c r="G230" s="193">
        <f>'🖐🏾 Human'!H30</f>
        <v>5</v>
      </c>
      <c r="H230" s="193">
        <f>'🖐🏾 Human'!I30</f>
        <v>5</v>
      </c>
      <c r="I230" s="193">
        <f>'🖐🏾 Human'!J30</f>
        <v>4</v>
      </c>
    </row>
    <row r="231">
      <c r="A231" s="128"/>
      <c r="B231" s="192"/>
      <c r="C231" s="193"/>
      <c r="D231" s="206"/>
      <c r="E231" s="193"/>
      <c r="F231" s="193"/>
      <c r="G231" s="193"/>
      <c r="H231" s="193"/>
      <c r="I231" s="193"/>
    </row>
    <row r="232">
      <c r="A232" s="120" t="str">
        <f>'🖐🏾 Human'!$A$32</f>
        <v>http://elpais.com/ccaa/2019/09/28/catalunya/1569665675_576416.html</v>
      </c>
      <c r="B232" s="192" t="s">
        <v>15</v>
      </c>
      <c r="C232" s="193" t="str">
        <f>'🖐🏾 Human'!C32</f>
        <v>Heading</v>
      </c>
      <c r="D232" s="206">
        <f>'🖐🏾 Human'!E32</f>
        <v>0.08648648649</v>
      </c>
      <c r="E232" s="193">
        <f>'🖐🏾 Human'!F32</f>
        <v>5</v>
      </c>
      <c r="F232" s="193">
        <f>'🖐🏾 Human'!G32</f>
        <v>5</v>
      </c>
      <c r="G232" s="193">
        <f>'🖐🏾 Human'!H32</f>
        <v>5</v>
      </c>
      <c r="H232" s="193">
        <f>'🖐🏾 Human'!I32</f>
        <v>5</v>
      </c>
      <c r="I232" s="193">
        <f>'🖐🏾 Human'!J32</f>
        <v>2</v>
      </c>
    </row>
    <row r="233">
      <c r="A233" s="120" t="str">
        <f>'🖐🏾 Human'!$A$32</f>
        <v>http://elpais.com/ccaa/2019/09/28/catalunya/1569665675_576416.html</v>
      </c>
      <c r="B233" s="192" t="s">
        <v>15</v>
      </c>
      <c r="C233" s="193" t="str">
        <f>'🖐🏾 Human'!C33</f>
        <v>Jeremy</v>
      </c>
      <c r="D233" s="206">
        <f>'🖐🏾 Human'!E33</f>
        <v>0.3351351351</v>
      </c>
      <c r="E233" s="193" t="str">
        <f>'🖐🏾 Human'!F33</f>
        <v/>
      </c>
      <c r="F233" s="193" t="str">
        <f>'🖐🏾 Human'!G33</f>
        <v/>
      </c>
      <c r="G233" s="193" t="str">
        <f>'🖐🏾 Human'!H33</f>
        <v/>
      </c>
      <c r="H233" s="193" t="str">
        <f>'🖐🏾 Human'!I33</f>
        <v/>
      </c>
      <c r="I233" s="193" t="str">
        <f>'🖐🏾 Human'!J33</f>
        <v/>
      </c>
    </row>
    <row r="234">
      <c r="A234" s="120" t="str">
        <f>'🖐🏾 Human'!$A$32</f>
        <v>http://elpais.com/ccaa/2019/09/28/catalunya/1569665675_576416.html</v>
      </c>
      <c r="B234" s="192" t="s">
        <v>15</v>
      </c>
      <c r="C234" s="193" t="str">
        <f>'🖐🏾 Human'!C34</f>
        <v>Begoña</v>
      </c>
      <c r="D234" s="206">
        <f>'🖐🏾 Human'!E34</f>
        <v>0.5297297297</v>
      </c>
      <c r="E234" s="193">
        <f>'🖐🏾 Human'!F34</f>
        <v>5</v>
      </c>
      <c r="F234" s="193">
        <f>'🖐🏾 Human'!G34</f>
        <v>5</v>
      </c>
      <c r="G234" s="193">
        <f>'🖐🏾 Human'!H34</f>
        <v>5</v>
      </c>
      <c r="H234" s="193">
        <f>'🖐🏾 Human'!I34</f>
        <v>5</v>
      </c>
      <c r="I234" s="193">
        <f>'🖐🏾 Human'!J34</f>
        <v>5</v>
      </c>
    </row>
    <row r="235">
      <c r="A235" s="120" t="str">
        <f>'🖐🏾 Human'!$A$32</f>
        <v>http://elpais.com/ccaa/2019/09/28/catalunya/1569665675_576416.html</v>
      </c>
      <c r="B235" s="192" t="s">
        <v>15</v>
      </c>
      <c r="C235" s="193" t="str">
        <f>'🖐🏾 Human'!C35</f>
        <v>Alba</v>
      </c>
      <c r="D235" s="206">
        <f>'🖐🏾 Human'!E35</f>
        <v>0.3783783784</v>
      </c>
      <c r="E235" s="193">
        <f>'🖐🏾 Human'!F35</f>
        <v>5</v>
      </c>
      <c r="F235" s="193">
        <f>'🖐🏾 Human'!G35</f>
        <v>5</v>
      </c>
      <c r="G235" s="193">
        <f>'🖐🏾 Human'!H35</f>
        <v>5</v>
      </c>
      <c r="H235" s="193">
        <f>'🖐🏾 Human'!I35</f>
        <v>5</v>
      </c>
      <c r="I235" s="193">
        <f>'🖐🏾 Human'!J35</f>
        <v>5</v>
      </c>
    </row>
    <row r="236">
      <c r="A236" s="128"/>
      <c r="B236" s="192"/>
      <c r="C236" s="193"/>
      <c r="D236" s="206"/>
      <c r="E236" s="193"/>
      <c r="F236" s="193"/>
      <c r="G236" s="193"/>
      <c r="H236" s="193"/>
      <c r="I236" s="193"/>
    </row>
    <row r="237">
      <c r="A237" s="120" t="str">
        <f>'🖐🏾 Human'!$A$37</f>
        <v>http://elpais.com/elpais/2019/07/17/gente/1563351601_839455.html</v>
      </c>
      <c r="B237" s="192" t="s">
        <v>15</v>
      </c>
      <c r="C237" s="193" t="str">
        <f>'🖐🏾 Human'!C37</f>
        <v>Heading</v>
      </c>
      <c r="D237" s="206">
        <f>'🖐🏾 Human'!E37</f>
        <v>0.03780964798</v>
      </c>
      <c r="E237" s="193">
        <f>'🖐🏾 Human'!F37</f>
        <v>5</v>
      </c>
      <c r="F237" s="193">
        <f>'🖐🏾 Human'!G37</f>
        <v>5</v>
      </c>
      <c r="G237" s="193">
        <f>'🖐🏾 Human'!H37</f>
        <v>5</v>
      </c>
      <c r="H237" s="193">
        <f>'🖐🏾 Human'!I37</f>
        <v>4</v>
      </c>
      <c r="I237" s="193">
        <f>'🖐🏾 Human'!J37</f>
        <v>2</v>
      </c>
    </row>
    <row r="238">
      <c r="A238" s="120" t="str">
        <f>'🖐🏾 Human'!$A$37</f>
        <v>http://elpais.com/elpais/2019/07/17/gente/1563351601_839455.html</v>
      </c>
      <c r="B238" s="192" t="s">
        <v>15</v>
      </c>
      <c r="C238" s="193" t="str">
        <f>'🖐🏾 Human'!C38</f>
        <v>Jeremy</v>
      </c>
      <c r="D238" s="206">
        <f>'🖐🏾 Human'!E38</f>
        <v>0.06910039113</v>
      </c>
      <c r="E238" s="193" t="str">
        <f>'🖐🏾 Human'!F38</f>
        <v/>
      </c>
      <c r="F238" s="193" t="str">
        <f>'🖐🏾 Human'!G38</f>
        <v/>
      </c>
      <c r="G238" s="193" t="str">
        <f>'🖐🏾 Human'!H38</f>
        <v/>
      </c>
      <c r="H238" s="193" t="str">
        <f>'🖐🏾 Human'!I38</f>
        <v/>
      </c>
      <c r="I238" s="193" t="str">
        <f>'🖐🏾 Human'!J38</f>
        <v/>
      </c>
    </row>
    <row r="239">
      <c r="A239" s="120" t="str">
        <f>'🖐🏾 Human'!$A$37</f>
        <v>http://elpais.com/elpais/2019/07/17/gente/1563351601_839455.html</v>
      </c>
      <c r="B239" s="192" t="s">
        <v>15</v>
      </c>
      <c r="C239" s="193" t="str">
        <f>'🖐🏾 Human'!C39</f>
        <v>Begoña</v>
      </c>
      <c r="D239" s="206">
        <f>'🖐🏾 Human'!E39</f>
        <v>0.370273794</v>
      </c>
      <c r="E239" s="193">
        <f>'🖐🏾 Human'!F39</f>
        <v>5</v>
      </c>
      <c r="F239" s="193">
        <f>'🖐🏾 Human'!G39</f>
        <v>5</v>
      </c>
      <c r="G239" s="193">
        <f>'🖐🏾 Human'!H39</f>
        <v>5</v>
      </c>
      <c r="H239" s="193">
        <f>'🖐🏾 Human'!I39</f>
        <v>3</v>
      </c>
      <c r="I239" s="193">
        <f>'🖐🏾 Human'!J39</f>
        <v>5</v>
      </c>
    </row>
    <row r="240">
      <c r="A240" s="120" t="str">
        <f>'🖐🏾 Human'!$A$37</f>
        <v>http://elpais.com/elpais/2019/07/17/gente/1563351601_839455.html</v>
      </c>
      <c r="B240" s="192" t="s">
        <v>15</v>
      </c>
      <c r="C240" s="193" t="str">
        <f>'🖐🏾 Human'!C40</f>
        <v>Alba</v>
      </c>
      <c r="D240" s="206">
        <f>'🖐🏾 Human'!E40</f>
        <v>0.06910039113</v>
      </c>
      <c r="E240" s="193">
        <f>'🖐🏾 Human'!F40</f>
        <v>5</v>
      </c>
      <c r="F240" s="193">
        <f>'🖐🏾 Human'!G40</f>
        <v>5</v>
      </c>
      <c r="G240" s="193">
        <f>'🖐🏾 Human'!H40</f>
        <v>5</v>
      </c>
      <c r="H240" s="193">
        <f>'🖐🏾 Human'!I40</f>
        <v>5</v>
      </c>
      <c r="I240" s="193">
        <f>'🖐🏾 Human'!J40</f>
        <v>5</v>
      </c>
    </row>
    <row r="241">
      <c r="A241" s="128"/>
      <c r="B241" s="192"/>
      <c r="C241" s="193"/>
      <c r="D241" s="206"/>
      <c r="E241" s="193"/>
      <c r="F241" s="193"/>
      <c r="G241" s="193"/>
      <c r="H241" s="193"/>
      <c r="I241" s="193"/>
    </row>
    <row r="242">
      <c r="A242" s="120" t="str">
        <f>'🖐🏾 Human'!$A$42</f>
        <v>http://elpais.com/tecnologia/2019/08/20/actualidad/1566294736_117123.html</v>
      </c>
      <c r="B242" s="192" t="s">
        <v>15</v>
      </c>
      <c r="C242" s="193" t="str">
        <f>'🖐🏾 Human'!C42</f>
        <v>Heading</v>
      </c>
      <c r="D242" s="206">
        <f>'🖐🏾 Human'!E42</f>
        <v>0.01823281907</v>
      </c>
      <c r="E242" s="193">
        <f>'🖐🏾 Human'!F42</f>
        <v>5</v>
      </c>
      <c r="F242" s="193">
        <f>'🖐🏾 Human'!G42</f>
        <v>5</v>
      </c>
      <c r="G242" s="193">
        <f>'🖐🏾 Human'!H42</f>
        <v>5</v>
      </c>
      <c r="H242" s="193">
        <f>'🖐🏾 Human'!I42</f>
        <v>5</v>
      </c>
      <c r="I242" s="193">
        <f>'🖐🏾 Human'!J42</f>
        <v>2</v>
      </c>
    </row>
    <row r="243">
      <c r="A243" s="120" t="str">
        <f>'🖐🏾 Human'!$A$42</f>
        <v>http://elpais.com/tecnologia/2019/08/20/actualidad/1566294736_117123.html</v>
      </c>
      <c r="B243" s="192" t="s">
        <v>15</v>
      </c>
      <c r="C243" s="193" t="str">
        <f>'🖐🏾 Human'!C43</f>
        <v>Jeremy</v>
      </c>
      <c r="D243" s="206">
        <f>'🖐🏾 Human'!E43</f>
        <v>0.06872370266</v>
      </c>
      <c r="E243" s="193" t="str">
        <f>'🖐🏾 Human'!F43</f>
        <v/>
      </c>
      <c r="F243" s="193" t="str">
        <f>'🖐🏾 Human'!G43</f>
        <v/>
      </c>
      <c r="G243" s="193" t="str">
        <f>'🖐🏾 Human'!H43</f>
        <v/>
      </c>
      <c r="H243" s="193" t="str">
        <f>'🖐🏾 Human'!I43</f>
        <v/>
      </c>
      <c r="I243" s="193" t="str">
        <f>'🖐🏾 Human'!J43</f>
        <v/>
      </c>
    </row>
    <row r="244">
      <c r="A244" s="120" t="str">
        <f>'🖐🏾 Human'!$A$42</f>
        <v>http://elpais.com/tecnologia/2019/08/20/actualidad/1566294736_117123.html</v>
      </c>
      <c r="B244" s="192" t="s">
        <v>15</v>
      </c>
      <c r="C244" s="193" t="str">
        <f>'🖐🏾 Human'!C44</f>
        <v>Begoña</v>
      </c>
      <c r="D244" s="206">
        <f>'🖐🏾 Human'!E44</f>
        <v>0.1879382889</v>
      </c>
      <c r="E244" s="193">
        <f>'🖐🏾 Human'!F44</f>
        <v>5</v>
      </c>
      <c r="F244" s="193">
        <f>'🖐🏾 Human'!G44</f>
        <v>5</v>
      </c>
      <c r="G244" s="193">
        <f>'🖐🏾 Human'!H44</f>
        <v>5</v>
      </c>
      <c r="H244" s="193">
        <f>'🖐🏾 Human'!I44</f>
        <v>3</v>
      </c>
      <c r="I244" s="193">
        <f>'🖐🏾 Human'!J44</f>
        <v>5</v>
      </c>
    </row>
    <row r="245">
      <c r="A245" s="120" t="str">
        <f>'🖐🏾 Human'!$A$42</f>
        <v>http://elpais.com/tecnologia/2019/08/20/actualidad/1566294736_117123.html</v>
      </c>
      <c r="B245" s="192" t="s">
        <v>15</v>
      </c>
      <c r="C245" s="193" t="str">
        <f>'🖐🏾 Human'!C45</f>
        <v>Alba</v>
      </c>
      <c r="D245" s="206">
        <f>'🖐🏾 Human'!E45</f>
        <v>0.1023842917</v>
      </c>
      <c r="E245" s="193">
        <f>'🖐🏾 Human'!F45</f>
        <v>5</v>
      </c>
      <c r="F245" s="193">
        <f>'🖐🏾 Human'!G45</f>
        <v>5</v>
      </c>
      <c r="G245" s="193">
        <f>'🖐🏾 Human'!H45</f>
        <v>5</v>
      </c>
      <c r="H245" s="193">
        <f>'🖐🏾 Human'!I45</f>
        <v>5</v>
      </c>
      <c r="I245" s="193">
        <f>'🖐🏾 Human'!J45</f>
        <v>5</v>
      </c>
    </row>
    <row r="246">
      <c r="A246" s="128"/>
      <c r="B246" s="192"/>
      <c r="C246" s="193"/>
      <c r="D246" s="206"/>
      <c r="E246" s="193"/>
      <c r="F246" s="193"/>
      <c r="G246" s="193"/>
      <c r="H246" s="193"/>
      <c r="I246" s="193"/>
    </row>
    <row r="247">
      <c r="A247" s="120" t="str">
        <f>'🖐🏾 Human'!$A$47</f>
        <v>http://elpais.com/elpais/2019/07/05/ideas/1562335565_606827.html</v>
      </c>
      <c r="B247" s="192" t="s">
        <v>15</v>
      </c>
      <c r="C247" s="193" t="str">
        <f>'🖐🏾 Human'!C47</f>
        <v>Heading</v>
      </c>
      <c r="D247" s="206">
        <f>'🖐🏾 Human'!E47</f>
        <v>0.01143583227</v>
      </c>
      <c r="E247" s="193">
        <f>'🖐🏾 Human'!F47</f>
        <v>5</v>
      </c>
      <c r="F247" s="193">
        <f>'🖐🏾 Human'!G47</f>
        <v>5</v>
      </c>
      <c r="G247" s="193">
        <f>'🖐🏾 Human'!H47</f>
        <v>5</v>
      </c>
      <c r="H247" s="193">
        <f>'🖐🏾 Human'!I47</f>
        <v>4</v>
      </c>
      <c r="I247" s="193">
        <f>'🖐🏾 Human'!J47</f>
        <v>2</v>
      </c>
    </row>
    <row r="248">
      <c r="A248" s="120" t="str">
        <f>'🖐🏾 Human'!$A$47</f>
        <v>http://elpais.com/elpais/2019/07/05/ideas/1562335565_606827.html</v>
      </c>
      <c r="B248" s="192" t="s">
        <v>15</v>
      </c>
      <c r="C248" s="193" t="str">
        <f>'🖐🏾 Human'!C48</f>
        <v>Jeremy</v>
      </c>
      <c r="D248" s="206">
        <f>'🖐🏾 Human'!E48</f>
        <v>0.1283354511</v>
      </c>
      <c r="E248" s="193" t="str">
        <f>'🖐🏾 Human'!F48</f>
        <v/>
      </c>
      <c r="F248" s="193" t="str">
        <f>'🖐🏾 Human'!G48</f>
        <v/>
      </c>
      <c r="G248" s="193" t="str">
        <f>'🖐🏾 Human'!H48</f>
        <v/>
      </c>
      <c r="H248" s="193" t="str">
        <f>'🖐🏾 Human'!I48</f>
        <v/>
      </c>
      <c r="I248" s="193" t="str">
        <f>'🖐🏾 Human'!J48</f>
        <v/>
      </c>
    </row>
    <row r="249">
      <c r="A249" s="120" t="str">
        <f>'🖐🏾 Human'!$A$47</f>
        <v>http://elpais.com/elpais/2019/07/05/ideas/1562335565_606827.html</v>
      </c>
      <c r="B249" s="192" t="s">
        <v>15</v>
      </c>
      <c r="C249" s="193" t="str">
        <f>'🖐🏾 Human'!C49</f>
        <v>Begoña</v>
      </c>
      <c r="D249" s="206">
        <f>'🖐🏾 Human'!E49</f>
        <v>0.1823379924</v>
      </c>
      <c r="E249" s="193">
        <f>'🖐🏾 Human'!F49</f>
        <v>5</v>
      </c>
      <c r="F249" s="193">
        <f>'🖐🏾 Human'!G49</f>
        <v>5</v>
      </c>
      <c r="G249" s="193">
        <f>'🖐🏾 Human'!H49</f>
        <v>5</v>
      </c>
      <c r="H249" s="193">
        <f>'🖐🏾 Human'!I49</f>
        <v>4</v>
      </c>
      <c r="I249" s="193">
        <f>'🖐🏾 Human'!J49</f>
        <v>5</v>
      </c>
    </row>
    <row r="250">
      <c r="A250" s="120" t="str">
        <f>'🖐🏾 Human'!$A$47</f>
        <v>http://elpais.com/elpais/2019/07/05/ideas/1562335565_606827.html</v>
      </c>
      <c r="B250" s="192" t="s">
        <v>15</v>
      </c>
      <c r="C250" s="193" t="str">
        <f>'🖐🏾 Human'!C50</f>
        <v>Alba</v>
      </c>
      <c r="D250" s="206">
        <f>'🖐🏾 Human'!E50</f>
        <v>0.1003811944</v>
      </c>
      <c r="E250" s="193">
        <f>'🖐🏾 Human'!F50</f>
        <v>5</v>
      </c>
      <c r="F250" s="193">
        <f>'🖐🏾 Human'!G50</f>
        <v>5</v>
      </c>
      <c r="G250" s="193">
        <f>'🖐🏾 Human'!H50</f>
        <v>5</v>
      </c>
      <c r="H250" s="193">
        <f>'🖐🏾 Human'!I50</f>
        <v>5</v>
      </c>
      <c r="I250" s="193">
        <f>'🖐🏾 Human'!J50</f>
        <v>4</v>
      </c>
    </row>
    <row r="251">
      <c r="A251" s="120"/>
      <c r="B251" s="192"/>
      <c r="C251" s="193"/>
      <c r="D251" s="206"/>
      <c r="E251" s="193"/>
      <c r="F251" s="193"/>
      <c r="G251" s="193"/>
      <c r="H251" s="193"/>
      <c r="I251" s="193"/>
    </row>
    <row r="252">
      <c r="A252" s="120" t="str">
        <f>'🖐🏾 Human'!A52</f>
        <v/>
      </c>
      <c r="B252" s="192" t="s">
        <v>15</v>
      </c>
      <c r="C252" s="193" t="str">
        <f>'🖐🏾 Human'!C52</f>
        <v/>
      </c>
      <c r="D252" s="206" t="str">
        <f>'🖐🏾 Human'!E52</f>
        <v/>
      </c>
      <c r="E252" s="193" t="str">
        <f>'🖐🏾 Human'!F52</f>
        <v/>
      </c>
      <c r="F252" s="193" t="str">
        <f>'🖐🏾 Human'!G52</f>
        <v/>
      </c>
      <c r="G252" s="193" t="str">
        <f>'🖐🏾 Human'!H52</f>
        <v/>
      </c>
      <c r="H252" s="193" t="str">
        <f>'🖐🏾 Human'!I52</f>
        <v/>
      </c>
      <c r="I252" s="193" t="str">
        <f>'🖐🏾 Human'!J52</f>
        <v/>
      </c>
    </row>
    <row r="253">
      <c r="A253" s="120" t="str">
        <f>'🖐🏾 Human'!A53</f>
        <v/>
      </c>
      <c r="B253" s="192" t="s">
        <v>15</v>
      </c>
      <c r="C253" s="193" t="str">
        <f>'🖐🏾 Human'!C53</f>
        <v/>
      </c>
      <c r="D253" s="206" t="str">
        <f>'🖐🏾 Human'!E53</f>
        <v/>
      </c>
      <c r="E253" s="193" t="str">
        <f>'🖐🏾 Human'!F53</f>
        <v/>
      </c>
      <c r="F253" s="193" t="str">
        <f>'🖐🏾 Human'!G53</f>
        <v/>
      </c>
      <c r="G253" s="193" t="str">
        <f>'🖐🏾 Human'!H53</f>
        <v/>
      </c>
      <c r="H253" s="193" t="str">
        <f>'🖐🏾 Human'!I53</f>
        <v/>
      </c>
      <c r="I253" s="193" t="str">
        <f>'🖐🏾 Human'!J53</f>
        <v/>
      </c>
    </row>
    <row r="254">
      <c r="A254" s="120" t="str">
        <f>'🖐🏾 Human'!A54</f>
        <v/>
      </c>
      <c r="B254" s="192" t="s">
        <v>15</v>
      </c>
      <c r="C254" s="193" t="str">
        <f>'🖐🏾 Human'!C54</f>
        <v/>
      </c>
      <c r="D254" s="206" t="str">
        <f>'🖐🏾 Human'!E54</f>
        <v/>
      </c>
      <c r="E254" s="193" t="str">
        <f>'🖐🏾 Human'!F54</f>
        <v/>
      </c>
      <c r="F254" s="193" t="str">
        <f>'🖐🏾 Human'!G54</f>
        <v/>
      </c>
      <c r="G254" s="193" t="str">
        <f>'🖐🏾 Human'!H54</f>
        <v/>
      </c>
      <c r="H254" s="193" t="str">
        <f>'🖐🏾 Human'!I54</f>
        <v/>
      </c>
      <c r="I254" s="193" t="str">
        <f>'🖐🏾 Human'!J54</f>
        <v/>
      </c>
    </row>
    <row r="255">
      <c r="A255" s="120" t="str">
        <f>'🖐🏾 Human'!A55</f>
        <v/>
      </c>
      <c r="B255" s="192" t="s">
        <v>15</v>
      </c>
      <c r="C255" s="193" t="str">
        <f>'🖐🏾 Human'!C55</f>
        <v/>
      </c>
      <c r="D255" s="206" t="str">
        <f>'🖐🏾 Human'!E55</f>
        <v/>
      </c>
      <c r="E255" s="193" t="str">
        <f>'🖐🏾 Human'!F55</f>
        <v/>
      </c>
      <c r="F255" s="193" t="str">
        <f>'🖐🏾 Human'!G55</f>
        <v/>
      </c>
      <c r="G255" s="193" t="str">
        <f>'🖐🏾 Human'!H55</f>
        <v/>
      </c>
      <c r="H255" s="193" t="str">
        <f>'🖐🏾 Human'!I55</f>
        <v/>
      </c>
      <c r="I255" s="193" t="str">
        <f>'🖐🏾 Human'!J55</f>
        <v/>
      </c>
    </row>
    <row r="256">
      <c r="A256" s="120" t="str">
        <f>'🖐🏾 Human'!A56</f>
        <v/>
      </c>
      <c r="B256" s="192" t="s">
        <v>15</v>
      </c>
      <c r="C256" s="193" t="str">
        <f>'🖐🏾 Human'!C56</f>
        <v/>
      </c>
      <c r="D256" s="206" t="str">
        <f>'🖐🏾 Human'!E56</f>
        <v/>
      </c>
      <c r="E256" s="193" t="str">
        <f>'🖐🏾 Human'!F56</f>
        <v/>
      </c>
      <c r="F256" s="193" t="str">
        <f>'🖐🏾 Human'!G56</f>
        <v/>
      </c>
      <c r="G256" s="193" t="str">
        <f>'🖐🏾 Human'!H56</f>
        <v/>
      </c>
      <c r="H256" s="193" t="str">
        <f>'🖐🏾 Human'!I56</f>
        <v/>
      </c>
      <c r="I256" s="193" t="str">
        <f>'🖐🏾 Human'!J56</f>
        <v/>
      </c>
    </row>
    <row r="257">
      <c r="A257" s="120" t="str">
        <f>'🖐🏾 Human'!A57</f>
        <v/>
      </c>
      <c r="B257" s="192" t="s">
        <v>15</v>
      </c>
      <c r="C257" s="193" t="str">
        <f>'🖐🏾 Human'!C57</f>
        <v/>
      </c>
      <c r="D257" s="206" t="str">
        <f>'🖐🏾 Human'!E57</f>
        <v/>
      </c>
      <c r="E257" s="193" t="str">
        <f>'🖐🏾 Human'!F57</f>
        <v/>
      </c>
      <c r="F257" s="193" t="str">
        <f>'🖐🏾 Human'!G57</f>
        <v/>
      </c>
      <c r="G257" s="193" t="str">
        <f>'🖐🏾 Human'!H57</f>
        <v/>
      </c>
      <c r="H257" s="193" t="str">
        <f>'🖐🏾 Human'!I57</f>
        <v/>
      </c>
      <c r="I257" s="193" t="str">
        <f>'🖐🏾 Human'!J57</f>
        <v/>
      </c>
    </row>
    <row r="258">
      <c r="A258" s="120" t="str">
        <f>'🖐🏾 Human'!A58</f>
        <v/>
      </c>
      <c r="B258" s="192" t="s">
        <v>15</v>
      </c>
      <c r="C258" s="193" t="str">
        <f>'🖐🏾 Human'!C58</f>
        <v/>
      </c>
      <c r="D258" s="206" t="str">
        <f>'🖐🏾 Human'!E58</f>
        <v/>
      </c>
      <c r="E258" s="193" t="str">
        <f>'🖐🏾 Human'!F58</f>
        <v/>
      </c>
      <c r="F258" s="193" t="str">
        <f>'🖐🏾 Human'!G58</f>
        <v/>
      </c>
      <c r="G258" s="193" t="str">
        <f>'🖐🏾 Human'!H58</f>
        <v/>
      </c>
      <c r="H258" s="193" t="str">
        <f>'🖐🏾 Human'!I58</f>
        <v/>
      </c>
      <c r="I258" s="193" t="str">
        <f>'🖐🏾 Human'!J58</f>
        <v/>
      </c>
    </row>
    <row r="259">
      <c r="A259" s="120" t="str">
        <f>'🖐🏾 Human'!A59</f>
        <v/>
      </c>
      <c r="B259" s="192" t="s">
        <v>15</v>
      </c>
      <c r="C259" s="193" t="str">
        <f>'🖐🏾 Human'!C59</f>
        <v/>
      </c>
      <c r="D259" s="206" t="str">
        <f>'🖐🏾 Human'!E59</f>
        <v/>
      </c>
      <c r="E259" s="193" t="str">
        <f>'🖐🏾 Human'!F59</f>
        <v/>
      </c>
      <c r="F259" s="193" t="str">
        <f>'🖐🏾 Human'!G59</f>
        <v/>
      </c>
      <c r="G259" s="193" t="str">
        <f>'🖐🏾 Human'!H59</f>
        <v/>
      </c>
      <c r="H259" s="193" t="str">
        <f>'🖐🏾 Human'!I59</f>
        <v/>
      </c>
      <c r="I259" s="193" t="str">
        <f>'🖐🏾 Human'!J59</f>
        <v/>
      </c>
    </row>
    <row r="260">
      <c r="A260" s="128"/>
      <c r="B260" s="128"/>
      <c r="C260" s="79"/>
      <c r="D260" s="128"/>
      <c r="E260" s="79"/>
      <c r="F260" s="79"/>
      <c r="G260" s="79"/>
      <c r="H260" s="79"/>
      <c r="I260" s="79"/>
    </row>
    <row r="261">
      <c r="A261" s="120" t="str">
        <f>'🤖 Llama-3.1-70b-instruct'!$A$2</f>
        <v>http://elpais.com/deportes/2019/08/17/actualidad/1566005143_044557.html</v>
      </c>
      <c r="B261" s="128" t="s">
        <v>27</v>
      </c>
      <c r="C261" s="193" t="str">
        <f>'🤖 Llama-3.1-70b-instruct'!C2</f>
        <v>Base</v>
      </c>
      <c r="D261" s="131">
        <f>'🤖 Llama-3.1-70b-instruct'!E2</f>
        <v>0.1562115621</v>
      </c>
      <c r="E261" s="192">
        <f>'🤖 Llama-3.1-70b-instruct'!F2</f>
        <v>4</v>
      </c>
      <c r="F261" s="192">
        <f>'🤖 Llama-3.1-70b-instruct'!G2</f>
        <v>5</v>
      </c>
      <c r="G261" s="192">
        <f>'🤖 Llama-3.1-70b-instruct'!H2</f>
        <v>3</v>
      </c>
      <c r="H261" s="192">
        <f>'🤖 Llama-3.1-70b-instruct'!I2</f>
        <v>4</v>
      </c>
      <c r="I261" s="192">
        <f>'🤖 Llama-3.1-70b-instruct'!J2</f>
        <v>5</v>
      </c>
    </row>
    <row r="262">
      <c r="A262" s="120" t="str">
        <f>'🤖 Llama-3.1-70b-instruct'!$A$2</f>
        <v>http://elpais.com/deportes/2019/08/17/actualidad/1566005143_044557.html</v>
      </c>
      <c r="B262" s="128" t="s">
        <v>27</v>
      </c>
      <c r="C262" s="193" t="str">
        <f>'🤖 Llama-3.1-70b-instruct'!C3</f>
        <v>CoT</v>
      </c>
      <c r="D262" s="206">
        <f>'🤖 Llama-3.1-70b-instruct'!E3</f>
        <v>0.036900369</v>
      </c>
      <c r="E262" s="192">
        <f>'🤖 Llama-3.1-70b-instruct'!F3</f>
        <v>5</v>
      </c>
      <c r="F262" s="192">
        <f>'🤖 Llama-3.1-70b-instruct'!G3</f>
        <v>5</v>
      </c>
      <c r="G262" s="192">
        <f>'🤖 Llama-3.1-70b-instruct'!H3</f>
        <v>5</v>
      </c>
      <c r="H262" s="192">
        <f>'🤖 Llama-3.1-70b-instruct'!I3</f>
        <v>4</v>
      </c>
      <c r="I262" s="192">
        <f>'🤖 Llama-3.1-70b-instruct'!J3</f>
        <v>3</v>
      </c>
    </row>
    <row r="263">
      <c r="A263" s="120" t="str">
        <f>'🤖 Llama-3.1-70b-instruct'!$A$2</f>
        <v>http://elpais.com/deportes/2019/08/17/actualidad/1566005143_044557.html</v>
      </c>
      <c r="B263" s="128" t="s">
        <v>27</v>
      </c>
      <c r="C263" s="193" t="str">
        <f>'🤖 Llama-3.1-70b-instruct'!C4</f>
        <v>5W1H</v>
      </c>
      <c r="D263" s="136">
        <f>'🤖 Llama-3.1-70b-instruct'!E4</f>
        <v>0.2127921279</v>
      </c>
      <c r="E263" s="192">
        <f>'🤖 Llama-3.1-70b-instruct'!F4</f>
        <v>3</v>
      </c>
      <c r="F263" s="192">
        <f>'🤖 Llama-3.1-70b-instruct'!G4</f>
        <v>5</v>
      </c>
      <c r="G263" s="192">
        <f>'🤖 Llama-3.1-70b-instruct'!H4</f>
        <v>4</v>
      </c>
      <c r="H263" s="192">
        <f>'🤖 Llama-3.1-70b-instruct'!I4</f>
        <v>3</v>
      </c>
      <c r="I263" s="192">
        <f>'🤖 Llama-3.1-70b-instruct'!J4</f>
        <v>5</v>
      </c>
    </row>
    <row r="264">
      <c r="A264" s="120" t="str">
        <f>'🤖 Llama-3.1-70b-instruct'!$A$2</f>
        <v>http://elpais.com/deportes/2019/08/17/actualidad/1566005143_044557.html</v>
      </c>
      <c r="B264" s="128" t="s">
        <v>27</v>
      </c>
      <c r="C264" s="193" t="str">
        <f>'🤖 Llama-3.1-70b-instruct'!C5</f>
        <v>tldr</v>
      </c>
      <c r="D264" s="207">
        <f>'🤖 Llama-3.1-70b-instruct'!E5</f>
        <v>0.0258302583</v>
      </c>
      <c r="E264" s="192">
        <f>'🤖 Llama-3.1-70b-instruct'!F5</f>
        <v>5</v>
      </c>
      <c r="F264" s="192">
        <f>'🤖 Llama-3.1-70b-instruct'!G5</f>
        <v>5</v>
      </c>
      <c r="G264" s="192">
        <f>'🤖 Llama-3.1-70b-instruct'!H5</f>
        <v>5</v>
      </c>
      <c r="H264" s="192">
        <f>'🤖 Llama-3.1-70b-instruct'!I5</f>
        <v>5</v>
      </c>
      <c r="I264" s="192">
        <f>'🤖 Llama-3.1-70b-instruct'!J5</f>
        <v>3</v>
      </c>
    </row>
    <row r="265">
      <c r="A265" s="128" t="str">
        <f>'🤖 Llama-3.1-70b-instruct'!A6</f>
        <v/>
      </c>
      <c r="B265" s="128"/>
      <c r="C265" s="79"/>
      <c r="D265" s="128"/>
      <c r="E265" s="128"/>
      <c r="F265" s="128"/>
      <c r="G265" s="128"/>
      <c r="H265" s="128"/>
      <c r="I265" s="128"/>
    </row>
    <row r="266">
      <c r="A266" s="120" t="str">
        <f>'🤖 Llama-3.1-70b-instruct'!$A$7</f>
        <v>http://elpais.com/elpais/2019/07/10/planeta_futuro/1562757015_950583.html</v>
      </c>
      <c r="B266" s="128" t="s">
        <v>27</v>
      </c>
      <c r="C266" s="193" t="str">
        <f>'🤖 Llama-3.1-70b-instruct'!C7</f>
        <v>Base</v>
      </c>
      <c r="D266" s="160">
        <f>'🤖 Llama-3.1-70b-instruct'!E7</f>
        <v>0.1355093966</v>
      </c>
      <c r="E266" s="192">
        <f>'🤖 Llama-3.1-70b-instruct'!F7</f>
        <v>4</v>
      </c>
      <c r="F266" s="192">
        <f>'🤖 Llama-3.1-70b-instruct'!G7</f>
        <v>3</v>
      </c>
      <c r="G266" s="192">
        <f>'🤖 Llama-3.1-70b-instruct'!H7</f>
        <v>5</v>
      </c>
      <c r="H266" s="192">
        <f>'🤖 Llama-3.1-70b-instruct'!I7</f>
        <v>4</v>
      </c>
      <c r="I266" s="192">
        <f>'🤖 Llama-3.1-70b-instruct'!J7</f>
        <v>3</v>
      </c>
    </row>
    <row r="267">
      <c r="A267" s="120" t="str">
        <f>'🤖 Llama-3.1-70b-instruct'!$A$7</f>
        <v>http://elpais.com/elpais/2019/07/10/planeta_futuro/1562757015_950583.html</v>
      </c>
      <c r="B267" s="128" t="s">
        <v>27</v>
      </c>
      <c r="C267" s="193" t="str">
        <f>'🤖 Llama-3.1-70b-instruct'!C8</f>
        <v>CoT</v>
      </c>
      <c r="D267" s="178">
        <f>'🤖 Llama-3.1-70b-instruct'!E8</f>
        <v>0.137487636</v>
      </c>
      <c r="E267" s="192">
        <f>'🤖 Llama-3.1-70b-instruct'!F8</f>
        <v>4</v>
      </c>
      <c r="F267" s="192">
        <f>'🤖 Llama-3.1-70b-instruct'!G8</f>
        <v>4</v>
      </c>
      <c r="G267" s="192">
        <f>'🤖 Llama-3.1-70b-instruct'!H8</f>
        <v>5</v>
      </c>
      <c r="H267" s="192">
        <f>'🤖 Llama-3.1-70b-instruct'!I8</f>
        <v>4</v>
      </c>
      <c r="I267" s="192">
        <f>'🤖 Llama-3.1-70b-instruct'!J8</f>
        <v>3</v>
      </c>
    </row>
    <row r="268">
      <c r="A268" s="120" t="str">
        <f>'🤖 Llama-3.1-70b-instruct'!$A$7</f>
        <v>http://elpais.com/elpais/2019/07/10/planeta_futuro/1562757015_950583.html</v>
      </c>
      <c r="B268" s="128" t="s">
        <v>27</v>
      </c>
      <c r="C268" s="193" t="str">
        <f>'🤖 Llama-3.1-70b-instruct'!C9</f>
        <v>5W1H</v>
      </c>
      <c r="D268" s="123">
        <f>'🤖 Llama-3.1-70b-instruct'!E9</f>
        <v>0.1928783383</v>
      </c>
      <c r="E268" s="192">
        <f>'🤖 Llama-3.1-70b-instruct'!F9</f>
        <v>3</v>
      </c>
      <c r="F268" s="192">
        <f>'🤖 Llama-3.1-70b-instruct'!G9</f>
        <v>3</v>
      </c>
      <c r="G268" s="192">
        <f>'🤖 Llama-3.1-70b-instruct'!H9</f>
        <v>5</v>
      </c>
      <c r="H268" s="192">
        <f>'🤖 Llama-3.1-70b-instruct'!I9</f>
        <v>4</v>
      </c>
      <c r="I268" s="192">
        <f>'🤖 Llama-3.1-70b-instruct'!J9</f>
        <v>4</v>
      </c>
    </row>
    <row r="269">
      <c r="A269" s="120" t="str">
        <f>'🤖 Llama-3.1-70b-instruct'!$A$7</f>
        <v>http://elpais.com/elpais/2019/07/10/planeta_futuro/1562757015_950583.html</v>
      </c>
      <c r="B269" s="128" t="s">
        <v>27</v>
      </c>
      <c r="C269" s="193" t="str">
        <f>'🤖 Llama-3.1-70b-instruct'!C10</f>
        <v>tldr</v>
      </c>
      <c r="D269" s="132">
        <f>'🤖 Llama-3.1-70b-instruct'!E10</f>
        <v>0.1078140455</v>
      </c>
      <c r="E269" s="192">
        <f>'🤖 Llama-3.1-70b-instruct'!F10</f>
        <v>4</v>
      </c>
      <c r="F269" s="192">
        <f>'🤖 Llama-3.1-70b-instruct'!G10</f>
        <v>3</v>
      </c>
      <c r="G269" s="192">
        <f>'🤖 Llama-3.1-70b-instruct'!H10</f>
        <v>5</v>
      </c>
      <c r="H269" s="192">
        <f>'🤖 Llama-3.1-70b-instruct'!I10</f>
        <v>5</v>
      </c>
      <c r="I269" s="192">
        <f>'🤖 Llama-3.1-70b-instruct'!J10</f>
        <v>3</v>
      </c>
    </row>
    <row r="270">
      <c r="A270" s="128"/>
      <c r="B270" s="128"/>
      <c r="C270" s="79"/>
      <c r="D270" s="128"/>
      <c r="E270" s="128"/>
      <c r="F270" s="128"/>
      <c r="G270" s="128"/>
      <c r="H270" s="128"/>
      <c r="I270" s="128"/>
    </row>
    <row r="271">
      <c r="A271" s="120" t="str">
        <f>'🤖 Llama-3.1-70b-instruct'!$A$12</f>
        <v>http://elpais.com/ccaa/2019/09/12/madrid/1568307703_277564.html</v>
      </c>
      <c r="B271" s="128" t="s">
        <v>27</v>
      </c>
      <c r="C271" s="193" t="str">
        <f>'🤖 Llama-3.1-70b-instruct'!C12</f>
        <v>Base</v>
      </c>
      <c r="D271" s="195">
        <f>'🤖 Llama-3.1-70b-instruct'!E12</f>
        <v>0.06146572104</v>
      </c>
      <c r="E271" s="192">
        <f>'🤖 Llama-3.1-70b-instruct'!F12</f>
        <v>4</v>
      </c>
      <c r="F271" s="192">
        <f>'🤖 Llama-3.1-70b-instruct'!G12</f>
        <v>5</v>
      </c>
      <c r="G271" s="192">
        <f>'🤖 Llama-3.1-70b-instruct'!H12</f>
        <v>5</v>
      </c>
      <c r="H271" s="192">
        <f>'🤖 Llama-3.1-70b-instruct'!I12</f>
        <v>5</v>
      </c>
      <c r="I271" s="192">
        <f>'🤖 Llama-3.1-70b-instruct'!J12</f>
        <v>4</v>
      </c>
    </row>
    <row r="272">
      <c r="A272" s="120" t="str">
        <f>'🤖 Llama-3.1-70b-instruct'!$A$12</f>
        <v>http://elpais.com/ccaa/2019/09/12/madrid/1568307703_277564.html</v>
      </c>
      <c r="B272" s="128" t="s">
        <v>27</v>
      </c>
      <c r="C272" s="193" t="str">
        <f>'🤖 Llama-3.1-70b-instruct'!C13</f>
        <v>CoT</v>
      </c>
      <c r="D272" s="178">
        <f>'🤖 Llama-3.1-70b-instruct'!E13</f>
        <v>0.1377068558</v>
      </c>
      <c r="E272" s="192">
        <f>'🤖 Llama-3.1-70b-instruct'!F13</f>
        <v>4</v>
      </c>
      <c r="F272" s="192">
        <f>'🤖 Llama-3.1-70b-instruct'!G13</f>
        <v>4</v>
      </c>
      <c r="G272" s="192">
        <f>'🤖 Llama-3.1-70b-instruct'!H13</f>
        <v>5</v>
      </c>
      <c r="H272" s="192">
        <f>'🤖 Llama-3.1-70b-instruct'!I13</f>
        <v>3</v>
      </c>
      <c r="I272" s="192">
        <f>'🤖 Llama-3.1-70b-instruct'!J13</f>
        <v>4</v>
      </c>
    </row>
    <row r="273">
      <c r="A273" s="120" t="str">
        <f>'🤖 Llama-3.1-70b-instruct'!$A$12</f>
        <v>http://elpais.com/ccaa/2019/09/12/madrid/1568307703_277564.html</v>
      </c>
      <c r="B273" s="128" t="s">
        <v>27</v>
      </c>
      <c r="C273" s="193" t="str">
        <f>'🤖 Llama-3.1-70b-instruct'!C14</f>
        <v>5W1H</v>
      </c>
      <c r="D273" s="140">
        <f>'🤖 Llama-3.1-70b-instruct'!E14</f>
        <v>0.08096926714</v>
      </c>
      <c r="E273" s="192">
        <f>'🤖 Llama-3.1-70b-instruct'!F14</f>
        <v>3</v>
      </c>
      <c r="F273" s="192">
        <f>'🤖 Llama-3.1-70b-instruct'!G14</f>
        <v>5</v>
      </c>
      <c r="G273" s="192">
        <f>'🤖 Llama-3.1-70b-instruct'!H14</f>
        <v>5</v>
      </c>
      <c r="H273" s="192">
        <f>'🤖 Llama-3.1-70b-instruct'!I14</f>
        <v>5</v>
      </c>
      <c r="I273" s="192">
        <f>'🤖 Llama-3.1-70b-instruct'!J14</f>
        <v>4</v>
      </c>
    </row>
    <row r="274">
      <c r="A274" s="120" t="str">
        <f>'🤖 Llama-3.1-70b-instruct'!$A$12</f>
        <v>http://elpais.com/ccaa/2019/09/12/madrid/1568307703_277564.html</v>
      </c>
      <c r="B274" s="128" t="s">
        <v>27</v>
      </c>
      <c r="C274" s="193" t="str">
        <f>'🤖 Llama-3.1-70b-instruct'!C15</f>
        <v>tldr</v>
      </c>
      <c r="D274" s="208">
        <f>'🤖 Llama-3.1-70b-instruct'!E15</f>
        <v>0.01300236407</v>
      </c>
      <c r="E274" s="192">
        <f>'🤖 Llama-3.1-70b-instruct'!F15</f>
        <v>5</v>
      </c>
      <c r="F274" s="192">
        <f>'🤖 Llama-3.1-70b-instruct'!G15</f>
        <v>5</v>
      </c>
      <c r="G274" s="192">
        <f>'🤖 Llama-3.1-70b-instruct'!H15</f>
        <v>5</v>
      </c>
      <c r="H274" s="192">
        <f>'🤖 Llama-3.1-70b-instruct'!I15</f>
        <v>5</v>
      </c>
      <c r="I274" s="192">
        <f>'🤖 Llama-3.1-70b-instruct'!J15</f>
        <v>2</v>
      </c>
    </row>
    <row r="275">
      <c r="A275" s="128"/>
      <c r="B275" s="128"/>
      <c r="C275" s="79"/>
      <c r="D275" s="128"/>
      <c r="E275" s="128"/>
      <c r="F275" s="128"/>
      <c r="G275" s="128"/>
      <c r="H275" s="128"/>
      <c r="I275" s="128"/>
    </row>
    <row r="276">
      <c r="A276" s="120" t="str">
        <f>'🤖 Llama-3.1-70b-instruct'!$A$17</f>
        <v>http://elpais.com/deportes/2019/08/10/actualidad/1565426201_075062.html</v>
      </c>
      <c r="B276" s="128" t="s">
        <v>27</v>
      </c>
      <c r="C276" s="193" t="str">
        <f>'🤖 Llama-3.1-70b-instruct'!C17</f>
        <v>Base</v>
      </c>
      <c r="D276" s="178">
        <f>'🤖 Llama-3.1-70b-instruct'!E17</f>
        <v>0.1379800853</v>
      </c>
      <c r="E276" s="192">
        <f>'🤖 Llama-3.1-70b-instruct'!F17</f>
        <v>4</v>
      </c>
      <c r="F276" s="192">
        <f>'🤖 Llama-3.1-70b-instruct'!G17</f>
        <v>5</v>
      </c>
      <c r="G276" s="192">
        <f>'🤖 Llama-3.1-70b-instruct'!H17</f>
        <v>5</v>
      </c>
      <c r="H276" s="192">
        <f>'🤖 Llama-3.1-70b-instruct'!I17</f>
        <v>4</v>
      </c>
      <c r="I276" s="192">
        <f>'🤖 Llama-3.1-70b-instruct'!J17</f>
        <v>4</v>
      </c>
    </row>
    <row r="277">
      <c r="A277" s="120" t="str">
        <f>'🤖 Llama-3.1-70b-instruct'!$A$17</f>
        <v>http://elpais.com/deportes/2019/08/10/actualidad/1565426201_075062.html</v>
      </c>
      <c r="B277" s="128" t="s">
        <v>27</v>
      </c>
      <c r="C277" s="193" t="str">
        <f>'🤖 Llama-3.1-70b-instruct'!C18</f>
        <v>CoT</v>
      </c>
      <c r="D277" s="195">
        <f>'🤖 Llama-3.1-70b-instruct'!E18</f>
        <v>0.05832147937</v>
      </c>
      <c r="E277" s="192">
        <f>'🤖 Llama-3.1-70b-instruct'!F18</f>
        <v>5</v>
      </c>
      <c r="F277" s="192">
        <f>'🤖 Llama-3.1-70b-instruct'!G18</f>
        <v>5</v>
      </c>
      <c r="G277" s="192">
        <f>'🤖 Llama-3.1-70b-instruct'!H18</f>
        <v>5</v>
      </c>
      <c r="H277" s="192">
        <f>'🤖 Llama-3.1-70b-instruct'!I18</f>
        <v>5</v>
      </c>
      <c r="I277" s="192">
        <f>'🤖 Llama-3.1-70b-instruct'!J18</f>
        <v>2</v>
      </c>
    </row>
    <row r="278">
      <c r="A278" s="120" t="str">
        <f>'🤖 Llama-3.1-70b-instruct'!$A$17</f>
        <v>http://elpais.com/deportes/2019/08/10/actualidad/1565426201_075062.html</v>
      </c>
      <c r="B278" s="128" t="s">
        <v>27</v>
      </c>
      <c r="C278" s="193" t="str">
        <f>'🤖 Llama-3.1-70b-instruct'!C19</f>
        <v>5W1H</v>
      </c>
      <c r="D278" s="151">
        <f>'🤖 Llama-3.1-70b-instruct'!E19</f>
        <v>0.1877667141</v>
      </c>
      <c r="E278" s="192">
        <f>'🤖 Llama-3.1-70b-instruct'!F19</f>
        <v>3</v>
      </c>
      <c r="F278" s="192">
        <f>'🤖 Llama-3.1-70b-instruct'!G19</f>
        <v>4</v>
      </c>
      <c r="G278" s="192">
        <f>'🤖 Llama-3.1-70b-instruct'!H19</f>
        <v>5</v>
      </c>
      <c r="H278" s="192">
        <f>'🤖 Llama-3.1-70b-instruct'!I19</f>
        <v>4</v>
      </c>
      <c r="I278" s="192">
        <f>'🤖 Llama-3.1-70b-instruct'!J19</f>
        <v>5</v>
      </c>
    </row>
    <row r="279">
      <c r="A279" s="120" t="str">
        <f>'🤖 Llama-3.1-70b-instruct'!$A$17</f>
        <v>http://elpais.com/deportes/2019/08/10/actualidad/1565426201_075062.html</v>
      </c>
      <c r="B279" s="128" t="s">
        <v>27</v>
      </c>
      <c r="C279" s="193" t="str">
        <f>'🤖 Llama-3.1-70b-instruct'!C20</f>
        <v>tldr</v>
      </c>
      <c r="D279" s="134">
        <f>'🤖 Llama-3.1-70b-instruct'!E20</f>
        <v>0.09957325747</v>
      </c>
      <c r="E279" s="192">
        <f>'🤖 Llama-3.1-70b-instruct'!F20</f>
        <v>4</v>
      </c>
      <c r="F279" s="192">
        <f>'🤖 Llama-3.1-70b-instruct'!G20</f>
        <v>5</v>
      </c>
      <c r="G279" s="192">
        <f>'🤖 Llama-3.1-70b-instruct'!H20</f>
        <v>5</v>
      </c>
      <c r="H279" s="192">
        <f>'🤖 Llama-3.1-70b-instruct'!I20</f>
        <v>5</v>
      </c>
      <c r="I279" s="192">
        <f>'🤖 Llama-3.1-70b-instruct'!J20</f>
        <v>3</v>
      </c>
    </row>
    <row r="280">
      <c r="A280" s="128"/>
      <c r="B280" s="128"/>
      <c r="C280" s="79"/>
      <c r="D280" s="128"/>
      <c r="E280" s="128"/>
      <c r="F280" s="128"/>
      <c r="G280" s="128"/>
      <c r="H280" s="128"/>
      <c r="I280" s="128"/>
    </row>
    <row r="281">
      <c r="A281" s="120" t="str">
        <f>'🤖 Llama-3.1-70b-instruct'!$A$22</f>
        <v>http://elpais.com/elpais/2019/07/11/gente/1562866782_776897.html</v>
      </c>
      <c r="B281" s="128" t="s">
        <v>27</v>
      </c>
      <c r="C281" s="193" t="str">
        <f>'🤖 Llama-3.1-70b-instruct'!C22</f>
        <v>Base</v>
      </c>
      <c r="D281" s="125">
        <f>'🤖 Llama-3.1-70b-instruct'!E22</f>
        <v>0.1785457163</v>
      </c>
      <c r="E281" s="192">
        <f>'🤖 Llama-3.1-70b-instruct'!F22</f>
        <v>5</v>
      </c>
      <c r="F281" s="192">
        <f>'🤖 Llama-3.1-70b-instruct'!G22</f>
        <v>5</v>
      </c>
      <c r="G281" s="192">
        <f>'🤖 Llama-3.1-70b-instruct'!H22</f>
        <v>5</v>
      </c>
      <c r="H281" s="192">
        <f>'🤖 Llama-3.1-70b-instruct'!I22</f>
        <v>3</v>
      </c>
      <c r="I281" s="192">
        <f>'🤖 Llama-3.1-70b-instruct'!J22</f>
        <v>5</v>
      </c>
    </row>
    <row r="282">
      <c r="A282" s="120" t="str">
        <f>'🤖 Llama-3.1-70b-instruct'!$A$22</f>
        <v>http://elpais.com/elpais/2019/07/11/gente/1562866782_776897.html</v>
      </c>
      <c r="B282" s="128" t="s">
        <v>27</v>
      </c>
      <c r="C282" s="193" t="str">
        <f>'🤖 Llama-3.1-70b-instruct'!C23</f>
        <v>CoT</v>
      </c>
      <c r="D282" s="208">
        <f>'🤖 Llama-3.1-70b-instruct'!E23</f>
        <v>0.01367890569</v>
      </c>
      <c r="E282" s="192">
        <f>'🤖 Llama-3.1-70b-instruct'!F23</f>
        <v>5</v>
      </c>
      <c r="F282" s="192">
        <f>'🤖 Llama-3.1-70b-instruct'!G23</f>
        <v>5</v>
      </c>
      <c r="G282" s="192">
        <f>'🤖 Llama-3.1-70b-instruct'!H23</f>
        <v>5</v>
      </c>
      <c r="H282" s="192">
        <f>'🤖 Llama-3.1-70b-instruct'!I23</f>
        <v>2</v>
      </c>
      <c r="I282" s="192">
        <f>'🤖 Llama-3.1-70b-instruct'!J23</f>
        <v>1</v>
      </c>
    </row>
    <row r="283">
      <c r="A283" s="120" t="str">
        <f>'🤖 Llama-3.1-70b-instruct'!$A$22</f>
        <v>http://elpais.com/elpais/2019/07/11/gente/1562866782_776897.html</v>
      </c>
      <c r="B283" s="128" t="s">
        <v>27</v>
      </c>
      <c r="C283" s="193" t="str">
        <f>'🤖 Llama-3.1-70b-instruct'!C24</f>
        <v>5W1H</v>
      </c>
      <c r="D283" s="132">
        <f>'🤖 Llama-3.1-70b-instruct'!E24</f>
        <v>0.1123110151</v>
      </c>
      <c r="E283" s="192">
        <f>'🤖 Llama-3.1-70b-instruct'!F24</f>
        <v>3</v>
      </c>
      <c r="F283" s="192">
        <f>'🤖 Llama-3.1-70b-instruct'!G24</f>
        <v>3</v>
      </c>
      <c r="G283" s="192">
        <f>'🤖 Llama-3.1-70b-instruct'!H24</f>
        <v>5</v>
      </c>
      <c r="H283" s="192">
        <f>'🤖 Llama-3.1-70b-instruct'!I24</f>
        <v>5</v>
      </c>
      <c r="I283" s="192">
        <f>'🤖 Llama-3.1-70b-instruct'!J24</f>
        <v>3</v>
      </c>
    </row>
    <row r="284">
      <c r="A284" s="120" t="str">
        <f>'🤖 Llama-3.1-70b-instruct'!$A$22</f>
        <v>http://elpais.com/elpais/2019/07/11/gente/1562866782_776897.html</v>
      </c>
      <c r="B284" s="128" t="s">
        <v>27</v>
      </c>
      <c r="C284" s="193" t="str">
        <f>'🤖 Llama-3.1-70b-instruct'!C25</f>
        <v>tldr</v>
      </c>
      <c r="D284" s="209">
        <f>'🤖 Llama-3.1-70b-instruct'!E25</f>
        <v>0.03311735061</v>
      </c>
      <c r="E284" s="192">
        <f>'🤖 Llama-3.1-70b-instruct'!F25</f>
        <v>4</v>
      </c>
      <c r="F284" s="192">
        <f>'🤖 Llama-3.1-70b-instruct'!G25</f>
        <v>5</v>
      </c>
      <c r="G284" s="192">
        <f>'🤖 Llama-3.1-70b-instruct'!H25</f>
        <v>5</v>
      </c>
      <c r="H284" s="192">
        <f>'🤖 Llama-3.1-70b-instruct'!I25</f>
        <v>5</v>
      </c>
      <c r="I284" s="192">
        <f>'🤖 Llama-3.1-70b-instruct'!J25</f>
        <v>2</v>
      </c>
    </row>
    <row r="285">
      <c r="A285" s="128"/>
      <c r="B285" s="128"/>
      <c r="C285" s="79"/>
      <c r="D285" s="128"/>
      <c r="E285" s="128"/>
      <c r="F285" s="128"/>
      <c r="G285" s="128"/>
      <c r="H285" s="128"/>
      <c r="I285" s="128"/>
    </row>
    <row r="286">
      <c r="A286" s="120" t="str">
        <f>'🤖 Llama-3.1-70b-instruct'!$A$27</f>
        <v>http://elpais.com/elpais/2019/07/19/ciencia/1563535714_854872.html</v>
      </c>
      <c r="B286" s="128" t="s">
        <v>27</v>
      </c>
      <c r="C286" s="193" t="str">
        <f>'🤖 Llama-3.1-70b-instruct'!C27</f>
        <v>Base</v>
      </c>
      <c r="D286" s="210">
        <f>'🤖 Llama-3.1-70b-instruct'!E27</f>
        <v>0.2447013487</v>
      </c>
      <c r="E286" s="192">
        <f>'🤖 Llama-3.1-70b-instruct'!F27</f>
        <v>4</v>
      </c>
      <c r="F286" s="192">
        <f>'🤖 Llama-3.1-70b-instruct'!G27</f>
        <v>5</v>
      </c>
      <c r="G286" s="192">
        <f>'🤖 Llama-3.1-70b-instruct'!H27</f>
        <v>5</v>
      </c>
      <c r="H286" s="192">
        <f>'🤖 Llama-3.1-70b-instruct'!I27</f>
        <v>5</v>
      </c>
      <c r="I286" s="192">
        <f>'🤖 Llama-3.1-70b-instruct'!J27</f>
        <v>4</v>
      </c>
    </row>
    <row r="287">
      <c r="A287" s="120" t="str">
        <f>'🤖 Llama-3.1-70b-instruct'!$A$27</f>
        <v>http://elpais.com/elpais/2019/07/19/ciencia/1563535714_854872.html</v>
      </c>
      <c r="B287" s="128" t="s">
        <v>27</v>
      </c>
      <c r="C287" s="193" t="str">
        <f>'🤖 Llama-3.1-70b-instruct'!C28</f>
        <v>CoT</v>
      </c>
      <c r="D287" s="151">
        <f>'🤖 Llama-3.1-70b-instruct'!E28</f>
        <v>0.1868978805</v>
      </c>
      <c r="E287" s="192">
        <f>'🤖 Llama-3.1-70b-instruct'!F28</f>
        <v>4</v>
      </c>
      <c r="F287" s="192">
        <f>'🤖 Llama-3.1-70b-instruct'!G28</f>
        <v>5</v>
      </c>
      <c r="G287" s="192">
        <f>'🤖 Llama-3.1-70b-instruct'!H28</f>
        <v>5</v>
      </c>
      <c r="H287" s="192">
        <f>'🤖 Llama-3.1-70b-instruct'!I28</f>
        <v>5</v>
      </c>
      <c r="I287" s="192">
        <f>'🤖 Llama-3.1-70b-instruct'!J28</f>
        <v>4</v>
      </c>
    </row>
    <row r="288">
      <c r="A288" s="120" t="str">
        <f>'🤖 Llama-3.1-70b-instruct'!$A$27</f>
        <v>http://elpais.com/elpais/2019/07/19/ciencia/1563535714_854872.html</v>
      </c>
      <c r="B288" s="128" t="s">
        <v>27</v>
      </c>
      <c r="C288" s="193" t="str">
        <f>'🤖 Llama-3.1-70b-instruct'!C29</f>
        <v>5W1H</v>
      </c>
      <c r="D288" s="204">
        <f>'🤖 Llama-3.1-70b-instruct'!E29</f>
        <v>0.3082851638</v>
      </c>
      <c r="E288" s="192">
        <f>'🤖 Llama-3.1-70b-instruct'!F29</f>
        <v>3</v>
      </c>
      <c r="F288" s="192">
        <f>'🤖 Llama-3.1-70b-instruct'!G29</f>
        <v>4</v>
      </c>
      <c r="G288" s="192">
        <f>'🤖 Llama-3.1-70b-instruct'!H29</f>
        <v>4</v>
      </c>
      <c r="H288" s="192">
        <f>'🤖 Llama-3.1-70b-instruct'!I29</f>
        <v>4</v>
      </c>
      <c r="I288" s="192">
        <f>'🤖 Llama-3.1-70b-instruct'!J29</f>
        <v>4</v>
      </c>
    </row>
    <row r="289">
      <c r="A289" s="120" t="str">
        <f>'🤖 Llama-3.1-70b-instruct'!$A$27</f>
        <v>http://elpais.com/elpais/2019/07/19/ciencia/1563535714_854872.html</v>
      </c>
      <c r="B289" s="128" t="s">
        <v>27</v>
      </c>
      <c r="C289" s="193" t="str">
        <f>'🤖 Llama-3.1-70b-instruct'!C30</f>
        <v>tldr</v>
      </c>
      <c r="D289" s="211">
        <f>'🤖 Llama-3.1-70b-instruct'!E30</f>
        <v>0.1676300578</v>
      </c>
      <c r="E289" s="192">
        <f>'🤖 Llama-3.1-70b-instruct'!F30</f>
        <v>4</v>
      </c>
      <c r="F289" s="192">
        <f>'🤖 Llama-3.1-70b-instruct'!G30</f>
        <v>4</v>
      </c>
      <c r="G289" s="192">
        <f>'🤖 Llama-3.1-70b-instruct'!H30</f>
        <v>4</v>
      </c>
      <c r="H289" s="192">
        <f>'🤖 Llama-3.1-70b-instruct'!I30</f>
        <v>5</v>
      </c>
      <c r="I289" s="192">
        <f>'🤖 Llama-3.1-70b-instruct'!J30</f>
        <v>4</v>
      </c>
    </row>
    <row r="290">
      <c r="A290" s="128"/>
      <c r="B290" s="128"/>
      <c r="C290" s="79"/>
      <c r="D290" s="128"/>
      <c r="E290" s="128"/>
      <c r="F290" s="128"/>
      <c r="G290" s="128"/>
      <c r="H290" s="128"/>
      <c r="I290" s="128"/>
    </row>
    <row r="291">
      <c r="A291" s="120" t="str">
        <f>'🤖 Llama-3.1-70b-instruct'!$A$32</f>
        <v>http://elpais.com/ccaa/2019/09/28/catalunya/1569665675_576416.html</v>
      </c>
      <c r="B291" s="128" t="s">
        <v>27</v>
      </c>
      <c r="C291" s="193" t="str">
        <f>'🤖 Llama-3.1-70b-instruct'!C32</f>
        <v>Base</v>
      </c>
      <c r="D291" s="151">
        <f>'🤖 Llama-3.1-70b-instruct'!E32</f>
        <v>0.1891891892</v>
      </c>
      <c r="E291" s="192">
        <f>'🤖 Llama-3.1-70b-instruct'!F32</f>
        <v>4</v>
      </c>
      <c r="F291" s="192">
        <f>'🤖 Llama-3.1-70b-instruct'!G32</f>
        <v>5</v>
      </c>
      <c r="G291" s="192">
        <f>'🤖 Llama-3.1-70b-instruct'!H32</f>
        <v>5</v>
      </c>
      <c r="H291" s="192">
        <f>'🤖 Llama-3.1-70b-instruct'!I32</f>
        <v>5</v>
      </c>
      <c r="I291" s="192">
        <f>'🤖 Llama-3.1-70b-instruct'!J32</f>
        <v>3</v>
      </c>
    </row>
    <row r="292">
      <c r="A292" s="120" t="str">
        <f>'🤖 Llama-3.1-70b-instruct'!$A$32</f>
        <v>http://elpais.com/ccaa/2019/09/28/catalunya/1569665675_576416.html</v>
      </c>
      <c r="B292" s="128" t="s">
        <v>27</v>
      </c>
      <c r="C292" s="193" t="str">
        <f>'🤖 Llama-3.1-70b-instruct'!C33</f>
        <v>CoT</v>
      </c>
      <c r="D292" s="210">
        <f>'🤖 Llama-3.1-70b-instruct'!E33</f>
        <v>0.2432432432</v>
      </c>
      <c r="E292" s="192">
        <f>'🤖 Llama-3.1-70b-instruct'!F33</f>
        <v>5</v>
      </c>
      <c r="F292" s="192">
        <f>'🤖 Llama-3.1-70b-instruct'!G33</f>
        <v>5</v>
      </c>
      <c r="G292" s="192">
        <f>'🤖 Llama-3.1-70b-instruct'!H33</f>
        <v>5</v>
      </c>
      <c r="H292" s="192">
        <f>'🤖 Llama-3.1-70b-instruct'!I33</f>
        <v>4</v>
      </c>
      <c r="I292" s="192">
        <f>'🤖 Llama-3.1-70b-instruct'!J33</f>
        <v>2</v>
      </c>
    </row>
    <row r="293">
      <c r="A293" s="120" t="str">
        <f>'🤖 Llama-3.1-70b-instruct'!$A$32</f>
        <v>http://elpais.com/ccaa/2019/09/28/catalunya/1569665675_576416.html</v>
      </c>
      <c r="B293" s="128" t="s">
        <v>27</v>
      </c>
      <c r="C293" s="193" t="str">
        <f>'🤖 Llama-3.1-70b-instruct'!C34</f>
        <v>5W1H</v>
      </c>
      <c r="D293" s="212">
        <f>'🤖 Llama-3.1-70b-instruct'!E34</f>
        <v>0.7675675676</v>
      </c>
      <c r="E293" s="192">
        <f>'🤖 Llama-3.1-70b-instruct'!F34</f>
        <v>3</v>
      </c>
      <c r="F293" s="192">
        <f>'🤖 Llama-3.1-70b-instruct'!G34</f>
        <v>4</v>
      </c>
      <c r="G293" s="192">
        <f>'🤖 Llama-3.1-70b-instruct'!H34</f>
        <v>5</v>
      </c>
      <c r="H293" s="192">
        <f>'🤖 Llama-3.1-70b-instruct'!I34</f>
        <v>4</v>
      </c>
      <c r="I293" s="192">
        <f>'🤖 Llama-3.1-70b-instruct'!J34</f>
        <v>5</v>
      </c>
    </row>
    <row r="294">
      <c r="A294" s="120" t="str">
        <f>'🤖 Llama-3.1-70b-instruct'!$A$32</f>
        <v>http://elpais.com/ccaa/2019/09/28/catalunya/1569665675_576416.html</v>
      </c>
      <c r="B294" s="128" t="s">
        <v>27</v>
      </c>
      <c r="C294" s="193" t="str">
        <f>'🤖 Llama-3.1-70b-instruct'!C35</f>
        <v>tldr</v>
      </c>
      <c r="D294" s="176">
        <f>'🤖 Llama-3.1-70b-instruct'!E35</f>
        <v>0.1243243243</v>
      </c>
      <c r="E294" s="192">
        <f>'🤖 Llama-3.1-70b-instruct'!F35</f>
        <v>5</v>
      </c>
      <c r="F294" s="192">
        <f>'🤖 Llama-3.1-70b-instruct'!G35</f>
        <v>5</v>
      </c>
      <c r="G294" s="192">
        <f>'🤖 Llama-3.1-70b-instruct'!H35</f>
        <v>5</v>
      </c>
      <c r="H294" s="192">
        <f>'🤖 Llama-3.1-70b-instruct'!I35</f>
        <v>5</v>
      </c>
      <c r="I294" s="192">
        <f>'🤖 Llama-3.1-70b-instruct'!J35</f>
        <v>2</v>
      </c>
    </row>
    <row r="295">
      <c r="A295" s="128"/>
      <c r="B295" s="128"/>
      <c r="C295" s="79"/>
      <c r="D295" s="128"/>
      <c r="E295" s="128"/>
      <c r="F295" s="128"/>
      <c r="G295" s="128"/>
      <c r="H295" s="128"/>
      <c r="I295" s="128"/>
    </row>
    <row r="296">
      <c r="A296" s="120" t="str">
        <f>'🤖 Llama-3.1-70b-instruct'!$A$37</f>
        <v>http://elpais.com/elpais/2019/07/17/gente/1563351601_839455.html</v>
      </c>
      <c r="B296" s="128" t="s">
        <v>27</v>
      </c>
      <c r="C296" s="193" t="str">
        <f>'🤖 Llama-3.1-70b-instruct'!C37</f>
        <v>Base</v>
      </c>
      <c r="D296" s="173">
        <f>'🤖 Llama-3.1-70b-instruct'!E37</f>
        <v>0.1199478488</v>
      </c>
      <c r="E296" s="192">
        <f>'🤖 Llama-3.1-70b-instruct'!F37</f>
        <v>4</v>
      </c>
      <c r="F296" s="192">
        <f>'🤖 Llama-3.1-70b-instruct'!G37</f>
        <v>4</v>
      </c>
      <c r="G296" s="192">
        <f>'🤖 Llama-3.1-70b-instruct'!H37</f>
        <v>5</v>
      </c>
      <c r="H296" s="192">
        <f>'🤖 Llama-3.1-70b-instruct'!I37</f>
        <v>4</v>
      </c>
      <c r="I296" s="192">
        <f>'🤖 Llama-3.1-70b-instruct'!J37</f>
        <v>4</v>
      </c>
    </row>
    <row r="297">
      <c r="A297" s="120" t="str">
        <f>'🤖 Llama-3.1-70b-instruct'!$A$37</f>
        <v>http://elpais.com/elpais/2019/07/17/gente/1563351601_839455.html</v>
      </c>
      <c r="B297" s="128" t="s">
        <v>27</v>
      </c>
      <c r="C297" s="193" t="str">
        <f>'🤖 Llama-3.1-70b-instruct'!C38</f>
        <v>CoT</v>
      </c>
      <c r="D297" s="213">
        <f>'🤖 Llama-3.1-70b-instruct'!E38</f>
        <v>0.01564537158</v>
      </c>
      <c r="E297" s="192">
        <f>'🤖 Llama-3.1-70b-instruct'!F38</f>
        <v>5</v>
      </c>
      <c r="F297" s="192">
        <f>'🤖 Llama-3.1-70b-instruct'!G38</f>
        <v>5</v>
      </c>
      <c r="G297" s="192">
        <f>'🤖 Llama-3.1-70b-instruct'!H38</f>
        <v>5</v>
      </c>
      <c r="H297" s="192">
        <f>'🤖 Llama-3.1-70b-instruct'!I38</f>
        <v>5</v>
      </c>
      <c r="I297" s="192">
        <f>'🤖 Llama-3.1-70b-instruct'!J38</f>
        <v>2</v>
      </c>
    </row>
    <row r="298">
      <c r="A298" s="120" t="str">
        <f>'🤖 Llama-3.1-70b-instruct'!$A$37</f>
        <v>http://elpais.com/elpais/2019/07/17/gente/1563351601_839455.html</v>
      </c>
      <c r="B298" s="128" t="s">
        <v>27</v>
      </c>
      <c r="C298" s="193" t="str">
        <f>'🤖 Llama-3.1-70b-instruct'!C39</f>
        <v>5W1H</v>
      </c>
      <c r="D298" s="137">
        <f>'🤖 Llama-3.1-70b-instruct'!E39</f>
        <v>0.2007822686</v>
      </c>
      <c r="E298" s="192">
        <f>'🤖 Llama-3.1-70b-instruct'!F39</f>
        <v>3</v>
      </c>
      <c r="F298" s="192">
        <f>'🤖 Llama-3.1-70b-instruct'!G39</f>
        <v>4</v>
      </c>
      <c r="G298" s="192">
        <f>'🤖 Llama-3.1-70b-instruct'!H39</f>
        <v>5</v>
      </c>
      <c r="H298" s="192">
        <f>'🤖 Llama-3.1-70b-instruct'!I39</f>
        <v>4</v>
      </c>
      <c r="I298" s="192">
        <f>'🤖 Llama-3.1-70b-instruct'!J39</f>
        <v>4</v>
      </c>
    </row>
    <row r="299">
      <c r="A299" s="120" t="str">
        <f>'🤖 Llama-3.1-70b-instruct'!$A$37</f>
        <v>http://elpais.com/elpais/2019/07/17/gente/1563351601_839455.html</v>
      </c>
      <c r="B299" s="128" t="s">
        <v>27</v>
      </c>
      <c r="C299" s="193" t="str">
        <f>'🤖 Llama-3.1-70b-instruct'!C40</f>
        <v>tldr</v>
      </c>
      <c r="D299" s="214">
        <f>'🤖 Llama-3.1-70b-instruct'!E40</f>
        <v>0.05084745763</v>
      </c>
      <c r="E299" s="192">
        <f>'🤖 Llama-3.1-70b-instruct'!F40</f>
        <v>5</v>
      </c>
      <c r="F299" s="192">
        <f>'🤖 Llama-3.1-70b-instruct'!G40</f>
        <v>5</v>
      </c>
      <c r="G299" s="192">
        <f>'🤖 Llama-3.1-70b-instruct'!H40</f>
        <v>5</v>
      </c>
      <c r="H299" s="192">
        <f>'🤖 Llama-3.1-70b-instruct'!I40</f>
        <v>5</v>
      </c>
      <c r="I299" s="192">
        <f>'🤖 Llama-3.1-70b-instruct'!J40</f>
        <v>3</v>
      </c>
    </row>
    <row r="300">
      <c r="A300" s="128"/>
      <c r="B300" s="128"/>
      <c r="C300" s="79"/>
      <c r="D300" s="128"/>
      <c r="E300" s="128"/>
      <c r="F300" s="128"/>
      <c r="G300" s="128"/>
      <c r="H300" s="128"/>
      <c r="I300" s="128"/>
    </row>
    <row r="301">
      <c r="A301" s="120" t="str">
        <f>'🤖 Llama-3.1-70b-instruct'!$A$42</f>
        <v>http://elpais.com/tecnologia/2019/08/20/actualidad/1566294736_117123.html</v>
      </c>
      <c r="B301" s="128" t="s">
        <v>27</v>
      </c>
      <c r="C301" s="193" t="str">
        <f>'🤖 Llama-3.1-70b-instruct'!C42</f>
        <v>Base</v>
      </c>
      <c r="D301" s="132">
        <f>'🤖 Llama-3.1-70b-instruct'!E42</f>
        <v>0.1093969144</v>
      </c>
      <c r="E301" s="192">
        <f>'🤖 Llama-3.1-70b-instruct'!F42</f>
        <v>5</v>
      </c>
      <c r="F301" s="192">
        <f>'🤖 Llama-3.1-70b-instruct'!G42</f>
        <v>5</v>
      </c>
      <c r="G301" s="192">
        <f>'🤖 Llama-3.1-70b-instruct'!H42</f>
        <v>5</v>
      </c>
      <c r="H301" s="192">
        <f>'🤖 Llama-3.1-70b-instruct'!I42</f>
        <v>4</v>
      </c>
      <c r="I301" s="192">
        <f>'🤖 Llama-3.1-70b-instruct'!J42</f>
        <v>4</v>
      </c>
    </row>
    <row r="302">
      <c r="A302" s="120" t="str">
        <f>'🤖 Llama-3.1-70b-instruct'!$A$42</f>
        <v>http://elpais.com/tecnologia/2019/08/20/actualidad/1566294736_117123.html</v>
      </c>
      <c r="B302" s="128" t="s">
        <v>27</v>
      </c>
      <c r="C302" s="193" t="str">
        <f>'🤖 Llama-3.1-70b-instruct'!C43</f>
        <v>CoT</v>
      </c>
      <c r="D302" s="132">
        <f>'🤖 Llama-3.1-70b-instruct'!E43</f>
        <v>0.110799439</v>
      </c>
      <c r="E302" s="192">
        <f>'🤖 Llama-3.1-70b-instruct'!F43</f>
        <v>5</v>
      </c>
      <c r="F302" s="192">
        <f>'🤖 Llama-3.1-70b-instruct'!G43</f>
        <v>4</v>
      </c>
      <c r="G302" s="192">
        <f>'🤖 Llama-3.1-70b-instruct'!H43</f>
        <v>5</v>
      </c>
      <c r="H302" s="192">
        <f>'🤖 Llama-3.1-70b-instruct'!I43</f>
        <v>4</v>
      </c>
      <c r="I302" s="192">
        <f>'🤖 Llama-3.1-70b-instruct'!J43</f>
        <v>4</v>
      </c>
    </row>
    <row r="303">
      <c r="A303" s="120" t="str">
        <f>'🤖 Llama-3.1-70b-instruct'!$A$42</f>
        <v>http://elpais.com/tecnologia/2019/08/20/actualidad/1566294736_117123.html</v>
      </c>
      <c r="B303" s="128" t="s">
        <v>27</v>
      </c>
      <c r="C303" s="193" t="str">
        <f>'🤖 Llama-3.1-70b-instruct'!C44</f>
        <v>5W1H</v>
      </c>
      <c r="D303" s="203">
        <f>'🤖 Llama-3.1-70b-instruct'!E44</f>
        <v>0.1654978962</v>
      </c>
      <c r="E303" s="192">
        <f>'🤖 Llama-3.1-70b-instruct'!F44</f>
        <v>3</v>
      </c>
      <c r="F303" s="192">
        <f>'🤖 Llama-3.1-70b-instruct'!G44</f>
        <v>5</v>
      </c>
      <c r="G303" s="192">
        <f>'🤖 Llama-3.1-70b-instruct'!H44</f>
        <v>5</v>
      </c>
      <c r="H303" s="192">
        <f>'🤖 Llama-3.1-70b-instruct'!I44</f>
        <v>4</v>
      </c>
      <c r="I303" s="192">
        <f>'🤖 Llama-3.1-70b-instruct'!J44</f>
        <v>4</v>
      </c>
    </row>
    <row r="304">
      <c r="A304" s="120" t="str">
        <f>'🤖 Llama-3.1-70b-instruct'!$A$42</f>
        <v>http://elpais.com/tecnologia/2019/08/20/actualidad/1566294736_117123.html</v>
      </c>
      <c r="B304" s="128" t="s">
        <v>27</v>
      </c>
      <c r="C304" s="193" t="str">
        <f>'🤖 Llama-3.1-70b-instruct'!C45</f>
        <v>tldr</v>
      </c>
      <c r="D304" s="153">
        <f>'🤖 Llama-3.1-70b-instruct'!E45</f>
        <v>0.1065918654</v>
      </c>
      <c r="E304" s="192">
        <f>'🤖 Llama-3.1-70b-instruct'!F45</f>
        <v>5</v>
      </c>
      <c r="F304" s="192">
        <f>'🤖 Llama-3.1-70b-instruct'!G45</f>
        <v>5</v>
      </c>
      <c r="G304" s="192">
        <f>'🤖 Llama-3.1-70b-instruct'!H45</f>
        <v>5</v>
      </c>
      <c r="H304" s="192">
        <f>'🤖 Llama-3.1-70b-instruct'!I45</f>
        <v>5</v>
      </c>
      <c r="I304" s="192">
        <f>'🤖 Llama-3.1-70b-instruct'!J45</f>
        <v>4</v>
      </c>
    </row>
    <row r="305">
      <c r="A305" s="128"/>
      <c r="B305" s="128"/>
      <c r="C305" s="79"/>
      <c r="D305" s="128"/>
      <c r="E305" s="128"/>
      <c r="F305" s="128"/>
      <c r="G305" s="128"/>
      <c r="H305" s="128"/>
      <c r="I305" s="128"/>
    </row>
    <row r="306">
      <c r="A306" s="120" t="str">
        <f>'🤖 Llama-3.1-70b-instruct'!$A$47</f>
        <v>http://elpais.com/elpais/2019/07/05/ideas/1562335565_606827.html</v>
      </c>
      <c r="B306" s="128" t="s">
        <v>27</v>
      </c>
      <c r="C306" s="193" t="str">
        <f>'🤖 Llama-3.1-70b-instruct'!C47</f>
        <v>Base</v>
      </c>
      <c r="D306" s="134">
        <f>'🤖 Llama-3.1-70b-instruct'!E47</f>
        <v>0.09345200254</v>
      </c>
      <c r="E306" s="192">
        <f>'🤖 Llama-3.1-70b-instruct'!F47</f>
        <v>5</v>
      </c>
      <c r="F306" s="192">
        <f>'🤖 Llama-3.1-70b-instruct'!G47</f>
        <v>5</v>
      </c>
      <c r="G306" s="192">
        <f>'🤖 Llama-3.1-70b-instruct'!H47</f>
        <v>5</v>
      </c>
      <c r="H306" s="192">
        <f>'🤖 Llama-3.1-70b-instruct'!I47</f>
        <v>5</v>
      </c>
      <c r="I306" s="192">
        <f>'🤖 Llama-3.1-70b-instruct'!J47</f>
        <v>3</v>
      </c>
    </row>
    <row r="307">
      <c r="A307" s="120" t="str">
        <f>'🤖 Llama-3.1-70b-instruct'!$A$47</f>
        <v>http://elpais.com/elpais/2019/07/05/ideas/1562335565_606827.html</v>
      </c>
      <c r="B307" s="128" t="s">
        <v>27</v>
      </c>
      <c r="C307" s="193" t="str">
        <f>'🤖 Llama-3.1-70b-instruct'!C48</f>
        <v>CoT</v>
      </c>
      <c r="D307" s="214">
        <f>'🤖 Llama-3.1-70b-instruct'!E48</f>
        <v>0.05212968849</v>
      </c>
      <c r="E307" s="192">
        <f>'🤖 Llama-3.1-70b-instruct'!F48</f>
        <v>5</v>
      </c>
      <c r="F307" s="192">
        <f>'🤖 Llama-3.1-70b-instruct'!G48</f>
        <v>5</v>
      </c>
      <c r="G307" s="192">
        <f>'🤖 Llama-3.1-70b-instruct'!H48</f>
        <v>4</v>
      </c>
      <c r="H307" s="192">
        <f>'🤖 Llama-3.1-70b-instruct'!I48</f>
        <v>5</v>
      </c>
      <c r="I307" s="192">
        <f>'🤖 Llama-3.1-70b-instruct'!J48</f>
        <v>2</v>
      </c>
    </row>
    <row r="308">
      <c r="A308" s="120" t="str">
        <f>'🤖 Llama-3.1-70b-instruct'!$A$47</f>
        <v>http://elpais.com/elpais/2019/07/05/ideas/1562335565_606827.html</v>
      </c>
      <c r="B308" s="128" t="s">
        <v>27</v>
      </c>
      <c r="C308" s="193" t="str">
        <f>'🤖 Llama-3.1-70b-instruct'!C49</f>
        <v>5W1H</v>
      </c>
      <c r="D308" s="152">
        <f>'🤖 Llama-3.1-70b-instruct'!E49</f>
        <v>0.1487603306</v>
      </c>
      <c r="E308" s="192">
        <f>'🤖 Llama-3.1-70b-instruct'!F49</f>
        <v>3</v>
      </c>
      <c r="F308" s="192">
        <f>'🤖 Llama-3.1-70b-instruct'!G49</f>
        <v>4</v>
      </c>
      <c r="G308" s="192">
        <f>'🤖 Llama-3.1-70b-instruct'!H49</f>
        <v>4</v>
      </c>
      <c r="H308" s="192">
        <f>'🤖 Llama-3.1-70b-instruct'!I49</f>
        <v>4</v>
      </c>
      <c r="I308" s="192">
        <f>'🤖 Llama-3.1-70b-instruct'!J49</f>
        <v>3</v>
      </c>
    </row>
    <row r="309">
      <c r="A309" s="120" t="str">
        <f>'🤖 Llama-3.1-70b-instruct'!$A$47</f>
        <v>http://elpais.com/elpais/2019/07/05/ideas/1562335565_606827.html</v>
      </c>
      <c r="B309" s="128" t="s">
        <v>27</v>
      </c>
      <c r="C309" s="193" t="str">
        <f>'🤖 Llama-3.1-70b-instruct'!C50</f>
        <v>tldr</v>
      </c>
      <c r="D309" s="179">
        <f>'🤖 Llama-3.1-70b-instruct'!E50</f>
        <v>0.07374443738</v>
      </c>
      <c r="E309" s="192">
        <f>'🤖 Llama-3.1-70b-instruct'!F50</f>
        <v>5</v>
      </c>
      <c r="F309" s="192">
        <f>'🤖 Llama-3.1-70b-instruct'!G50</f>
        <v>5</v>
      </c>
      <c r="G309" s="192">
        <f>'🤖 Llama-3.1-70b-instruct'!H50</f>
        <v>4</v>
      </c>
      <c r="H309" s="192">
        <f>'🤖 Llama-3.1-70b-instruct'!I50</f>
        <v>5</v>
      </c>
      <c r="I309" s="192">
        <f>'🤖 Llama-3.1-70b-instruct'!J50</f>
        <v>3</v>
      </c>
    </row>
    <row r="310">
      <c r="A310" s="128"/>
      <c r="B310" s="128"/>
      <c r="C310" s="79"/>
      <c r="D310" s="128"/>
      <c r="E310" s="128"/>
      <c r="F310" s="128"/>
      <c r="G310" s="128"/>
      <c r="H310" s="128"/>
      <c r="I310" s="128"/>
    </row>
    <row r="311">
      <c r="A311" s="128"/>
      <c r="B311" s="128"/>
      <c r="C311" s="79"/>
      <c r="D311" s="128"/>
      <c r="E311" s="128"/>
      <c r="F311" s="128"/>
      <c r="G311" s="128"/>
      <c r="H311" s="128"/>
      <c r="I311" s="128"/>
    </row>
    <row r="312">
      <c r="A312" s="128"/>
      <c r="B312" s="128"/>
      <c r="C312" s="79"/>
      <c r="D312" s="128"/>
      <c r="E312" s="128"/>
      <c r="F312" s="128"/>
      <c r="G312" s="128"/>
      <c r="H312" s="128"/>
      <c r="I312" s="128"/>
    </row>
    <row r="313">
      <c r="A313" s="128"/>
      <c r="B313" s="128"/>
      <c r="C313" s="79"/>
      <c r="D313" s="128"/>
      <c r="E313" s="128"/>
      <c r="F313" s="128"/>
      <c r="G313" s="128"/>
      <c r="H313" s="128"/>
      <c r="I313" s="128"/>
    </row>
    <row r="314">
      <c r="A314" s="128"/>
      <c r="B314" s="128"/>
      <c r="C314" s="79"/>
      <c r="D314" s="128"/>
      <c r="E314" s="128"/>
      <c r="F314" s="128"/>
      <c r="G314" s="128"/>
      <c r="H314" s="128"/>
      <c r="I314" s="128"/>
    </row>
    <row r="315">
      <c r="A315" s="128"/>
      <c r="B315" s="128"/>
      <c r="C315" s="79"/>
      <c r="D315" s="128"/>
      <c r="E315" s="128"/>
      <c r="F315" s="128"/>
      <c r="G315" s="128"/>
      <c r="H315" s="128"/>
      <c r="I315" s="128"/>
    </row>
    <row r="316">
      <c r="A316" s="128"/>
      <c r="B316" s="128"/>
      <c r="C316" s="79"/>
      <c r="D316" s="128"/>
      <c r="E316" s="128"/>
      <c r="F316" s="128"/>
      <c r="G316" s="128"/>
      <c r="H316" s="128"/>
      <c r="I316" s="128"/>
    </row>
    <row r="317">
      <c r="A317" s="128"/>
      <c r="B317" s="128"/>
      <c r="C317" s="79"/>
      <c r="D317" s="128"/>
      <c r="E317" s="128"/>
      <c r="F317" s="128"/>
      <c r="G317" s="128"/>
      <c r="H317" s="128"/>
      <c r="I317" s="128"/>
    </row>
    <row r="318">
      <c r="A318" s="128"/>
      <c r="B318" s="128"/>
      <c r="C318" s="128"/>
      <c r="D318" s="128"/>
      <c r="E318" s="128"/>
      <c r="F318" s="128"/>
      <c r="G318" s="128"/>
      <c r="H318" s="128"/>
      <c r="I318" s="128"/>
    </row>
    <row r="319">
      <c r="A319" s="128"/>
      <c r="B319" s="128"/>
      <c r="C319" s="128"/>
      <c r="D319" s="128"/>
      <c r="E319" s="128"/>
      <c r="F319" s="128"/>
      <c r="G319" s="128"/>
      <c r="H319" s="128"/>
      <c r="I319" s="128"/>
    </row>
    <row r="320">
      <c r="A320" s="128"/>
      <c r="B320" s="128"/>
      <c r="C320" s="128"/>
      <c r="D320" s="128"/>
      <c r="E320" s="128"/>
      <c r="F320" s="128"/>
      <c r="G320" s="128"/>
      <c r="H320" s="128"/>
      <c r="I320" s="128"/>
    </row>
    <row r="321">
      <c r="A321" s="128"/>
      <c r="B321" s="128"/>
      <c r="C321" s="128"/>
      <c r="D321" s="128"/>
      <c r="E321" s="128"/>
      <c r="F321" s="128"/>
      <c r="G321" s="128"/>
      <c r="H321" s="128"/>
      <c r="I321" s="128"/>
    </row>
    <row r="322">
      <c r="A322" s="128"/>
      <c r="B322" s="128"/>
      <c r="C322" s="128"/>
      <c r="D322" s="128"/>
      <c r="E322" s="128"/>
      <c r="F322" s="128"/>
      <c r="G322" s="128"/>
      <c r="H322" s="128"/>
      <c r="I322" s="128"/>
    </row>
    <row r="323">
      <c r="A323" s="128"/>
      <c r="B323" s="128"/>
      <c r="C323" s="128"/>
      <c r="D323" s="128"/>
      <c r="E323" s="128"/>
      <c r="F323" s="128"/>
      <c r="G323" s="128"/>
      <c r="H323" s="128"/>
      <c r="I323" s="128"/>
    </row>
    <row r="324">
      <c r="A324" s="128"/>
      <c r="B324" s="128"/>
      <c r="C324" s="128"/>
      <c r="D324" s="128"/>
      <c r="E324" s="128"/>
      <c r="F324" s="128"/>
      <c r="G324" s="128"/>
      <c r="H324" s="128"/>
      <c r="I324" s="128"/>
    </row>
    <row r="325">
      <c r="A325" s="128"/>
      <c r="B325" s="128"/>
      <c r="C325" s="128"/>
      <c r="D325" s="128"/>
      <c r="E325" s="128"/>
      <c r="F325" s="128"/>
      <c r="G325" s="128"/>
      <c r="H325" s="128"/>
      <c r="I325" s="128"/>
    </row>
    <row r="326">
      <c r="A326" s="128"/>
      <c r="B326" s="128"/>
      <c r="C326" s="128"/>
      <c r="D326" s="128"/>
      <c r="E326" s="128"/>
      <c r="F326" s="128"/>
      <c r="G326" s="128"/>
      <c r="H326" s="128"/>
      <c r="I326" s="128"/>
    </row>
    <row r="327">
      <c r="A327" s="128"/>
      <c r="B327" s="128"/>
      <c r="C327" s="128"/>
      <c r="D327" s="128"/>
      <c r="E327" s="128"/>
      <c r="F327" s="128"/>
      <c r="G327" s="128"/>
      <c r="H327" s="128"/>
      <c r="I327" s="128"/>
    </row>
    <row r="328">
      <c r="A328" s="128"/>
      <c r="B328" s="128"/>
      <c r="C328" s="128"/>
      <c r="D328" s="128"/>
      <c r="E328" s="128"/>
      <c r="F328" s="128"/>
      <c r="G328" s="128"/>
      <c r="H328" s="128"/>
      <c r="I328" s="128"/>
    </row>
    <row r="329">
      <c r="A329" s="128"/>
      <c r="B329" s="128"/>
      <c r="C329" s="128"/>
      <c r="D329" s="128"/>
      <c r="E329" s="128"/>
      <c r="F329" s="128"/>
      <c r="G329" s="128"/>
      <c r="H329" s="128"/>
      <c r="I329" s="128"/>
    </row>
    <row r="330">
      <c r="A330" s="128"/>
      <c r="B330" s="128"/>
      <c r="C330" s="128"/>
      <c r="D330" s="128"/>
      <c r="E330" s="128"/>
      <c r="F330" s="128"/>
      <c r="G330" s="128"/>
      <c r="H330" s="128"/>
      <c r="I330" s="128"/>
    </row>
    <row r="331">
      <c r="A331" s="128"/>
      <c r="B331" s="128"/>
      <c r="C331" s="128"/>
      <c r="D331" s="128"/>
      <c r="E331" s="128"/>
      <c r="F331" s="128"/>
      <c r="G331" s="128"/>
      <c r="H331" s="128"/>
      <c r="I331" s="128"/>
    </row>
    <row r="332">
      <c r="A332" s="128"/>
      <c r="B332" s="128"/>
      <c r="C332" s="128"/>
      <c r="D332" s="128"/>
      <c r="E332" s="128"/>
      <c r="F332" s="128"/>
      <c r="G332" s="128"/>
      <c r="H332" s="128"/>
      <c r="I332" s="128"/>
    </row>
    <row r="333">
      <c r="A333" s="128"/>
      <c r="B333" s="128"/>
      <c r="C333" s="128"/>
      <c r="D333" s="128"/>
      <c r="E333" s="128"/>
      <c r="F333" s="128"/>
      <c r="G333" s="128"/>
      <c r="H333" s="128"/>
      <c r="I333" s="128"/>
    </row>
    <row r="334">
      <c r="A334" s="128"/>
      <c r="B334" s="128"/>
      <c r="C334" s="128"/>
      <c r="D334" s="128"/>
      <c r="E334" s="128"/>
      <c r="F334" s="128"/>
      <c r="G334" s="128"/>
      <c r="H334" s="128"/>
      <c r="I334" s="128"/>
    </row>
    <row r="335">
      <c r="A335" s="128"/>
      <c r="B335" s="128"/>
      <c r="C335" s="128"/>
      <c r="D335" s="128"/>
      <c r="E335" s="128"/>
      <c r="F335" s="128"/>
      <c r="G335" s="128"/>
      <c r="H335" s="128"/>
      <c r="I335" s="128"/>
    </row>
    <row r="336">
      <c r="A336" s="128"/>
      <c r="B336" s="128"/>
      <c r="C336" s="128"/>
      <c r="D336" s="128"/>
      <c r="E336" s="128"/>
      <c r="F336" s="128"/>
      <c r="G336" s="128"/>
      <c r="H336" s="128"/>
      <c r="I336" s="128"/>
    </row>
    <row r="337">
      <c r="A337" s="128"/>
      <c r="B337" s="128"/>
      <c r="C337" s="128"/>
      <c r="D337" s="128"/>
      <c r="E337" s="128"/>
      <c r="F337" s="128"/>
      <c r="G337" s="128"/>
      <c r="H337" s="128"/>
      <c r="I337" s="128"/>
    </row>
    <row r="338">
      <c r="A338" s="128"/>
      <c r="B338" s="128"/>
      <c r="C338" s="128"/>
      <c r="D338" s="128"/>
      <c r="E338" s="128"/>
      <c r="F338" s="128"/>
      <c r="G338" s="128"/>
      <c r="H338" s="128"/>
      <c r="I338" s="128"/>
    </row>
    <row r="339">
      <c r="A339" s="128"/>
      <c r="B339" s="128"/>
      <c r="C339" s="128"/>
      <c r="D339" s="128"/>
      <c r="E339" s="128"/>
      <c r="F339" s="128"/>
      <c r="G339" s="128"/>
      <c r="H339" s="128"/>
      <c r="I339" s="128"/>
    </row>
    <row r="340">
      <c r="A340" s="128"/>
      <c r="B340" s="128"/>
      <c r="C340" s="128"/>
      <c r="D340" s="128"/>
      <c r="E340" s="128"/>
      <c r="F340" s="128"/>
      <c r="G340" s="128"/>
      <c r="H340" s="128"/>
      <c r="I340" s="128"/>
    </row>
    <row r="341">
      <c r="A341" s="128"/>
      <c r="B341" s="128"/>
      <c r="C341" s="128"/>
      <c r="D341" s="128"/>
      <c r="E341" s="128"/>
      <c r="F341" s="128"/>
      <c r="G341" s="128"/>
      <c r="H341" s="128"/>
      <c r="I341" s="128"/>
    </row>
    <row r="342">
      <c r="A342" s="128"/>
      <c r="B342" s="128"/>
      <c r="C342" s="128"/>
      <c r="D342" s="128"/>
      <c r="E342" s="128"/>
      <c r="F342" s="128"/>
      <c r="G342" s="128"/>
      <c r="H342" s="128"/>
      <c r="I342" s="128"/>
    </row>
    <row r="343">
      <c r="A343" s="128"/>
      <c r="B343" s="128"/>
      <c r="C343" s="128"/>
      <c r="D343" s="128"/>
      <c r="E343" s="128"/>
      <c r="F343" s="128"/>
      <c r="G343" s="128"/>
      <c r="H343" s="128"/>
      <c r="I343" s="128"/>
    </row>
    <row r="344">
      <c r="A344" s="128"/>
      <c r="B344" s="128"/>
      <c r="C344" s="128"/>
      <c r="D344" s="128"/>
      <c r="E344" s="128"/>
      <c r="F344" s="128"/>
      <c r="G344" s="128"/>
      <c r="H344" s="128"/>
      <c r="I344" s="128"/>
    </row>
    <row r="345">
      <c r="A345" s="128"/>
      <c r="B345" s="128"/>
      <c r="C345" s="128"/>
      <c r="D345" s="128"/>
      <c r="E345" s="128"/>
      <c r="F345" s="128"/>
      <c r="G345" s="128"/>
      <c r="H345" s="128"/>
      <c r="I345" s="128"/>
    </row>
    <row r="346">
      <c r="A346" s="128"/>
      <c r="B346" s="128"/>
      <c r="C346" s="128"/>
      <c r="D346" s="128"/>
      <c r="E346" s="128"/>
      <c r="F346" s="128"/>
      <c r="G346" s="128"/>
      <c r="H346" s="128"/>
      <c r="I346" s="128"/>
    </row>
    <row r="347">
      <c r="A347" s="128"/>
      <c r="B347" s="128"/>
      <c r="C347" s="128"/>
      <c r="D347" s="128"/>
      <c r="E347" s="128"/>
      <c r="F347" s="128"/>
      <c r="G347" s="128"/>
      <c r="H347" s="128"/>
      <c r="I347" s="128"/>
    </row>
    <row r="348">
      <c r="A348" s="128"/>
      <c r="B348" s="128"/>
      <c r="C348" s="128"/>
      <c r="D348" s="128"/>
      <c r="E348" s="128"/>
      <c r="F348" s="128"/>
      <c r="G348" s="128"/>
      <c r="H348" s="128"/>
      <c r="I348" s="128"/>
    </row>
    <row r="349">
      <c r="A349" s="128"/>
      <c r="B349" s="128"/>
      <c r="C349" s="128"/>
      <c r="D349" s="128"/>
      <c r="E349" s="128"/>
      <c r="F349" s="128"/>
      <c r="G349" s="128"/>
      <c r="H349" s="128"/>
      <c r="I349" s="128"/>
    </row>
    <row r="350">
      <c r="A350" s="128"/>
      <c r="B350" s="128"/>
      <c r="C350" s="128"/>
      <c r="D350" s="128"/>
      <c r="E350" s="128"/>
      <c r="F350" s="128"/>
      <c r="G350" s="128"/>
      <c r="H350" s="128"/>
      <c r="I350" s="128"/>
    </row>
    <row r="351">
      <c r="A351" s="128"/>
      <c r="B351" s="128"/>
      <c r="C351" s="128"/>
      <c r="D351" s="128"/>
      <c r="E351" s="128"/>
      <c r="F351" s="128"/>
      <c r="G351" s="128"/>
      <c r="H351" s="128"/>
      <c r="I351" s="128"/>
    </row>
    <row r="352">
      <c r="A352" s="128"/>
      <c r="B352" s="128"/>
      <c r="C352" s="128"/>
      <c r="D352" s="128"/>
      <c r="E352" s="128"/>
      <c r="F352" s="128"/>
      <c r="G352" s="128"/>
      <c r="H352" s="128"/>
      <c r="I352" s="128"/>
    </row>
    <row r="353">
      <c r="A353" s="128"/>
      <c r="B353" s="128"/>
      <c r="C353" s="128"/>
      <c r="D353" s="128"/>
      <c r="E353" s="128"/>
      <c r="F353" s="128"/>
      <c r="G353" s="128"/>
      <c r="H353" s="128"/>
      <c r="I353" s="128"/>
    </row>
    <row r="354">
      <c r="A354" s="128"/>
      <c r="B354" s="128"/>
      <c r="C354" s="128"/>
      <c r="D354" s="128"/>
      <c r="E354" s="128"/>
      <c r="F354" s="128"/>
      <c r="G354" s="128"/>
      <c r="H354" s="128"/>
      <c r="I354" s="128"/>
    </row>
    <row r="355">
      <c r="A355" s="128"/>
      <c r="B355" s="128"/>
      <c r="C355" s="128"/>
      <c r="D355" s="128"/>
      <c r="E355" s="128"/>
      <c r="F355" s="128"/>
      <c r="G355" s="128"/>
      <c r="H355" s="128"/>
      <c r="I355" s="128"/>
    </row>
    <row r="356">
      <c r="A356" s="128"/>
      <c r="B356" s="128"/>
      <c r="C356" s="128"/>
      <c r="D356" s="128"/>
      <c r="E356" s="128"/>
      <c r="F356" s="128"/>
      <c r="G356" s="128"/>
      <c r="H356" s="128"/>
      <c r="I356" s="128"/>
    </row>
    <row r="357">
      <c r="A357" s="128"/>
      <c r="B357" s="128"/>
      <c r="C357" s="128"/>
      <c r="D357" s="128"/>
      <c r="E357" s="128"/>
      <c r="F357" s="128"/>
      <c r="G357" s="128"/>
      <c r="H357" s="128"/>
      <c r="I357" s="128"/>
    </row>
    <row r="358">
      <c r="A358" s="128"/>
      <c r="B358" s="128"/>
      <c r="C358" s="128"/>
      <c r="D358" s="128"/>
      <c r="E358" s="128"/>
      <c r="F358" s="128"/>
      <c r="G358" s="128"/>
      <c r="H358" s="128"/>
      <c r="I358" s="128"/>
    </row>
    <row r="359">
      <c r="A359" s="128"/>
      <c r="B359" s="128"/>
      <c r="C359" s="128"/>
      <c r="D359" s="128"/>
      <c r="E359" s="128"/>
      <c r="F359" s="128"/>
      <c r="G359" s="128"/>
      <c r="H359" s="128"/>
      <c r="I359" s="128"/>
    </row>
    <row r="360">
      <c r="A360" s="128"/>
      <c r="B360" s="128"/>
      <c r="C360" s="128"/>
      <c r="D360" s="128"/>
      <c r="E360" s="128"/>
      <c r="F360" s="128"/>
      <c r="G360" s="128"/>
      <c r="H360" s="128"/>
      <c r="I360" s="128"/>
    </row>
    <row r="361">
      <c r="A361" s="128"/>
      <c r="B361" s="128"/>
      <c r="C361" s="128"/>
      <c r="D361" s="128"/>
      <c r="E361" s="128"/>
      <c r="F361" s="128"/>
      <c r="G361" s="128"/>
      <c r="H361" s="128"/>
      <c r="I361" s="128"/>
    </row>
    <row r="362">
      <c r="A362" s="128"/>
      <c r="B362" s="128"/>
      <c r="C362" s="128"/>
      <c r="D362" s="128"/>
      <c r="E362" s="128"/>
      <c r="F362" s="128"/>
      <c r="G362" s="128"/>
      <c r="H362" s="128"/>
      <c r="I362" s="128"/>
    </row>
    <row r="363">
      <c r="A363" s="128"/>
      <c r="B363" s="128"/>
      <c r="C363" s="128"/>
      <c r="D363" s="128"/>
      <c r="E363" s="128"/>
      <c r="F363" s="128"/>
      <c r="G363" s="128"/>
      <c r="H363" s="128"/>
      <c r="I363" s="128"/>
    </row>
    <row r="364">
      <c r="A364" s="128"/>
      <c r="B364" s="128"/>
      <c r="C364" s="128"/>
      <c r="D364" s="128"/>
      <c r="E364" s="128"/>
      <c r="F364" s="128"/>
      <c r="G364" s="128"/>
      <c r="H364" s="128"/>
      <c r="I364" s="128"/>
    </row>
    <row r="365">
      <c r="A365" s="128"/>
      <c r="B365" s="128"/>
      <c r="C365" s="128"/>
      <c r="D365" s="128"/>
      <c r="E365" s="128"/>
      <c r="F365" s="128"/>
      <c r="G365" s="128"/>
      <c r="H365" s="128"/>
      <c r="I365" s="128"/>
    </row>
    <row r="366">
      <c r="A366" s="128"/>
      <c r="B366" s="128"/>
      <c r="C366" s="128"/>
      <c r="D366" s="128"/>
      <c r="E366" s="128"/>
      <c r="F366" s="128"/>
      <c r="G366" s="128"/>
      <c r="H366" s="128"/>
      <c r="I366" s="128"/>
    </row>
    <row r="367">
      <c r="A367" s="128"/>
      <c r="B367" s="128"/>
      <c r="C367" s="128"/>
      <c r="D367" s="128"/>
      <c r="E367" s="128"/>
      <c r="F367" s="128"/>
      <c r="G367" s="128"/>
      <c r="H367" s="128"/>
      <c r="I367" s="128"/>
    </row>
    <row r="368">
      <c r="A368" s="128"/>
      <c r="B368" s="128"/>
      <c r="C368" s="128"/>
      <c r="D368" s="128"/>
      <c r="E368" s="128"/>
      <c r="F368" s="128"/>
      <c r="G368" s="128"/>
      <c r="H368" s="128"/>
      <c r="I368" s="128"/>
    </row>
    <row r="369">
      <c r="A369" s="128"/>
      <c r="B369" s="128"/>
      <c r="C369" s="128"/>
      <c r="D369" s="128"/>
      <c r="E369" s="128"/>
      <c r="F369" s="128"/>
      <c r="G369" s="128"/>
      <c r="H369" s="128"/>
      <c r="I369" s="128"/>
    </row>
    <row r="370">
      <c r="A370" s="128"/>
      <c r="B370" s="128"/>
      <c r="C370" s="128"/>
      <c r="D370" s="128"/>
      <c r="E370" s="128"/>
      <c r="F370" s="128"/>
      <c r="G370" s="128"/>
      <c r="H370" s="128"/>
      <c r="I370" s="128"/>
    </row>
    <row r="371">
      <c r="A371" s="128"/>
      <c r="B371" s="128"/>
      <c r="C371" s="128"/>
      <c r="D371" s="128"/>
      <c r="E371" s="128"/>
      <c r="F371" s="128"/>
      <c r="G371" s="128"/>
      <c r="H371" s="128"/>
      <c r="I371" s="128"/>
    </row>
    <row r="372">
      <c r="A372" s="128"/>
      <c r="B372" s="128"/>
      <c r="C372" s="128"/>
      <c r="D372" s="128"/>
      <c r="E372" s="128"/>
      <c r="F372" s="128"/>
      <c r="G372" s="128"/>
      <c r="H372" s="128"/>
      <c r="I372" s="128"/>
    </row>
    <row r="373">
      <c r="A373" s="128"/>
      <c r="B373" s="128"/>
      <c r="C373" s="128"/>
      <c r="D373" s="128"/>
      <c r="E373" s="128"/>
      <c r="F373" s="128"/>
      <c r="G373" s="128"/>
      <c r="H373" s="128"/>
      <c r="I373" s="128"/>
    </row>
    <row r="374">
      <c r="A374" s="128"/>
      <c r="B374" s="128"/>
      <c r="C374" s="128"/>
      <c r="D374" s="128"/>
      <c r="E374" s="128"/>
      <c r="F374" s="128"/>
      <c r="G374" s="128"/>
      <c r="H374" s="128"/>
      <c r="I374" s="128"/>
    </row>
    <row r="375">
      <c r="A375" s="128"/>
      <c r="B375" s="128"/>
      <c r="C375" s="128"/>
      <c r="D375" s="128"/>
      <c r="E375" s="128"/>
      <c r="F375" s="128"/>
      <c r="G375" s="128"/>
      <c r="H375" s="128"/>
      <c r="I375" s="128"/>
    </row>
    <row r="376">
      <c r="A376" s="128"/>
      <c r="B376" s="128"/>
      <c r="C376" s="128"/>
      <c r="D376" s="128"/>
      <c r="E376" s="128"/>
      <c r="F376" s="128"/>
      <c r="G376" s="128"/>
      <c r="H376" s="128"/>
      <c r="I376" s="128"/>
    </row>
    <row r="377">
      <c r="A377" s="128"/>
      <c r="B377" s="128"/>
      <c r="C377" s="128"/>
      <c r="D377" s="128"/>
      <c r="E377" s="128"/>
      <c r="F377" s="128"/>
      <c r="G377" s="128"/>
      <c r="H377" s="128"/>
      <c r="I377" s="128"/>
    </row>
    <row r="378">
      <c r="A378" s="128"/>
      <c r="B378" s="128"/>
      <c r="C378" s="128"/>
      <c r="D378" s="128"/>
      <c r="E378" s="128"/>
      <c r="F378" s="128"/>
      <c r="G378" s="128"/>
      <c r="H378" s="128"/>
      <c r="I378" s="128"/>
    </row>
    <row r="379">
      <c r="A379" s="128"/>
      <c r="B379" s="128"/>
      <c r="C379" s="128"/>
      <c r="D379" s="128"/>
      <c r="E379" s="128"/>
      <c r="F379" s="128"/>
      <c r="G379" s="128"/>
      <c r="H379" s="128"/>
      <c r="I379" s="128"/>
    </row>
    <row r="380">
      <c r="A380" s="128"/>
      <c r="B380" s="128"/>
      <c r="C380" s="128"/>
      <c r="D380" s="128"/>
      <c r="E380" s="128"/>
      <c r="F380" s="128"/>
      <c r="G380" s="128"/>
      <c r="H380" s="128"/>
      <c r="I380" s="128"/>
    </row>
    <row r="381">
      <c r="A381" s="128"/>
      <c r="B381" s="128"/>
      <c r="C381" s="128"/>
      <c r="D381" s="128"/>
      <c r="E381" s="128"/>
      <c r="F381" s="128"/>
      <c r="G381" s="128"/>
      <c r="H381" s="128"/>
      <c r="I381" s="128"/>
    </row>
    <row r="382">
      <c r="A382" s="128"/>
      <c r="B382" s="128"/>
      <c r="C382" s="128"/>
      <c r="D382" s="128"/>
      <c r="E382" s="128"/>
      <c r="F382" s="128"/>
      <c r="G382" s="128"/>
      <c r="H382" s="128"/>
      <c r="I382" s="128"/>
    </row>
    <row r="383">
      <c r="A383" s="128"/>
      <c r="B383" s="128"/>
      <c r="C383" s="128"/>
      <c r="D383" s="128"/>
      <c r="E383" s="128"/>
      <c r="F383" s="128"/>
      <c r="G383" s="128"/>
      <c r="H383" s="128"/>
      <c r="I383" s="128"/>
    </row>
    <row r="384">
      <c r="A384" s="128"/>
      <c r="B384" s="128"/>
      <c r="C384" s="128"/>
      <c r="D384" s="128"/>
      <c r="E384" s="128"/>
      <c r="F384" s="128"/>
      <c r="G384" s="128"/>
      <c r="H384" s="128"/>
      <c r="I384" s="128"/>
    </row>
    <row r="385">
      <c r="A385" s="128"/>
      <c r="B385" s="128"/>
      <c r="C385" s="128"/>
      <c r="D385" s="128"/>
      <c r="E385" s="128"/>
      <c r="F385" s="128"/>
      <c r="G385" s="128"/>
      <c r="H385" s="128"/>
      <c r="I385" s="128"/>
    </row>
    <row r="386">
      <c r="A386" s="128"/>
      <c r="B386" s="128"/>
      <c r="C386" s="128"/>
      <c r="D386" s="128"/>
      <c r="E386" s="128"/>
      <c r="F386" s="128"/>
      <c r="G386" s="128"/>
      <c r="H386" s="128"/>
      <c r="I386" s="128"/>
    </row>
    <row r="387">
      <c r="A387" s="128"/>
      <c r="B387" s="128"/>
      <c r="C387" s="128"/>
      <c r="D387" s="128"/>
      <c r="E387" s="128"/>
      <c r="F387" s="128"/>
      <c r="G387" s="128"/>
      <c r="H387" s="128"/>
      <c r="I387" s="128"/>
    </row>
    <row r="388">
      <c r="A388" s="128"/>
      <c r="B388" s="128"/>
      <c r="C388" s="128"/>
      <c r="D388" s="128"/>
      <c r="E388" s="128"/>
      <c r="F388" s="128"/>
      <c r="G388" s="128"/>
      <c r="H388" s="128"/>
      <c r="I388" s="128"/>
    </row>
    <row r="389">
      <c r="A389" s="128"/>
      <c r="B389" s="128"/>
      <c r="C389" s="128"/>
      <c r="D389" s="128"/>
      <c r="E389" s="128"/>
      <c r="F389" s="128"/>
      <c r="G389" s="128"/>
      <c r="H389" s="128"/>
      <c r="I389" s="128"/>
    </row>
    <row r="390">
      <c r="A390" s="128"/>
      <c r="B390" s="128"/>
      <c r="C390" s="128"/>
      <c r="D390" s="128"/>
      <c r="E390" s="128"/>
      <c r="F390" s="128"/>
      <c r="G390" s="128"/>
      <c r="H390" s="128"/>
      <c r="I390" s="128"/>
    </row>
    <row r="391">
      <c r="A391" s="128"/>
      <c r="B391" s="128"/>
      <c r="C391" s="128"/>
      <c r="D391" s="128"/>
      <c r="E391" s="128"/>
      <c r="F391" s="128"/>
      <c r="G391" s="128"/>
      <c r="H391" s="128"/>
      <c r="I391" s="128"/>
    </row>
    <row r="392">
      <c r="A392" s="128"/>
      <c r="B392" s="128"/>
      <c r="C392" s="128"/>
      <c r="D392" s="128"/>
      <c r="E392" s="128"/>
      <c r="F392" s="128"/>
      <c r="G392" s="128"/>
      <c r="H392" s="128"/>
      <c r="I392" s="128"/>
    </row>
    <row r="393">
      <c r="A393" s="128"/>
      <c r="B393" s="128"/>
      <c r="C393" s="128"/>
      <c r="D393" s="128"/>
      <c r="E393" s="128"/>
      <c r="F393" s="128"/>
      <c r="G393" s="128"/>
      <c r="H393" s="128"/>
      <c r="I393" s="128"/>
    </row>
    <row r="394">
      <c r="A394" s="128"/>
      <c r="B394" s="128"/>
      <c r="C394" s="128"/>
      <c r="D394" s="128"/>
      <c r="E394" s="128"/>
      <c r="F394" s="128"/>
      <c r="G394" s="128"/>
      <c r="H394" s="128"/>
      <c r="I394" s="128"/>
    </row>
    <row r="395">
      <c r="A395" s="128"/>
      <c r="B395" s="128"/>
      <c r="C395" s="128"/>
      <c r="D395" s="128"/>
      <c r="E395" s="128"/>
      <c r="F395" s="128"/>
      <c r="G395" s="128"/>
      <c r="H395" s="128"/>
      <c r="I395" s="128"/>
    </row>
    <row r="396">
      <c r="A396" s="128"/>
      <c r="B396" s="128"/>
      <c r="C396" s="128"/>
      <c r="D396" s="128"/>
      <c r="E396" s="128"/>
      <c r="F396" s="128"/>
      <c r="G396" s="128"/>
      <c r="H396" s="128"/>
      <c r="I396" s="128"/>
    </row>
    <row r="397">
      <c r="A397" s="128"/>
      <c r="B397" s="128"/>
      <c r="C397" s="128"/>
      <c r="D397" s="128"/>
      <c r="E397" s="128"/>
      <c r="F397" s="128"/>
      <c r="G397" s="128"/>
      <c r="H397" s="128"/>
      <c r="I397" s="128"/>
    </row>
    <row r="398">
      <c r="A398" s="128"/>
      <c r="B398" s="128"/>
      <c r="C398" s="128"/>
      <c r="D398" s="128"/>
      <c r="E398" s="128"/>
      <c r="F398" s="128"/>
      <c r="G398" s="128"/>
      <c r="H398" s="128"/>
      <c r="I398" s="128"/>
    </row>
    <row r="399">
      <c r="A399" s="128"/>
      <c r="B399" s="128"/>
      <c r="C399" s="128"/>
      <c r="D399" s="128"/>
      <c r="E399" s="128"/>
      <c r="F399" s="128"/>
      <c r="G399" s="128"/>
      <c r="H399" s="128"/>
      <c r="I399" s="128"/>
    </row>
    <row r="400">
      <c r="A400" s="128"/>
      <c r="B400" s="128"/>
      <c r="C400" s="128"/>
      <c r="D400" s="128"/>
      <c r="E400" s="128"/>
      <c r="F400" s="128"/>
      <c r="G400" s="128"/>
      <c r="H400" s="128"/>
      <c r="I400" s="128"/>
    </row>
    <row r="401">
      <c r="A401" s="128"/>
      <c r="B401" s="128"/>
      <c r="C401" s="128"/>
      <c r="D401" s="128"/>
      <c r="E401" s="128"/>
      <c r="F401" s="128"/>
      <c r="G401" s="128"/>
      <c r="H401" s="128"/>
      <c r="I401" s="128"/>
    </row>
    <row r="402">
      <c r="A402" s="128"/>
      <c r="B402" s="128"/>
      <c r="C402" s="128"/>
      <c r="D402" s="128"/>
      <c r="E402" s="128"/>
      <c r="F402" s="128"/>
      <c r="G402" s="128"/>
      <c r="H402" s="128"/>
      <c r="I402" s="128"/>
    </row>
    <row r="403">
      <c r="A403" s="128"/>
      <c r="B403" s="128"/>
      <c r="C403" s="128"/>
      <c r="D403" s="128"/>
      <c r="E403" s="128"/>
      <c r="F403" s="128"/>
      <c r="G403" s="128"/>
      <c r="H403" s="128"/>
      <c r="I403" s="128"/>
    </row>
    <row r="404">
      <c r="A404" s="128"/>
      <c r="B404" s="128"/>
      <c r="C404" s="128"/>
      <c r="D404" s="128"/>
      <c r="E404" s="128"/>
      <c r="F404" s="128"/>
      <c r="G404" s="128"/>
      <c r="H404" s="128"/>
      <c r="I404" s="128"/>
    </row>
    <row r="405">
      <c r="A405" s="128"/>
      <c r="B405" s="128"/>
      <c r="C405" s="128"/>
      <c r="D405" s="128"/>
      <c r="E405" s="128"/>
      <c r="F405" s="128"/>
      <c r="G405" s="128"/>
      <c r="H405" s="128"/>
      <c r="I405" s="128"/>
    </row>
    <row r="406">
      <c r="A406" s="128"/>
      <c r="B406" s="128"/>
      <c r="C406" s="128"/>
      <c r="D406" s="128"/>
      <c r="E406" s="128"/>
      <c r="F406" s="128"/>
      <c r="G406" s="128"/>
      <c r="H406" s="128"/>
      <c r="I406" s="128"/>
    </row>
    <row r="407">
      <c r="A407" s="128"/>
      <c r="B407" s="128"/>
      <c r="C407" s="128"/>
      <c r="D407" s="128"/>
      <c r="E407" s="128"/>
      <c r="F407" s="128"/>
      <c r="G407" s="128"/>
      <c r="H407" s="128"/>
      <c r="I407" s="128"/>
    </row>
    <row r="408">
      <c r="A408" s="128"/>
      <c r="B408" s="128"/>
      <c r="C408" s="128"/>
      <c r="D408" s="128"/>
      <c r="E408" s="128"/>
      <c r="F408" s="128"/>
      <c r="G408" s="128"/>
      <c r="H408" s="128"/>
      <c r="I408" s="128"/>
    </row>
    <row r="409">
      <c r="A409" s="128"/>
      <c r="B409" s="128"/>
      <c r="C409" s="128"/>
      <c r="D409" s="128"/>
      <c r="E409" s="128"/>
      <c r="F409" s="128"/>
      <c r="G409" s="128"/>
      <c r="H409" s="128"/>
      <c r="I409" s="128"/>
    </row>
    <row r="410">
      <c r="A410" s="128"/>
      <c r="B410" s="128"/>
      <c r="C410" s="128"/>
      <c r="D410" s="128"/>
      <c r="E410" s="128"/>
      <c r="F410" s="128"/>
      <c r="G410" s="128"/>
      <c r="H410" s="128"/>
      <c r="I410" s="128"/>
    </row>
    <row r="411">
      <c r="A411" s="128"/>
      <c r="B411" s="128"/>
      <c r="C411" s="128"/>
      <c r="D411" s="128"/>
      <c r="E411" s="128"/>
      <c r="F411" s="128"/>
      <c r="G411" s="128"/>
      <c r="H411" s="128"/>
      <c r="I411" s="128"/>
    </row>
    <row r="412">
      <c r="A412" s="128"/>
      <c r="B412" s="128"/>
      <c r="C412" s="128"/>
      <c r="D412" s="128"/>
      <c r="E412" s="128"/>
      <c r="F412" s="128"/>
      <c r="G412" s="128"/>
      <c r="H412" s="128"/>
      <c r="I412" s="128"/>
    </row>
    <row r="413">
      <c r="A413" s="128"/>
      <c r="B413" s="128"/>
      <c r="C413" s="128"/>
      <c r="D413" s="128"/>
      <c r="E413" s="128"/>
      <c r="F413" s="128"/>
      <c r="G413" s="128"/>
      <c r="H413" s="128"/>
      <c r="I413" s="128"/>
    </row>
    <row r="414">
      <c r="A414" s="128"/>
      <c r="B414" s="128"/>
      <c r="C414" s="128"/>
      <c r="D414" s="128"/>
      <c r="E414" s="128"/>
      <c r="F414" s="128"/>
      <c r="G414" s="128"/>
      <c r="H414" s="128"/>
      <c r="I414" s="128"/>
    </row>
    <row r="415">
      <c r="A415" s="128"/>
      <c r="B415" s="128"/>
      <c r="C415" s="128"/>
      <c r="D415" s="128"/>
      <c r="E415" s="128"/>
      <c r="F415" s="128"/>
      <c r="G415" s="128"/>
      <c r="H415" s="128"/>
      <c r="I415" s="128"/>
    </row>
    <row r="416">
      <c r="A416" s="128"/>
      <c r="B416" s="128"/>
      <c r="C416" s="128"/>
      <c r="D416" s="128"/>
      <c r="E416" s="128"/>
      <c r="F416" s="128"/>
      <c r="G416" s="128"/>
      <c r="H416" s="128"/>
      <c r="I416" s="128"/>
    </row>
    <row r="417">
      <c r="A417" s="128"/>
      <c r="B417" s="128"/>
      <c r="C417" s="128"/>
      <c r="D417" s="128"/>
      <c r="E417" s="128"/>
      <c r="F417" s="128"/>
      <c r="G417" s="128"/>
      <c r="H417" s="128"/>
      <c r="I417" s="128"/>
    </row>
    <row r="418">
      <c r="A418" s="128"/>
      <c r="B418" s="128"/>
      <c r="C418" s="128"/>
      <c r="D418" s="128"/>
      <c r="E418" s="128"/>
      <c r="F418" s="128"/>
      <c r="G418" s="128"/>
      <c r="H418" s="128"/>
      <c r="I418" s="128"/>
    </row>
    <row r="419">
      <c r="A419" s="128"/>
      <c r="B419" s="128"/>
      <c r="C419" s="128"/>
      <c r="D419" s="128"/>
      <c r="E419" s="128"/>
      <c r="F419" s="128"/>
      <c r="G419" s="128"/>
      <c r="H419" s="128"/>
      <c r="I419" s="128"/>
    </row>
    <row r="420">
      <c r="A420" s="128"/>
      <c r="B420" s="128"/>
      <c r="C420" s="128"/>
      <c r="D420" s="128"/>
      <c r="E420" s="128"/>
      <c r="F420" s="128"/>
      <c r="G420" s="128"/>
      <c r="H420" s="128"/>
      <c r="I420" s="128"/>
    </row>
    <row r="421">
      <c r="A421" s="128"/>
      <c r="B421" s="128"/>
      <c r="C421" s="128"/>
      <c r="D421" s="128"/>
      <c r="E421" s="128"/>
      <c r="F421" s="128"/>
      <c r="G421" s="128"/>
      <c r="H421" s="128"/>
      <c r="I421" s="128"/>
    </row>
    <row r="422">
      <c r="A422" s="128"/>
      <c r="B422" s="128"/>
      <c r="C422" s="128"/>
      <c r="D422" s="128"/>
      <c r="E422" s="128"/>
      <c r="F422" s="128"/>
      <c r="G422" s="128"/>
      <c r="H422" s="128"/>
      <c r="I422" s="128"/>
    </row>
    <row r="423">
      <c r="A423" s="128"/>
      <c r="B423" s="128"/>
      <c r="C423" s="128"/>
      <c r="D423" s="128"/>
      <c r="E423" s="128"/>
      <c r="F423" s="128"/>
      <c r="G423" s="128"/>
      <c r="H423" s="128"/>
      <c r="I423" s="128"/>
    </row>
    <row r="424">
      <c r="A424" s="128"/>
      <c r="B424" s="128"/>
      <c r="C424" s="128"/>
      <c r="D424" s="128"/>
      <c r="E424" s="128"/>
      <c r="F424" s="128"/>
      <c r="G424" s="128"/>
      <c r="H424" s="128"/>
      <c r="I424" s="128"/>
    </row>
    <row r="425">
      <c r="A425" s="128"/>
      <c r="B425" s="128"/>
      <c r="C425" s="128"/>
      <c r="D425" s="128"/>
      <c r="E425" s="128"/>
      <c r="F425" s="128"/>
      <c r="G425" s="128"/>
      <c r="H425" s="128"/>
      <c r="I425" s="128"/>
    </row>
    <row r="426">
      <c r="A426" s="128"/>
      <c r="B426" s="128"/>
      <c r="C426" s="128"/>
      <c r="D426" s="128"/>
      <c r="E426" s="128"/>
      <c r="F426" s="128"/>
      <c r="G426" s="128"/>
      <c r="H426" s="128"/>
      <c r="I426" s="128"/>
    </row>
    <row r="427">
      <c r="A427" s="128"/>
      <c r="B427" s="128"/>
      <c r="C427" s="128"/>
      <c r="D427" s="128"/>
      <c r="E427" s="128"/>
      <c r="F427" s="128"/>
      <c r="G427" s="128"/>
      <c r="H427" s="128"/>
      <c r="I427" s="128"/>
    </row>
    <row r="428">
      <c r="A428" s="128"/>
      <c r="B428" s="128"/>
      <c r="C428" s="128"/>
      <c r="D428" s="128"/>
      <c r="E428" s="128"/>
      <c r="F428" s="128"/>
      <c r="G428" s="128"/>
      <c r="H428" s="128"/>
      <c r="I428" s="128"/>
    </row>
    <row r="429">
      <c r="A429" s="128"/>
      <c r="B429" s="128"/>
      <c r="C429" s="128"/>
      <c r="D429" s="128"/>
      <c r="E429" s="128"/>
      <c r="F429" s="128"/>
      <c r="G429" s="128"/>
      <c r="H429" s="128"/>
      <c r="I429" s="128"/>
    </row>
    <row r="430">
      <c r="A430" s="128"/>
      <c r="B430" s="128"/>
      <c r="C430" s="128"/>
      <c r="D430" s="128"/>
      <c r="E430" s="128"/>
      <c r="F430" s="128"/>
      <c r="G430" s="128"/>
      <c r="H430" s="128"/>
      <c r="I430" s="128"/>
    </row>
    <row r="431">
      <c r="A431" s="128"/>
      <c r="B431" s="128"/>
      <c r="C431" s="128"/>
      <c r="D431" s="128"/>
      <c r="E431" s="128"/>
      <c r="F431" s="128"/>
      <c r="G431" s="128"/>
      <c r="H431" s="128"/>
      <c r="I431" s="128"/>
    </row>
    <row r="432">
      <c r="A432" s="128"/>
      <c r="B432" s="128"/>
      <c r="C432" s="128"/>
      <c r="D432" s="128"/>
      <c r="E432" s="128"/>
      <c r="F432" s="128"/>
      <c r="G432" s="128"/>
      <c r="H432" s="128"/>
      <c r="I432" s="128"/>
    </row>
    <row r="433">
      <c r="A433" s="128"/>
      <c r="B433" s="128"/>
      <c r="C433" s="128"/>
      <c r="D433" s="128"/>
      <c r="E433" s="128"/>
      <c r="F433" s="128"/>
      <c r="G433" s="128"/>
      <c r="H433" s="128"/>
      <c r="I433" s="128"/>
    </row>
    <row r="434">
      <c r="A434" s="128"/>
      <c r="B434" s="128"/>
      <c r="C434" s="128"/>
      <c r="D434" s="128"/>
      <c r="E434" s="128"/>
      <c r="F434" s="128"/>
      <c r="G434" s="128"/>
      <c r="H434" s="128"/>
      <c r="I434" s="128"/>
    </row>
    <row r="435">
      <c r="A435" s="128"/>
      <c r="B435" s="128"/>
      <c r="C435" s="128"/>
      <c r="D435" s="128"/>
      <c r="E435" s="128"/>
      <c r="F435" s="128"/>
      <c r="G435" s="128"/>
      <c r="H435" s="128"/>
      <c r="I435" s="128"/>
    </row>
    <row r="436">
      <c r="A436" s="128"/>
      <c r="B436" s="128"/>
      <c r="C436" s="128"/>
      <c r="D436" s="128"/>
      <c r="E436" s="128"/>
      <c r="F436" s="128"/>
      <c r="G436" s="128"/>
      <c r="H436" s="128"/>
      <c r="I436" s="128"/>
    </row>
    <row r="437">
      <c r="A437" s="128"/>
      <c r="B437" s="128"/>
      <c r="C437" s="128"/>
      <c r="D437" s="128"/>
      <c r="E437" s="128"/>
      <c r="F437" s="128"/>
      <c r="G437" s="128"/>
      <c r="H437" s="128"/>
      <c r="I437" s="128"/>
    </row>
    <row r="438">
      <c r="A438" s="128"/>
      <c r="B438" s="128"/>
      <c r="C438" s="128"/>
      <c r="D438" s="128"/>
      <c r="E438" s="128"/>
      <c r="F438" s="128"/>
      <c r="G438" s="128"/>
      <c r="H438" s="128"/>
      <c r="I438" s="128"/>
    </row>
    <row r="439">
      <c r="A439" s="128"/>
      <c r="B439" s="128"/>
      <c r="C439" s="128"/>
      <c r="D439" s="128"/>
      <c r="E439" s="128"/>
      <c r="F439" s="128"/>
      <c r="G439" s="128"/>
      <c r="H439" s="128"/>
      <c r="I439" s="128"/>
    </row>
    <row r="440">
      <c r="A440" s="128"/>
      <c r="B440" s="128"/>
      <c r="C440" s="128"/>
      <c r="D440" s="128"/>
      <c r="E440" s="128"/>
      <c r="F440" s="128"/>
      <c r="G440" s="128"/>
      <c r="H440" s="128"/>
      <c r="I440" s="128"/>
    </row>
    <row r="441">
      <c r="A441" s="128"/>
      <c r="B441" s="128"/>
      <c r="C441" s="128"/>
      <c r="D441" s="128"/>
      <c r="E441" s="128"/>
      <c r="F441" s="128"/>
      <c r="G441" s="128"/>
      <c r="H441" s="128"/>
      <c r="I441" s="128"/>
    </row>
    <row r="442">
      <c r="A442" s="128"/>
      <c r="B442" s="128"/>
      <c r="C442" s="128"/>
      <c r="D442" s="128"/>
      <c r="E442" s="128"/>
      <c r="F442" s="128"/>
      <c r="G442" s="128"/>
      <c r="H442" s="128"/>
      <c r="I442" s="128"/>
    </row>
    <row r="443">
      <c r="A443" s="128"/>
      <c r="B443" s="128"/>
      <c r="C443" s="128"/>
      <c r="D443" s="128"/>
      <c r="E443" s="128"/>
      <c r="F443" s="128"/>
      <c r="G443" s="128"/>
      <c r="H443" s="128"/>
      <c r="I443" s="128"/>
    </row>
    <row r="444">
      <c r="A444" s="128"/>
      <c r="B444" s="128"/>
      <c r="C444" s="128"/>
      <c r="D444" s="128"/>
      <c r="E444" s="128"/>
      <c r="F444" s="128"/>
      <c r="G444" s="128"/>
      <c r="H444" s="128"/>
      <c r="I444" s="128"/>
    </row>
    <row r="445">
      <c r="A445" s="128"/>
      <c r="B445" s="128"/>
      <c r="C445" s="128"/>
      <c r="D445" s="128"/>
      <c r="E445" s="128"/>
      <c r="F445" s="128"/>
      <c r="G445" s="128"/>
      <c r="H445" s="128"/>
      <c r="I445" s="128"/>
    </row>
    <row r="446">
      <c r="A446" s="128"/>
      <c r="B446" s="128"/>
      <c r="C446" s="128"/>
      <c r="D446" s="128"/>
      <c r="E446" s="128"/>
      <c r="F446" s="128"/>
      <c r="G446" s="128"/>
      <c r="H446" s="128"/>
      <c r="I446" s="128"/>
    </row>
    <row r="447">
      <c r="A447" s="128"/>
      <c r="B447" s="128"/>
      <c r="C447" s="128"/>
      <c r="D447" s="128"/>
      <c r="E447" s="128"/>
      <c r="F447" s="128"/>
      <c r="G447" s="128"/>
      <c r="H447" s="128"/>
      <c r="I447" s="128"/>
    </row>
    <row r="448">
      <c r="A448" s="128"/>
      <c r="B448" s="128"/>
      <c r="C448" s="128"/>
      <c r="D448" s="128"/>
      <c r="E448" s="128"/>
      <c r="F448" s="128"/>
      <c r="G448" s="128"/>
      <c r="H448" s="128"/>
      <c r="I448" s="128"/>
    </row>
    <row r="449">
      <c r="A449" s="128"/>
      <c r="B449" s="128"/>
      <c r="C449" s="128"/>
      <c r="D449" s="128"/>
      <c r="E449" s="128"/>
      <c r="F449" s="128"/>
      <c r="G449" s="128"/>
      <c r="H449" s="128"/>
      <c r="I449" s="128"/>
    </row>
    <row r="450">
      <c r="A450" s="128"/>
      <c r="B450" s="128"/>
      <c r="C450" s="128"/>
      <c r="D450" s="128"/>
      <c r="E450" s="128"/>
      <c r="F450" s="128"/>
      <c r="G450" s="128"/>
      <c r="H450" s="128"/>
      <c r="I450" s="128"/>
    </row>
    <row r="451">
      <c r="A451" s="128"/>
      <c r="B451" s="128"/>
      <c r="C451" s="128"/>
      <c r="D451" s="128"/>
      <c r="E451" s="128"/>
      <c r="F451" s="128"/>
      <c r="G451" s="128"/>
      <c r="H451" s="128"/>
      <c r="I451" s="128"/>
    </row>
    <row r="452">
      <c r="A452" s="128"/>
      <c r="B452" s="128"/>
      <c r="C452" s="128"/>
      <c r="D452" s="128"/>
      <c r="E452" s="128"/>
      <c r="F452" s="128"/>
      <c r="G452" s="128"/>
      <c r="H452" s="128"/>
      <c r="I452" s="128"/>
    </row>
    <row r="453">
      <c r="A453" s="128"/>
      <c r="B453" s="128"/>
      <c r="C453" s="128"/>
      <c r="D453" s="128"/>
      <c r="E453" s="128"/>
      <c r="F453" s="128"/>
      <c r="G453" s="128"/>
      <c r="H453" s="128"/>
      <c r="I453" s="128"/>
    </row>
    <row r="454">
      <c r="A454" s="128"/>
      <c r="B454" s="128"/>
      <c r="C454" s="128"/>
      <c r="D454" s="128"/>
      <c r="E454" s="128"/>
      <c r="F454" s="128"/>
      <c r="G454" s="128"/>
      <c r="H454" s="128"/>
      <c r="I454" s="128"/>
    </row>
    <row r="455">
      <c r="A455" s="128"/>
      <c r="B455" s="128"/>
      <c r="C455" s="128"/>
      <c r="D455" s="128"/>
      <c r="E455" s="128"/>
      <c r="F455" s="128"/>
      <c r="G455" s="128"/>
      <c r="H455" s="128"/>
      <c r="I455" s="128"/>
    </row>
    <row r="456">
      <c r="A456" s="128"/>
      <c r="B456" s="128"/>
      <c r="C456" s="128"/>
      <c r="D456" s="128"/>
      <c r="E456" s="128"/>
      <c r="F456" s="128"/>
      <c r="G456" s="128"/>
      <c r="H456" s="128"/>
      <c r="I456" s="128"/>
    </row>
    <row r="457">
      <c r="A457" s="128"/>
      <c r="B457" s="128"/>
      <c r="C457" s="128"/>
      <c r="D457" s="128"/>
      <c r="E457" s="128"/>
      <c r="F457" s="128"/>
      <c r="G457" s="128"/>
      <c r="H457" s="128"/>
      <c r="I457" s="128"/>
    </row>
    <row r="458">
      <c r="A458" s="128"/>
      <c r="B458" s="128"/>
      <c r="C458" s="128"/>
      <c r="D458" s="128"/>
      <c r="E458" s="128"/>
      <c r="F458" s="128"/>
      <c r="G458" s="128"/>
      <c r="H458" s="128"/>
      <c r="I458" s="128"/>
    </row>
    <row r="459">
      <c r="A459" s="128"/>
      <c r="B459" s="128"/>
      <c r="C459" s="128"/>
      <c r="D459" s="128"/>
      <c r="E459" s="128"/>
      <c r="F459" s="128"/>
      <c r="G459" s="128"/>
      <c r="H459" s="128"/>
      <c r="I459" s="128"/>
    </row>
    <row r="460">
      <c r="A460" s="128"/>
      <c r="B460" s="128"/>
      <c r="C460" s="128"/>
      <c r="D460" s="128"/>
      <c r="E460" s="128"/>
      <c r="F460" s="128"/>
      <c r="G460" s="128"/>
      <c r="H460" s="128"/>
      <c r="I460" s="128"/>
    </row>
    <row r="461">
      <c r="A461" s="128"/>
      <c r="B461" s="128"/>
      <c r="C461" s="128"/>
      <c r="D461" s="128"/>
      <c r="E461" s="128"/>
      <c r="F461" s="128"/>
      <c r="G461" s="128"/>
      <c r="H461" s="128"/>
      <c r="I461" s="128"/>
    </row>
    <row r="462">
      <c r="A462" s="128"/>
      <c r="B462" s="128"/>
      <c r="C462" s="128"/>
      <c r="D462" s="128"/>
      <c r="E462" s="128"/>
      <c r="F462" s="128"/>
      <c r="G462" s="128"/>
      <c r="H462" s="128"/>
      <c r="I462" s="128"/>
    </row>
    <row r="463">
      <c r="A463" s="128"/>
      <c r="B463" s="128"/>
      <c r="C463" s="128"/>
      <c r="D463" s="128"/>
      <c r="E463" s="128"/>
      <c r="F463" s="128"/>
      <c r="G463" s="128"/>
      <c r="H463" s="128"/>
      <c r="I463" s="128"/>
    </row>
    <row r="464">
      <c r="A464" s="128"/>
      <c r="B464" s="128"/>
      <c r="C464" s="128"/>
      <c r="D464" s="128"/>
      <c r="E464" s="128"/>
      <c r="F464" s="128"/>
      <c r="G464" s="128"/>
      <c r="H464" s="128"/>
      <c r="I464" s="128"/>
    </row>
    <row r="465">
      <c r="A465" s="128"/>
      <c r="B465" s="128"/>
      <c r="C465" s="128"/>
      <c r="D465" s="128"/>
      <c r="E465" s="128"/>
      <c r="F465" s="128"/>
      <c r="G465" s="128"/>
      <c r="H465" s="128"/>
      <c r="I465" s="128"/>
    </row>
    <row r="466">
      <c r="A466" s="128"/>
      <c r="B466" s="128"/>
      <c r="C466" s="128"/>
      <c r="D466" s="128"/>
      <c r="E466" s="128"/>
      <c r="F466" s="128"/>
      <c r="G466" s="128"/>
      <c r="H466" s="128"/>
      <c r="I466" s="128"/>
    </row>
    <row r="467">
      <c r="A467" s="128"/>
      <c r="B467" s="128"/>
      <c r="C467" s="128"/>
      <c r="D467" s="128"/>
      <c r="E467" s="128"/>
      <c r="F467" s="128"/>
      <c r="G467" s="128"/>
      <c r="H467" s="128"/>
      <c r="I467" s="128"/>
    </row>
    <row r="468">
      <c r="A468" s="128"/>
      <c r="B468" s="128"/>
      <c r="C468" s="128"/>
      <c r="D468" s="128"/>
      <c r="E468" s="128"/>
      <c r="F468" s="128"/>
      <c r="G468" s="128"/>
      <c r="H468" s="128"/>
      <c r="I468" s="128"/>
    </row>
    <row r="469">
      <c r="A469" s="128"/>
      <c r="B469" s="128"/>
      <c r="C469" s="128"/>
      <c r="D469" s="128"/>
      <c r="E469" s="128"/>
      <c r="F469" s="128"/>
      <c r="G469" s="128"/>
      <c r="H469" s="128"/>
      <c r="I469" s="128"/>
    </row>
    <row r="470">
      <c r="A470" s="128"/>
      <c r="B470" s="128"/>
      <c r="C470" s="128"/>
      <c r="D470" s="128"/>
      <c r="E470" s="128"/>
      <c r="F470" s="128"/>
      <c r="G470" s="128"/>
      <c r="H470" s="128"/>
      <c r="I470" s="128"/>
    </row>
    <row r="471">
      <c r="A471" s="128"/>
      <c r="B471" s="128"/>
      <c r="C471" s="128"/>
      <c r="D471" s="128"/>
      <c r="E471" s="128"/>
      <c r="F471" s="128"/>
      <c r="G471" s="128"/>
      <c r="H471" s="128"/>
      <c r="I471" s="128"/>
    </row>
    <row r="472">
      <c r="A472" s="128"/>
      <c r="B472" s="128"/>
      <c r="C472" s="128"/>
      <c r="D472" s="128"/>
      <c r="E472" s="128"/>
      <c r="F472" s="128"/>
      <c r="G472" s="128"/>
      <c r="H472" s="128"/>
      <c r="I472" s="128"/>
    </row>
    <row r="473">
      <c r="A473" s="128"/>
      <c r="B473" s="128"/>
      <c r="C473" s="128"/>
      <c r="D473" s="128"/>
      <c r="E473" s="128"/>
      <c r="F473" s="128"/>
      <c r="G473" s="128"/>
      <c r="H473" s="128"/>
      <c r="I473" s="128"/>
    </row>
    <row r="474">
      <c r="A474" s="128"/>
      <c r="B474" s="128"/>
      <c r="C474" s="128"/>
      <c r="D474" s="128"/>
      <c r="E474" s="128"/>
      <c r="F474" s="128"/>
      <c r="G474" s="128"/>
      <c r="H474" s="128"/>
      <c r="I474" s="128"/>
    </row>
    <row r="475">
      <c r="A475" s="128"/>
      <c r="B475" s="128"/>
      <c r="C475" s="128"/>
      <c r="D475" s="128"/>
      <c r="E475" s="128"/>
      <c r="F475" s="128"/>
      <c r="G475" s="128"/>
      <c r="H475" s="128"/>
      <c r="I475" s="128"/>
    </row>
    <row r="476">
      <c r="A476" s="128"/>
      <c r="B476" s="128"/>
      <c r="C476" s="128"/>
      <c r="D476" s="128"/>
      <c r="E476" s="128"/>
      <c r="F476" s="128"/>
      <c r="G476" s="128"/>
      <c r="H476" s="128"/>
      <c r="I476" s="128"/>
    </row>
    <row r="477">
      <c r="A477" s="128"/>
      <c r="B477" s="128"/>
      <c r="C477" s="128"/>
      <c r="D477" s="128"/>
      <c r="E477" s="128"/>
      <c r="F477" s="128"/>
      <c r="G477" s="128"/>
      <c r="H477" s="128"/>
      <c r="I477" s="128"/>
    </row>
    <row r="478">
      <c r="A478" s="128"/>
      <c r="B478" s="128"/>
      <c r="C478" s="128"/>
      <c r="D478" s="128"/>
      <c r="E478" s="128"/>
      <c r="F478" s="128"/>
      <c r="G478" s="128"/>
      <c r="H478" s="128"/>
      <c r="I478" s="128"/>
    </row>
    <row r="479">
      <c r="A479" s="128"/>
      <c r="B479" s="128"/>
      <c r="C479" s="128"/>
      <c r="D479" s="128"/>
      <c r="E479" s="128"/>
      <c r="F479" s="128"/>
      <c r="G479" s="128"/>
      <c r="H479" s="128"/>
      <c r="I479" s="128"/>
    </row>
    <row r="480">
      <c r="A480" s="128"/>
      <c r="B480" s="128"/>
      <c r="C480" s="128"/>
      <c r="D480" s="128"/>
      <c r="E480" s="128"/>
      <c r="F480" s="128"/>
      <c r="G480" s="128"/>
      <c r="H480" s="128"/>
      <c r="I480" s="128"/>
    </row>
    <row r="481">
      <c r="A481" s="128"/>
      <c r="B481" s="128"/>
      <c r="C481" s="128"/>
      <c r="D481" s="128"/>
      <c r="E481" s="128"/>
      <c r="F481" s="128"/>
      <c r="G481" s="128"/>
      <c r="H481" s="128"/>
      <c r="I481" s="128"/>
    </row>
    <row r="482">
      <c r="A482" s="128"/>
      <c r="B482" s="128"/>
      <c r="C482" s="128"/>
      <c r="D482" s="128"/>
      <c r="E482" s="128"/>
      <c r="F482" s="128"/>
      <c r="G482" s="128"/>
      <c r="H482" s="128"/>
      <c r="I482" s="128"/>
    </row>
    <row r="483">
      <c r="A483" s="128"/>
      <c r="B483" s="128"/>
      <c r="C483" s="128"/>
      <c r="D483" s="128"/>
      <c r="E483" s="128"/>
      <c r="F483" s="128"/>
      <c r="G483" s="128"/>
      <c r="H483" s="128"/>
      <c r="I483" s="128"/>
    </row>
    <row r="484">
      <c r="A484" s="128"/>
      <c r="B484" s="128"/>
      <c r="C484" s="128"/>
      <c r="D484" s="128"/>
      <c r="E484" s="128"/>
      <c r="F484" s="128"/>
      <c r="G484" s="128"/>
      <c r="H484" s="128"/>
      <c r="I484" s="128"/>
    </row>
    <row r="485">
      <c r="A485" s="128"/>
      <c r="B485" s="128"/>
      <c r="C485" s="128"/>
      <c r="D485" s="128"/>
      <c r="E485" s="128"/>
      <c r="F485" s="128"/>
      <c r="G485" s="128"/>
      <c r="H485" s="128"/>
      <c r="I485" s="128"/>
    </row>
    <row r="486">
      <c r="A486" s="128"/>
      <c r="B486" s="128"/>
      <c r="C486" s="128"/>
      <c r="D486" s="128"/>
      <c r="E486" s="128"/>
      <c r="F486" s="128"/>
      <c r="G486" s="128"/>
      <c r="H486" s="128"/>
      <c r="I486" s="128"/>
    </row>
    <row r="487">
      <c r="A487" s="128"/>
      <c r="B487" s="128"/>
      <c r="C487" s="128"/>
      <c r="D487" s="128"/>
      <c r="E487" s="128"/>
      <c r="F487" s="128"/>
      <c r="G487" s="128"/>
      <c r="H487" s="128"/>
      <c r="I487" s="128"/>
    </row>
    <row r="488">
      <c r="A488" s="128"/>
      <c r="B488" s="128"/>
      <c r="C488" s="128"/>
      <c r="D488" s="128"/>
      <c r="E488" s="128"/>
      <c r="F488" s="128"/>
      <c r="G488" s="128"/>
      <c r="H488" s="128"/>
      <c r="I488" s="128"/>
    </row>
    <row r="489">
      <c r="A489" s="128"/>
      <c r="B489" s="128"/>
      <c r="C489" s="128"/>
      <c r="D489" s="128"/>
      <c r="E489" s="128"/>
      <c r="F489" s="128"/>
      <c r="G489" s="128"/>
      <c r="H489" s="128"/>
      <c r="I489" s="128"/>
    </row>
    <row r="490">
      <c r="A490" s="128"/>
      <c r="B490" s="128"/>
      <c r="C490" s="128"/>
      <c r="D490" s="128"/>
      <c r="E490" s="128"/>
      <c r="F490" s="128"/>
      <c r="G490" s="128"/>
      <c r="H490" s="128"/>
      <c r="I490" s="128"/>
    </row>
    <row r="491">
      <c r="A491" s="128"/>
      <c r="B491" s="128"/>
      <c r="C491" s="128"/>
      <c r="D491" s="128"/>
      <c r="E491" s="128"/>
      <c r="F491" s="128"/>
      <c r="G491" s="128"/>
      <c r="H491" s="128"/>
      <c r="I491" s="128"/>
    </row>
    <row r="492">
      <c r="A492" s="128"/>
      <c r="B492" s="128"/>
      <c r="C492" s="128"/>
      <c r="D492" s="128"/>
      <c r="E492" s="128"/>
      <c r="F492" s="128"/>
      <c r="G492" s="128"/>
      <c r="H492" s="128"/>
      <c r="I492" s="128"/>
    </row>
    <row r="493">
      <c r="A493" s="128"/>
      <c r="B493" s="128"/>
      <c r="C493" s="128"/>
      <c r="D493" s="128"/>
      <c r="E493" s="128"/>
      <c r="F493" s="128"/>
      <c r="G493" s="128"/>
      <c r="H493" s="128"/>
      <c r="I493" s="128"/>
    </row>
    <row r="494">
      <c r="A494" s="128"/>
      <c r="B494" s="128"/>
      <c r="C494" s="128"/>
      <c r="D494" s="128"/>
      <c r="E494" s="128"/>
      <c r="F494" s="128"/>
      <c r="G494" s="128"/>
      <c r="H494" s="128"/>
      <c r="I494" s="128"/>
    </row>
    <row r="495">
      <c r="A495" s="128"/>
      <c r="B495" s="128"/>
      <c r="C495" s="128"/>
      <c r="D495" s="128"/>
      <c r="E495" s="128"/>
      <c r="F495" s="128"/>
      <c r="G495" s="128"/>
      <c r="H495" s="128"/>
      <c r="I495" s="128"/>
    </row>
    <row r="496">
      <c r="A496" s="128"/>
      <c r="B496" s="128"/>
      <c r="C496" s="128"/>
      <c r="D496" s="128"/>
      <c r="E496" s="128"/>
      <c r="F496" s="128"/>
      <c r="G496" s="128"/>
      <c r="H496" s="128"/>
      <c r="I496" s="128"/>
    </row>
    <row r="497">
      <c r="A497" s="128"/>
      <c r="B497" s="128"/>
      <c r="C497" s="128"/>
      <c r="D497" s="128"/>
      <c r="E497" s="128"/>
      <c r="F497" s="128"/>
      <c r="G497" s="128"/>
      <c r="H497" s="128"/>
      <c r="I497" s="128"/>
    </row>
    <row r="498">
      <c r="A498" s="128"/>
      <c r="B498" s="128"/>
      <c r="C498" s="128"/>
      <c r="D498" s="128"/>
      <c r="E498" s="128"/>
      <c r="F498" s="128"/>
      <c r="G498" s="128"/>
      <c r="H498" s="128"/>
      <c r="I498" s="128"/>
    </row>
    <row r="499">
      <c r="A499" s="128"/>
      <c r="B499" s="128"/>
      <c r="C499" s="128"/>
      <c r="D499" s="128"/>
      <c r="E499" s="128"/>
      <c r="F499" s="128"/>
      <c r="G499" s="128"/>
      <c r="H499" s="128"/>
      <c r="I499" s="128"/>
    </row>
    <row r="500">
      <c r="A500" s="128"/>
      <c r="B500" s="128"/>
      <c r="C500" s="128"/>
      <c r="D500" s="128"/>
      <c r="E500" s="128"/>
      <c r="F500" s="128"/>
      <c r="G500" s="128"/>
      <c r="H500" s="128"/>
      <c r="I500" s="128"/>
    </row>
    <row r="501">
      <c r="A501" s="128"/>
      <c r="B501" s="128"/>
      <c r="C501" s="128"/>
      <c r="D501" s="128"/>
      <c r="E501" s="128"/>
      <c r="F501" s="128"/>
      <c r="G501" s="128"/>
      <c r="H501" s="128"/>
      <c r="I501" s="128"/>
    </row>
    <row r="502">
      <c r="A502" s="128"/>
      <c r="B502" s="128"/>
      <c r="C502" s="128"/>
      <c r="D502" s="128"/>
      <c r="E502" s="128"/>
      <c r="F502" s="128"/>
      <c r="G502" s="128"/>
      <c r="H502" s="128"/>
      <c r="I502" s="128"/>
    </row>
    <row r="503">
      <c r="A503" s="128"/>
      <c r="B503" s="128"/>
      <c r="C503" s="128"/>
      <c r="D503" s="128"/>
      <c r="E503" s="128"/>
      <c r="F503" s="128"/>
      <c r="G503" s="128"/>
      <c r="H503" s="128"/>
      <c r="I503" s="128"/>
    </row>
    <row r="504">
      <c r="A504" s="128"/>
      <c r="B504" s="128"/>
      <c r="C504" s="128"/>
      <c r="D504" s="128"/>
      <c r="E504" s="128"/>
      <c r="F504" s="128"/>
      <c r="G504" s="128"/>
      <c r="H504" s="128"/>
      <c r="I504" s="128"/>
    </row>
    <row r="505">
      <c r="A505" s="128"/>
      <c r="B505" s="128"/>
      <c r="C505" s="128"/>
      <c r="D505" s="128"/>
      <c r="E505" s="128"/>
      <c r="F505" s="128"/>
      <c r="G505" s="128"/>
      <c r="H505" s="128"/>
      <c r="I505" s="128"/>
    </row>
    <row r="506">
      <c r="A506" s="128"/>
      <c r="B506" s="128"/>
      <c r="C506" s="128"/>
      <c r="D506" s="128"/>
      <c r="E506" s="128"/>
      <c r="F506" s="128"/>
      <c r="G506" s="128"/>
      <c r="H506" s="128"/>
      <c r="I506" s="128"/>
    </row>
    <row r="507">
      <c r="A507" s="128"/>
      <c r="B507" s="128"/>
      <c r="C507" s="128"/>
      <c r="D507" s="128"/>
      <c r="E507" s="128"/>
      <c r="F507" s="128"/>
      <c r="G507" s="128"/>
      <c r="H507" s="128"/>
      <c r="I507" s="128"/>
    </row>
    <row r="508">
      <c r="A508" s="128"/>
      <c r="B508" s="128"/>
      <c r="C508" s="128"/>
      <c r="D508" s="128"/>
      <c r="E508" s="128"/>
      <c r="F508" s="128"/>
      <c r="G508" s="128"/>
      <c r="H508" s="128"/>
      <c r="I508" s="128"/>
    </row>
    <row r="509">
      <c r="A509" s="128"/>
      <c r="B509" s="128"/>
      <c r="C509" s="128"/>
      <c r="D509" s="128"/>
      <c r="E509" s="128"/>
      <c r="F509" s="128"/>
      <c r="G509" s="128"/>
      <c r="H509" s="128"/>
      <c r="I509" s="128"/>
    </row>
    <row r="510">
      <c r="A510" s="128"/>
      <c r="B510" s="128"/>
      <c r="C510" s="128"/>
      <c r="D510" s="128"/>
      <c r="E510" s="128"/>
      <c r="F510" s="128"/>
      <c r="G510" s="128"/>
      <c r="H510" s="128"/>
      <c r="I510" s="128"/>
    </row>
    <row r="511">
      <c r="A511" s="128"/>
      <c r="B511" s="128"/>
      <c r="C511" s="128"/>
      <c r="D511" s="128"/>
      <c r="E511" s="128"/>
      <c r="F511" s="128"/>
      <c r="G511" s="128"/>
      <c r="H511" s="128"/>
      <c r="I511" s="128"/>
    </row>
    <row r="512">
      <c r="A512" s="128"/>
      <c r="B512" s="128"/>
      <c r="C512" s="128"/>
      <c r="D512" s="128"/>
      <c r="E512" s="128"/>
      <c r="F512" s="128"/>
      <c r="G512" s="128"/>
      <c r="H512" s="128"/>
      <c r="I512" s="128"/>
    </row>
    <row r="513">
      <c r="A513" s="128"/>
      <c r="B513" s="128"/>
      <c r="C513" s="128"/>
      <c r="D513" s="128"/>
      <c r="E513" s="128"/>
      <c r="F513" s="128"/>
      <c r="G513" s="128"/>
      <c r="H513" s="128"/>
      <c r="I513" s="128"/>
    </row>
    <row r="514">
      <c r="A514" s="128"/>
      <c r="B514" s="128"/>
      <c r="C514" s="128"/>
      <c r="D514" s="128"/>
      <c r="E514" s="128"/>
      <c r="F514" s="128"/>
      <c r="G514" s="128"/>
      <c r="H514" s="128"/>
      <c r="I514" s="128"/>
    </row>
    <row r="515">
      <c r="A515" s="128"/>
      <c r="B515" s="128"/>
      <c r="C515" s="128"/>
      <c r="D515" s="128"/>
      <c r="E515" s="128"/>
      <c r="F515" s="128"/>
      <c r="G515" s="128"/>
      <c r="H515" s="128"/>
      <c r="I515" s="128"/>
    </row>
    <row r="516">
      <c r="A516" s="128"/>
      <c r="B516" s="128"/>
      <c r="C516" s="128"/>
      <c r="D516" s="128"/>
      <c r="E516" s="128"/>
      <c r="F516" s="128"/>
      <c r="G516" s="128"/>
      <c r="H516" s="128"/>
      <c r="I516" s="128"/>
    </row>
    <row r="517">
      <c r="A517" s="128"/>
      <c r="B517" s="128"/>
      <c r="C517" s="128"/>
      <c r="D517" s="128"/>
      <c r="E517" s="128"/>
      <c r="F517" s="128"/>
      <c r="G517" s="128"/>
      <c r="H517" s="128"/>
      <c r="I517" s="128"/>
    </row>
    <row r="518">
      <c r="A518" s="128"/>
      <c r="B518" s="128"/>
      <c r="C518" s="128"/>
      <c r="D518" s="128"/>
      <c r="E518" s="128"/>
      <c r="F518" s="128"/>
      <c r="G518" s="128"/>
      <c r="H518" s="128"/>
      <c r="I518" s="128"/>
    </row>
    <row r="519">
      <c r="A519" s="128"/>
      <c r="B519" s="128"/>
      <c r="C519" s="128"/>
      <c r="D519" s="128"/>
      <c r="E519" s="128"/>
      <c r="F519" s="128"/>
      <c r="G519" s="128"/>
      <c r="H519" s="128"/>
      <c r="I519" s="128"/>
    </row>
    <row r="520">
      <c r="A520" s="128"/>
      <c r="B520" s="128"/>
      <c r="C520" s="128"/>
      <c r="D520" s="128"/>
      <c r="E520" s="128"/>
      <c r="F520" s="128"/>
      <c r="G520" s="128"/>
      <c r="H520" s="128"/>
      <c r="I520" s="128"/>
    </row>
    <row r="521">
      <c r="A521" s="128"/>
      <c r="B521" s="128"/>
      <c r="C521" s="128"/>
      <c r="D521" s="128"/>
      <c r="E521" s="128"/>
      <c r="F521" s="128"/>
      <c r="G521" s="128"/>
      <c r="H521" s="128"/>
      <c r="I521" s="128"/>
    </row>
    <row r="522">
      <c r="A522" s="128"/>
      <c r="B522" s="128"/>
      <c r="C522" s="128"/>
      <c r="D522" s="128"/>
      <c r="E522" s="128"/>
      <c r="F522" s="128"/>
      <c r="G522" s="128"/>
      <c r="H522" s="128"/>
      <c r="I522" s="128"/>
    </row>
    <row r="523">
      <c r="A523" s="128"/>
      <c r="B523" s="128"/>
      <c r="C523" s="128"/>
      <c r="D523" s="128"/>
      <c r="E523" s="128"/>
      <c r="F523" s="128"/>
      <c r="G523" s="128"/>
      <c r="H523" s="128"/>
      <c r="I523" s="128"/>
    </row>
    <row r="524">
      <c r="A524" s="128"/>
      <c r="B524" s="128"/>
      <c r="C524" s="128"/>
      <c r="D524" s="128"/>
      <c r="E524" s="128"/>
      <c r="F524" s="128"/>
      <c r="G524" s="128"/>
      <c r="H524" s="128"/>
      <c r="I524" s="128"/>
    </row>
    <row r="525">
      <c r="A525" s="128"/>
      <c r="B525" s="128"/>
      <c r="C525" s="128"/>
      <c r="D525" s="128"/>
      <c r="E525" s="128"/>
      <c r="F525" s="128"/>
      <c r="G525" s="128"/>
      <c r="H525" s="128"/>
      <c r="I525" s="128"/>
    </row>
    <row r="526">
      <c r="A526" s="128"/>
      <c r="B526" s="128"/>
      <c r="C526" s="128"/>
      <c r="D526" s="128"/>
      <c r="E526" s="128"/>
      <c r="F526" s="128"/>
      <c r="G526" s="128"/>
      <c r="H526" s="128"/>
      <c r="I526" s="128"/>
    </row>
    <row r="527">
      <c r="A527" s="128"/>
      <c r="B527" s="128"/>
      <c r="C527" s="128"/>
      <c r="D527" s="128"/>
      <c r="E527" s="128"/>
      <c r="F527" s="128"/>
      <c r="G527" s="128"/>
      <c r="H527" s="128"/>
      <c r="I527" s="128"/>
    </row>
    <row r="528">
      <c r="A528" s="128"/>
      <c r="B528" s="128"/>
      <c r="C528" s="128"/>
      <c r="D528" s="128"/>
      <c r="E528" s="128"/>
      <c r="F528" s="128"/>
      <c r="G528" s="128"/>
      <c r="H528" s="128"/>
      <c r="I528" s="128"/>
    </row>
    <row r="529">
      <c r="A529" s="128"/>
      <c r="B529" s="128"/>
      <c r="C529" s="128"/>
      <c r="D529" s="128"/>
      <c r="E529" s="128"/>
      <c r="F529" s="128"/>
      <c r="G529" s="128"/>
      <c r="H529" s="128"/>
      <c r="I529" s="128"/>
    </row>
    <row r="530">
      <c r="A530" s="128"/>
      <c r="B530" s="128"/>
      <c r="C530" s="128"/>
      <c r="D530" s="128"/>
      <c r="E530" s="128"/>
      <c r="F530" s="128"/>
      <c r="G530" s="128"/>
      <c r="H530" s="128"/>
      <c r="I530" s="128"/>
    </row>
    <row r="531">
      <c r="A531" s="128"/>
      <c r="B531" s="128"/>
      <c r="C531" s="128"/>
      <c r="D531" s="128"/>
      <c r="E531" s="128"/>
      <c r="F531" s="128"/>
      <c r="G531" s="128"/>
      <c r="H531" s="128"/>
      <c r="I531" s="128"/>
    </row>
    <row r="532">
      <c r="A532" s="128"/>
      <c r="B532" s="128"/>
      <c r="C532" s="128"/>
      <c r="D532" s="128"/>
      <c r="E532" s="128"/>
      <c r="F532" s="128"/>
      <c r="G532" s="128"/>
      <c r="H532" s="128"/>
      <c r="I532" s="128"/>
    </row>
    <row r="533">
      <c r="A533" s="128"/>
      <c r="B533" s="128"/>
      <c r="C533" s="128"/>
      <c r="D533" s="128"/>
      <c r="E533" s="128"/>
      <c r="F533" s="128"/>
      <c r="G533" s="128"/>
      <c r="H533" s="128"/>
      <c r="I533" s="128"/>
    </row>
    <row r="534">
      <c r="A534" s="128"/>
      <c r="B534" s="128"/>
      <c r="C534" s="128"/>
      <c r="D534" s="128"/>
      <c r="E534" s="128"/>
      <c r="F534" s="128"/>
      <c r="G534" s="128"/>
      <c r="H534" s="128"/>
      <c r="I534" s="128"/>
    </row>
    <row r="535">
      <c r="A535" s="128"/>
      <c r="B535" s="128"/>
      <c r="C535" s="128"/>
      <c r="D535" s="128"/>
      <c r="E535" s="128"/>
      <c r="F535" s="128"/>
      <c r="G535" s="128"/>
      <c r="H535" s="128"/>
      <c r="I535" s="128"/>
    </row>
    <row r="536">
      <c r="A536" s="128"/>
      <c r="B536" s="128"/>
      <c r="C536" s="128"/>
      <c r="D536" s="128"/>
      <c r="E536" s="128"/>
      <c r="F536" s="128"/>
      <c r="G536" s="128"/>
      <c r="H536" s="128"/>
      <c r="I536" s="128"/>
    </row>
    <row r="537">
      <c r="A537" s="128"/>
      <c r="B537" s="128"/>
      <c r="C537" s="128"/>
      <c r="D537" s="128"/>
      <c r="E537" s="128"/>
      <c r="F537" s="128"/>
      <c r="G537" s="128"/>
      <c r="H537" s="128"/>
      <c r="I537" s="128"/>
    </row>
    <row r="538">
      <c r="A538" s="128"/>
      <c r="B538" s="128"/>
      <c r="C538" s="128"/>
      <c r="D538" s="128"/>
      <c r="E538" s="128"/>
      <c r="F538" s="128"/>
      <c r="G538" s="128"/>
      <c r="H538" s="128"/>
      <c r="I538" s="128"/>
    </row>
    <row r="539">
      <c r="A539" s="128"/>
      <c r="B539" s="128"/>
      <c r="C539" s="128"/>
      <c r="D539" s="128"/>
      <c r="E539" s="128"/>
      <c r="F539" s="128"/>
      <c r="G539" s="128"/>
      <c r="H539" s="128"/>
      <c r="I539" s="128"/>
    </row>
    <row r="540">
      <c r="A540" s="128"/>
      <c r="B540" s="128"/>
      <c r="C540" s="128"/>
      <c r="D540" s="128"/>
      <c r="E540" s="128"/>
      <c r="F540" s="128"/>
      <c r="G540" s="128"/>
      <c r="H540" s="128"/>
      <c r="I540" s="128"/>
    </row>
    <row r="541">
      <c r="A541" s="128"/>
      <c r="B541" s="128"/>
      <c r="C541" s="128"/>
      <c r="D541" s="128"/>
      <c r="E541" s="128"/>
      <c r="F541" s="128"/>
      <c r="G541" s="128"/>
      <c r="H541" s="128"/>
      <c r="I541" s="128"/>
    </row>
    <row r="542">
      <c r="A542" s="128"/>
      <c r="B542" s="128"/>
      <c r="C542" s="128"/>
      <c r="D542" s="128"/>
      <c r="E542" s="128"/>
      <c r="F542" s="128"/>
      <c r="G542" s="128"/>
      <c r="H542" s="128"/>
      <c r="I542" s="128"/>
    </row>
    <row r="543">
      <c r="A543" s="128"/>
      <c r="B543" s="128"/>
      <c r="C543" s="128"/>
      <c r="D543" s="128"/>
      <c r="E543" s="128"/>
      <c r="F543" s="128"/>
      <c r="G543" s="128"/>
      <c r="H543" s="128"/>
      <c r="I543" s="128"/>
    </row>
    <row r="544">
      <c r="A544" s="128"/>
      <c r="B544" s="128"/>
      <c r="C544" s="128"/>
      <c r="D544" s="128"/>
      <c r="E544" s="128"/>
      <c r="F544" s="128"/>
      <c r="G544" s="128"/>
      <c r="H544" s="128"/>
      <c r="I544" s="128"/>
    </row>
    <row r="545">
      <c r="A545" s="128"/>
      <c r="B545" s="128"/>
      <c r="C545" s="128"/>
      <c r="D545" s="128"/>
      <c r="E545" s="128"/>
      <c r="F545" s="128"/>
      <c r="G545" s="128"/>
      <c r="H545" s="128"/>
      <c r="I545" s="128"/>
    </row>
    <row r="546">
      <c r="A546" s="128"/>
      <c r="B546" s="128"/>
      <c r="C546" s="128"/>
      <c r="D546" s="128"/>
      <c r="E546" s="128"/>
      <c r="F546" s="128"/>
      <c r="G546" s="128"/>
      <c r="H546" s="128"/>
      <c r="I546" s="128"/>
    </row>
    <row r="547">
      <c r="A547" s="128"/>
      <c r="B547" s="128"/>
      <c r="C547" s="128"/>
      <c r="D547" s="128"/>
      <c r="E547" s="128"/>
      <c r="F547" s="128"/>
      <c r="G547" s="128"/>
      <c r="H547" s="128"/>
      <c r="I547" s="128"/>
    </row>
    <row r="548">
      <c r="A548" s="128"/>
      <c r="B548" s="128"/>
      <c r="C548" s="128"/>
      <c r="D548" s="128"/>
      <c r="E548" s="128"/>
      <c r="F548" s="128"/>
      <c r="G548" s="128"/>
      <c r="H548" s="128"/>
      <c r="I548" s="128"/>
    </row>
    <row r="549">
      <c r="A549" s="128"/>
      <c r="B549" s="128"/>
      <c r="C549" s="128"/>
      <c r="D549" s="128"/>
      <c r="E549" s="128"/>
      <c r="F549" s="128"/>
      <c r="G549" s="128"/>
      <c r="H549" s="128"/>
      <c r="I549" s="128"/>
    </row>
    <row r="550">
      <c r="A550" s="128"/>
      <c r="B550" s="128"/>
      <c r="C550" s="128"/>
      <c r="D550" s="128"/>
      <c r="E550" s="128"/>
      <c r="F550" s="128"/>
      <c r="G550" s="128"/>
      <c r="H550" s="128"/>
      <c r="I550" s="128"/>
    </row>
    <row r="551">
      <c r="A551" s="128"/>
      <c r="B551" s="128"/>
      <c r="C551" s="128"/>
      <c r="D551" s="128"/>
      <c r="E551" s="128"/>
      <c r="F551" s="128"/>
      <c r="G551" s="128"/>
      <c r="H551" s="128"/>
      <c r="I551" s="128"/>
    </row>
    <row r="552">
      <c r="A552" s="128"/>
      <c r="B552" s="128"/>
      <c r="C552" s="128"/>
      <c r="D552" s="128"/>
      <c r="E552" s="128"/>
      <c r="F552" s="128"/>
      <c r="G552" s="128"/>
      <c r="H552" s="128"/>
      <c r="I552" s="128"/>
    </row>
    <row r="553">
      <c r="A553" s="128"/>
      <c r="B553" s="128"/>
      <c r="C553" s="128"/>
      <c r="D553" s="128"/>
      <c r="E553" s="128"/>
      <c r="F553" s="128"/>
      <c r="G553" s="128"/>
      <c r="H553" s="128"/>
      <c r="I553" s="128"/>
    </row>
    <row r="554">
      <c r="A554" s="128"/>
      <c r="B554" s="128"/>
      <c r="C554" s="128"/>
      <c r="D554" s="128"/>
      <c r="E554" s="128"/>
      <c r="F554" s="128"/>
      <c r="G554" s="128"/>
      <c r="H554" s="128"/>
      <c r="I554" s="128"/>
    </row>
    <row r="555">
      <c r="A555" s="128"/>
      <c r="B555" s="128"/>
      <c r="C555" s="128"/>
      <c r="D555" s="128"/>
      <c r="E555" s="128"/>
      <c r="F555" s="128"/>
      <c r="G555" s="128"/>
      <c r="H555" s="128"/>
      <c r="I555" s="128"/>
    </row>
    <row r="556">
      <c r="A556" s="128"/>
      <c r="B556" s="128"/>
      <c r="C556" s="128"/>
      <c r="D556" s="128"/>
      <c r="E556" s="128"/>
      <c r="F556" s="128"/>
      <c r="G556" s="128"/>
      <c r="H556" s="128"/>
      <c r="I556" s="128"/>
    </row>
    <row r="557">
      <c r="A557" s="128"/>
      <c r="B557" s="128"/>
      <c r="C557" s="128"/>
      <c r="D557" s="128"/>
      <c r="E557" s="128"/>
      <c r="F557" s="128"/>
      <c r="G557" s="128"/>
      <c r="H557" s="128"/>
      <c r="I557" s="128"/>
    </row>
    <row r="558">
      <c r="A558" s="128"/>
      <c r="B558" s="128"/>
      <c r="C558" s="128"/>
      <c r="D558" s="128"/>
      <c r="E558" s="128"/>
      <c r="F558" s="128"/>
      <c r="G558" s="128"/>
      <c r="H558" s="128"/>
      <c r="I558" s="128"/>
    </row>
    <row r="559">
      <c r="A559" s="128"/>
      <c r="B559" s="128"/>
      <c r="C559" s="128"/>
      <c r="D559" s="128"/>
      <c r="E559" s="128"/>
      <c r="F559" s="128"/>
      <c r="G559" s="128"/>
      <c r="H559" s="128"/>
      <c r="I559" s="128"/>
    </row>
    <row r="560">
      <c r="A560" s="128"/>
      <c r="B560" s="128"/>
      <c r="C560" s="128"/>
      <c r="D560" s="128"/>
      <c r="E560" s="128"/>
      <c r="F560" s="128"/>
      <c r="G560" s="128"/>
      <c r="H560" s="128"/>
      <c r="I560" s="128"/>
    </row>
    <row r="561">
      <c r="A561" s="128"/>
      <c r="B561" s="128"/>
      <c r="C561" s="128"/>
      <c r="D561" s="128"/>
      <c r="E561" s="128"/>
      <c r="F561" s="128"/>
      <c r="G561" s="128"/>
      <c r="H561" s="128"/>
      <c r="I561" s="128"/>
    </row>
    <row r="562">
      <c r="A562" s="128"/>
      <c r="B562" s="128"/>
      <c r="C562" s="128"/>
      <c r="D562" s="128"/>
      <c r="E562" s="128"/>
      <c r="F562" s="128"/>
      <c r="G562" s="128"/>
      <c r="H562" s="128"/>
      <c r="I562" s="128"/>
    </row>
    <row r="563">
      <c r="A563" s="128"/>
      <c r="B563" s="128"/>
      <c r="C563" s="128"/>
      <c r="D563" s="128"/>
      <c r="E563" s="128"/>
      <c r="F563" s="128"/>
      <c r="G563" s="128"/>
      <c r="H563" s="128"/>
      <c r="I563" s="128"/>
    </row>
    <row r="564">
      <c r="A564" s="128"/>
      <c r="B564" s="128"/>
      <c r="C564" s="128"/>
      <c r="D564" s="128"/>
      <c r="E564" s="128"/>
      <c r="F564" s="128"/>
      <c r="G564" s="128"/>
      <c r="H564" s="128"/>
      <c r="I564" s="128"/>
    </row>
    <row r="565">
      <c r="A565" s="128"/>
      <c r="B565" s="128"/>
      <c r="C565" s="128"/>
      <c r="D565" s="128"/>
      <c r="E565" s="128"/>
      <c r="F565" s="128"/>
      <c r="G565" s="128"/>
      <c r="H565" s="128"/>
      <c r="I565" s="128"/>
    </row>
    <row r="566">
      <c r="A566" s="128"/>
      <c r="B566" s="128"/>
      <c r="C566" s="128"/>
      <c r="D566" s="128"/>
      <c r="E566" s="128"/>
      <c r="F566" s="128"/>
      <c r="G566" s="128"/>
      <c r="H566" s="128"/>
      <c r="I566" s="128"/>
    </row>
    <row r="567">
      <c r="A567" s="128"/>
      <c r="B567" s="128"/>
      <c r="C567" s="128"/>
      <c r="D567" s="128"/>
      <c r="E567" s="128"/>
      <c r="F567" s="128"/>
      <c r="G567" s="128"/>
      <c r="H567" s="128"/>
      <c r="I567" s="128"/>
    </row>
    <row r="568">
      <c r="A568" s="128"/>
      <c r="B568" s="128"/>
      <c r="C568" s="128"/>
      <c r="D568" s="128"/>
      <c r="E568" s="128"/>
      <c r="F568" s="128"/>
      <c r="G568" s="128"/>
      <c r="H568" s="128"/>
      <c r="I568" s="128"/>
    </row>
    <row r="569">
      <c r="A569" s="128"/>
      <c r="B569" s="128"/>
      <c r="C569" s="128"/>
      <c r="D569" s="128"/>
      <c r="E569" s="128"/>
      <c r="F569" s="128"/>
      <c r="G569" s="128"/>
      <c r="H569" s="128"/>
      <c r="I569" s="128"/>
    </row>
    <row r="570">
      <c r="A570" s="128"/>
      <c r="B570" s="128"/>
      <c r="C570" s="128"/>
      <c r="D570" s="128"/>
      <c r="E570" s="128"/>
      <c r="F570" s="128"/>
      <c r="G570" s="128"/>
      <c r="H570" s="128"/>
      <c r="I570" s="128"/>
    </row>
    <row r="571">
      <c r="A571" s="128"/>
      <c r="B571" s="128"/>
      <c r="C571" s="128"/>
      <c r="D571" s="128"/>
      <c r="E571" s="128"/>
      <c r="F571" s="128"/>
      <c r="G571" s="128"/>
      <c r="H571" s="128"/>
      <c r="I571" s="128"/>
    </row>
    <row r="572">
      <c r="A572" s="128"/>
      <c r="B572" s="128"/>
      <c r="C572" s="128"/>
      <c r="D572" s="128"/>
      <c r="E572" s="128"/>
      <c r="F572" s="128"/>
      <c r="G572" s="128"/>
      <c r="H572" s="128"/>
      <c r="I572" s="128"/>
    </row>
    <row r="573">
      <c r="A573" s="128"/>
      <c r="B573" s="128"/>
      <c r="C573" s="128"/>
      <c r="D573" s="128"/>
      <c r="E573" s="128"/>
      <c r="F573" s="128"/>
      <c r="G573" s="128"/>
      <c r="H573" s="128"/>
      <c r="I573" s="128"/>
    </row>
    <row r="574">
      <c r="A574" s="128"/>
      <c r="B574" s="128"/>
      <c r="C574" s="128"/>
      <c r="D574" s="128"/>
      <c r="E574" s="128"/>
      <c r="F574" s="128"/>
      <c r="G574" s="128"/>
      <c r="H574" s="128"/>
      <c r="I574" s="128"/>
    </row>
    <row r="575">
      <c r="A575" s="128"/>
      <c r="B575" s="128"/>
      <c r="C575" s="128"/>
      <c r="D575" s="128"/>
      <c r="E575" s="128"/>
      <c r="F575" s="128"/>
      <c r="G575" s="128"/>
      <c r="H575" s="128"/>
      <c r="I575" s="128"/>
    </row>
    <row r="576">
      <c r="A576" s="128"/>
      <c r="B576" s="128"/>
      <c r="C576" s="128"/>
      <c r="D576" s="128"/>
      <c r="E576" s="128"/>
      <c r="F576" s="128"/>
      <c r="G576" s="128"/>
      <c r="H576" s="128"/>
      <c r="I576" s="128"/>
    </row>
    <row r="577">
      <c r="A577" s="128"/>
      <c r="B577" s="128"/>
      <c r="C577" s="128"/>
      <c r="D577" s="128"/>
      <c r="E577" s="128"/>
      <c r="F577" s="128"/>
      <c r="G577" s="128"/>
      <c r="H577" s="128"/>
      <c r="I577" s="128"/>
    </row>
    <row r="578">
      <c r="A578" s="128"/>
      <c r="B578" s="128"/>
      <c r="C578" s="128"/>
      <c r="D578" s="128"/>
      <c r="E578" s="128"/>
      <c r="F578" s="128"/>
      <c r="G578" s="128"/>
      <c r="H578" s="128"/>
      <c r="I578" s="128"/>
    </row>
    <row r="579">
      <c r="A579" s="128"/>
      <c r="B579" s="128"/>
      <c r="C579" s="128"/>
      <c r="D579" s="128"/>
      <c r="E579" s="128"/>
      <c r="F579" s="128"/>
      <c r="G579" s="128"/>
      <c r="H579" s="128"/>
      <c r="I579" s="128"/>
    </row>
    <row r="580">
      <c r="A580" s="128"/>
      <c r="B580" s="128"/>
      <c r="C580" s="128"/>
      <c r="D580" s="128"/>
      <c r="E580" s="128"/>
      <c r="F580" s="128"/>
      <c r="G580" s="128"/>
      <c r="H580" s="128"/>
      <c r="I580" s="128"/>
    </row>
    <row r="581">
      <c r="A581" s="128"/>
      <c r="B581" s="128"/>
      <c r="C581" s="128"/>
      <c r="D581" s="128"/>
      <c r="E581" s="128"/>
      <c r="F581" s="128"/>
      <c r="G581" s="128"/>
      <c r="H581" s="128"/>
      <c r="I581" s="128"/>
    </row>
    <row r="582">
      <c r="A582" s="128"/>
      <c r="B582" s="128"/>
      <c r="C582" s="128"/>
      <c r="D582" s="128"/>
      <c r="E582" s="128"/>
      <c r="F582" s="128"/>
      <c r="G582" s="128"/>
      <c r="H582" s="128"/>
      <c r="I582" s="128"/>
    </row>
    <row r="583">
      <c r="A583" s="128"/>
      <c r="B583" s="128"/>
      <c r="C583" s="128"/>
      <c r="D583" s="128"/>
      <c r="E583" s="128"/>
      <c r="F583" s="128"/>
      <c r="G583" s="128"/>
      <c r="H583" s="128"/>
      <c r="I583" s="128"/>
    </row>
    <row r="584">
      <c r="A584" s="128"/>
      <c r="B584" s="128"/>
      <c r="C584" s="128"/>
      <c r="D584" s="128"/>
      <c r="E584" s="128"/>
      <c r="F584" s="128"/>
      <c r="G584" s="128"/>
      <c r="H584" s="128"/>
      <c r="I584" s="128"/>
    </row>
    <row r="585">
      <c r="A585" s="128"/>
      <c r="B585" s="128"/>
      <c r="C585" s="128"/>
      <c r="D585" s="128"/>
      <c r="E585" s="128"/>
      <c r="F585" s="128"/>
      <c r="G585" s="128"/>
      <c r="H585" s="128"/>
      <c r="I585" s="128"/>
    </row>
    <row r="586">
      <c r="A586" s="128"/>
      <c r="B586" s="128"/>
      <c r="C586" s="128"/>
      <c r="D586" s="128"/>
      <c r="E586" s="128"/>
      <c r="F586" s="128"/>
      <c r="G586" s="128"/>
      <c r="H586" s="128"/>
      <c r="I586" s="128"/>
    </row>
    <row r="587">
      <c r="A587" s="128"/>
      <c r="B587" s="128"/>
      <c r="C587" s="128"/>
      <c r="D587" s="128"/>
      <c r="E587" s="128"/>
      <c r="F587" s="128"/>
      <c r="G587" s="128"/>
      <c r="H587" s="128"/>
      <c r="I587" s="128"/>
    </row>
    <row r="588">
      <c r="A588" s="128"/>
      <c r="B588" s="128"/>
      <c r="C588" s="128"/>
      <c r="D588" s="128"/>
      <c r="E588" s="128"/>
      <c r="F588" s="128"/>
      <c r="G588" s="128"/>
      <c r="H588" s="128"/>
      <c r="I588" s="128"/>
    </row>
    <row r="589">
      <c r="A589" s="128"/>
      <c r="B589" s="128"/>
      <c r="C589" s="128"/>
      <c r="D589" s="128"/>
      <c r="E589" s="128"/>
      <c r="F589" s="128"/>
      <c r="G589" s="128"/>
      <c r="H589" s="128"/>
      <c r="I589" s="128"/>
    </row>
    <row r="590">
      <c r="A590" s="128"/>
      <c r="B590" s="128"/>
      <c r="C590" s="128"/>
      <c r="D590" s="128"/>
      <c r="E590" s="128"/>
      <c r="F590" s="128"/>
      <c r="G590" s="128"/>
      <c r="H590" s="128"/>
      <c r="I590" s="128"/>
    </row>
    <row r="591">
      <c r="A591" s="128"/>
      <c r="B591" s="128"/>
      <c r="C591" s="128"/>
      <c r="D591" s="128"/>
      <c r="E591" s="128"/>
      <c r="F591" s="128"/>
      <c r="G591" s="128"/>
      <c r="H591" s="128"/>
      <c r="I591" s="128"/>
    </row>
    <row r="592">
      <c r="A592" s="128"/>
      <c r="B592" s="128"/>
      <c r="C592" s="128"/>
      <c r="D592" s="128"/>
      <c r="E592" s="128"/>
      <c r="F592" s="128"/>
      <c r="G592" s="128"/>
      <c r="H592" s="128"/>
      <c r="I592" s="128"/>
    </row>
    <row r="593">
      <c r="A593" s="128"/>
      <c r="B593" s="128"/>
      <c r="C593" s="128"/>
      <c r="D593" s="128"/>
      <c r="E593" s="128"/>
      <c r="F593" s="128"/>
      <c r="G593" s="128"/>
      <c r="H593" s="128"/>
      <c r="I593" s="128"/>
    </row>
    <row r="594">
      <c r="A594" s="128"/>
      <c r="B594" s="128"/>
      <c r="C594" s="128"/>
      <c r="D594" s="128"/>
      <c r="E594" s="128"/>
      <c r="F594" s="128"/>
      <c r="G594" s="128"/>
      <c r="H594" s="128"/>
      <c r="I594" s="128"/>
    </row>
    <row r="595">
      <c r="A595" s="128"/>
      <c r="B595" s="128"/>
      <c r="C595" s="128"/>
      <c r="D595" s="128"/>
      <c r="E595" s="128"/>
      <c r="F595" s="128"/>
      <c r="G595" s="128"/>
      <c r="H595" s="128"/>
      <c r="I595" s="128"/>
    </row>
    <row r="596">
      <c r="A596" s="128"/>
      <c r="B596" s="128"/>
      <c r="C596" s="128"/>
      <c r="D596" s="128"/>
      <c r="E596" s="128"/>
      <c r="F596" s="128"/>
      <c r="G596" s="128"/>
      <c r="H596" s="128"/>
      <c r="I596" s="128"/>
    </row>
    <row r="597">
      <c r="A597" s="128"/>
      <c r="B597" s="128"/>
      <c r="C597" s="128"/>
      <c r="D597" s="128"/>
      <c r="E597" s="128"/>
      <c r="F597" s="128"/>
      <c r="G597" s="128"/>
      <c r="H597" s="128"/>
      <c r="I597" s="128"/>
    </row>
    <row r="598">
      <c r="A598" s="128"/>
      <c r="B598" s="128"/>
      <c r="C598" s="128"/>
      <c r="D598" s="128"/>
      <c r="E598" s="128"/>
      <c r="F598" s="128"/>
      <c r="G598" s="128"/>
      <c r="H598" s="128"/>
      <c r="I598" s="128"/>
    </row>
    <row r="599">
      <c r="A599" s="128"/>
      <c r="B599" s="128"/>
      <c r="C599" s="128"/>
      <c r="D599" s="128"/>
      <c r="E599" s="128"/>
      <c r="F599" s="128"/>
      <c r="G599" s="128"/>
      <c r="H599" s="128"/>
      <c r="I599" s="128"/>
    </row>
    <row r="600">
      <c r="A600" s="128"/>
      <c r="B600" s="128"/>
      <c r="C600" s="128"/>
      <c r="D600" s="128"/>
      <c r="E600" s="128"/>
      <c r="F600" s="128"/>
      <c r="G600" s="128"/>
      <c r="H600" s="128"/>
      <c r="I600" s="128"/>
    </row>
    <row r="601">
      <c r="A601" s="128"/>
      <c r="B601" s="128"/>
      <c r="C601" s="128"/>
      <c r="D601" s="128"/>
      <c r="E601" s="128"/>
      <c r="F601" s="128"/>
      <c r="G601" s="128"/>
      <c r="H601" s="128"/>
      <c r="I601" s="128"/>
    </row>
    <row r="602">
      <c r="A602" s="128"/>
      <c r="B602" s="128"/>
      <c r="C602" s="128"/>
      <c r="D602" s="128"/>
      <c r="E602" s="128"/>
      <c r="F602" s="128"/>
      <c r="G602" s="128"/>
      <c r="H602" s="128"/>
      <c r="I602" s="128"/>
    </row>
    <row r="603">
      <c r="A603" s="128"/>
      <c r="B603" s="128"/>
      <c r="C603" s="128"/>
      <c r="D603" s="128"/>
      <c r="E603" s="128"/>
      <c r="F603" s="128"/>
      <c r="G603" s="128"/>
      <c r="H603" s="128"/>
      <c r="I603" s="128"/>
    </row>
    <row r="604">
      <c r="A604" s="128"/>
      <c r="B604" s="128"/>
      <c r="C604" s="128"/>
      <c r="D604" s="128"/>
      <c r="E604" s="128"/>
      <c r="F604" s="128"/>
      <c r="G604" s="128"/>
      <c r="H604" s="128"/>
      <c r="I604" s="128"/>
    </row>
    <row r="605">
      <c r="A605" s="128"/>
      <c r="B605" s="128"/>
      <c r="C605" s="128"/>
      <c r="D605" s="128"/>
      <c r="E605" s="128"/>
      <c r="F605" s="128"/>
      <c r="G605" s="128"/>
      <c r="H605" s="128"/>
      <c r="I605" s="128"/>
    </row>
    <row r="606">
      <c r="A606" s="128"/>
      <c r="B606" s="128"/>
      <c r="C606" s="128"/>
      <c r="D606" s="128"/>
      <c r="E606" s="128"/>
      <c r="F606" s="128"/>
      <c r="G606" s="128"/>
      <c r="H606" s="128"/>
      <c r="I606" s="128"/>
    </row>
    <row r="607">
      <c r="A607" s="128"/>
      <c r="B607" s="128"/>
      <c r="C607" s="128"/>
      <c r="D607" s="128"/>
      <c r="E607" s="128"/>
      <c r="F607" s="128"/>
      <c r="G607" s="128"/>
      <c r="H607" s="128"/>
      <c r="I607" s="128"/>
    </row>
    <row r="608">
      <c r="A608" s="128"/>
      <c r="B608" s="128"/>
      <c r="C608" s="128"/>
      <c r="D608" s="128"/>
      <c r="E608" s="128"/>
      <c r="F608" s="128"/>
      <c r="G608" s="128"/>
      <c r="H608" s="128"/>
      <c r="I608" s="128"/>
    </row>
    <row r="609">
      <c r="A609" s="128"/>
      <c r="B609" s="128"/>
      <c r="C609" s="128"/>
      <c r="D609" s="128"/>
      <c r="E609" s="128"/>
      <c r="F609" s="128"/>
      <c r="G609" s="128"/>
      <c r="H609" s="128"/>
      <c r="I609" s="128"/>
    </row>
    <row r="610">
      <c r="A610" s="128"/>
      <c r="B610" s="128"/>
      <c r="C610" s="128"/>
      <c r="D610" s="128"/>
      <c r="E610" s="128"/>
      <c r="F610" s="128"/>
      <c r="G610" s="128"/>
      <c r="H610" s="128"/>
      <c r="I610" s="128"/>
    </row>
    <row r="611">
      <c r="A611" s="128"/>
      <c r="B611" s="128"/>
      <c r="C611" s="128"/>
      <c r="D611" s="128"/>
      <c r="E611" s="128"/>
      <c r="F611" s="128"/>
      <c r="G611" s="128"/>
      <c r="H611" s="128"/>
      <c r="I611" s="128"/>
    </row>
    <row r="612">
      <c r="A612" s="128"/>
      <c r="B612" s="128"/>
      <c r="C612" s="128"/>
      <c r="D612" s="128"/>
      <c r="E612" s="128"/>
      <c r="F612" s="128"/>
      <c r="G612" s="128"/>
      <c r="H612" s="128"/>
      <c r="I612" s="128"/>
    </row>
    <row r="613">
      <c r="A613" s="128"/>
      <c r="B613" s="128"/>
      <c r="C613" s="128"/>
      <c r="D613" s="128"/>
      <c r="E613" s="128"/>
      <c r="F613" s="128"/>
      <c r="G613" s="128"/>
      <c r="H613" s="128"/>
      <c r="I613" s="128"/>
    </row>
    <row r="614">
      <c r="A614" s="128"/>
      <c r="B614" s="128"/>
      <c r="C614" s="128"/>
      <c r="D614" s="128"/>
      <c r="E614" s="128"/>
      <c r="F614" s="128"/>
      <c r="G614" s="128"/>
      <c r="H614" s="128"/>
      <c r="I614" s="128"/>
    </row>
    <row r="615">
      <c r="A615" s="128"/>
      <c r="B615" s="128"/>
      <c r="C615" s="128"/>
      <c r="D615" s="128"/>
      <c r="E615" s="128"/>
      <c r="F615" s="128"/>
      <c r="G615" s="128"/>
      <c r="H615" s="128"/>
      <c r="I615" s="128"/>
    </row>
    <row r="616">
      <c r="A616" s="128"/>
      <c r="B616" s="128"/>
      <c r="C616" s="128"/>
      <c r="D616" s="128"/>
      <c r="E616" s="128"/>
      <c r="F616" s="128"/>
      <c r="G616" s="128"/>
      <c r="H616" s="128"/>
      <c r="I616" s="128"/>
    </row>
    <row r="617">
      <c r="A617" s="128"/>
      <c r="B617" s="128"/>
      <c r="C617" s="128"/>
      <c r="D617" s="128"/>
      <c r="E617" s="128"/>
      <c r="F617" s="128"/>
      <c r="G617" s="128"/>
      <c r="H617" s="128"/>
      <c r="I617" s="128"/>
    </row>
    <row r="618">
      <c r="A618" s="128"/>
      <c r="B618" s="128"/>
      <c r="C618" s="128"/>
      <c r="D618" s="128"/>
      <c r="E618" s="128"/>
      <c r="F618" s="128"/>
      <c r="G618" s="128"/>
      <c r="H618" s="128"/>
      <c r="I618" s="128"/>
    </row>
    <row r="619">
      <c r="A619" s="128"/>
      <c r="B619" s="128"/>
      <c r="C619" s="128"/>
      <c r="D619" s="128"/>
      <c r="E619" s="128"/>
      <c r="F619" s="128"/>
      <c r="G619" s="128"/>
      <c r="H619" s="128"/>
      <c r="I619" s="128"/>
    </row>
    <row r="620">
      <c r="A620" s="128"/>
      <c r="B620" s="128"/>
      <c r="C620" s="128"/>
      <c r="D620" s="128"/>
      <c r="E620" s="128"/>
      <c r="F620" s="128"/>
      <c r="G620" s="128"/>
      <c r="H620" s="128"/>
      <c r="I620" s="128"/>
    </row>
    <row r="621">
      <c r="A621" s="128"/>
      <c r="B621" s="128"/>
      <c r="C621" s="128"/>
      <c r="D621" s="128"/>
      <c r="E621" s="128"/>
      <c r="F621" s="128"/>
      <c r="G621" s="128"/>
      <c r="H621" s="128"/>
      <c r="I621" s="128"/>
    </row>
    <row r="622">
      <c r="A622" s="128"/>
      <c r="B622" s="128"/>
      <c r="C622" s="128"/>
      <c r="D622" s="128"/>
      <c r="E622" s="128"/>
      <c r="F622" s="128"/>
      <c r="G622" s="128"/>
      <c r="H622" s="128"/>
      <c r="I622" s="128"/>
    </row>
    <row r="623">
      <c r="A623" s="128"/>
      <c r="B623" s="128"/>
      <c r="C623" s="128"/>
      <c r="D623" s="128"/>
      <c r="E623" s="128"/>
      <c r="F623" s="128"/>
      <c r="G623" s="128"/>
      <c r="H623" s="128"/>
      <c r="I623" s="128"/>
    </row>
    <row r="624">
      <c r="A624" s="128"/>
      <c r="B624" s="128"/>
      <c r="C624" s="128"/>
      <c r="D624" s="128"/>
      <c r="E624" s="128"/>
      <c r="F624" s="128"/>
      <c r="G624" s="128"/>
      <c r="H624" s="128"/>
      <c r="I624" s="128"/>
    </row>
    <row r="625">
      <c r="A625" s="128"/>
      <c r="B625" s="128"/>
      <c r="C625" s="128"/>
      <c r="D625" s="128"/>
      <c r="E625" s="128"/>
      <c r="F625" s="128"/>
      <c r="G625" s="128"/>
      <c r="H625" s="128"/>
      <c r="I625" s="128"/>
    </row>
    <row r="626">
      <c r="A626" s="128"/>
      <c r="B626" s="128"/>
      <c r="C626" s="128"/>
      <c r="D626" s="128"/>
      <c r="E626" s="128"/>
      <c r="F626" s="128"/>
      <c r="G626" s="128"/>
      <c r="H626" s="128"/>
      <c r="I626" s="128"/>
    </row>
    <row r="627">
      <c r="A627" s="128"/>
      <c r="B627" s="128"/>
      <c r="C627" s="128"/>
      <c r="D627" s="128"/>
      <c r="E627" s="128"/>
      <c r="F627" s="128"/>
      <c r="G627" s="128"/>
      <c r="H627" s="128"/>
      <c r="I627" s="128"/>
    </row>
    <row r="628">
      <c r="A628" s="128"/>
      <c r="B628" s="128"/>
      <c r="C628" s="128"/>
      <c r="D628" s="128"/>
      <c r="E628" s="128"/>
      <c r="F628" s="128"/>
      <c r="G628" s="128"/>
      <c r="H628" s="128"/>
      <c r="I628" s="128"/>
    </row>
    <row r="629">
      <c r="A629" s="128"/>
      <c r="B629" s="128"/>
      <c r="C629" s="128"/>
      <c r="D629" s="128"/>
      <c r="E629" s="128"/>
      <c r="F629" s="128"/>
      <c r="G629" s="128"/>
      <c r="H629" s="128"/>
      <c r="I629" s="128"/>
    </row>
    <row r="630">
      <c r="A630" s="128"/>
      <c r="B630" s="128"/>
      <c r="C630" s="128"/>
      <c r="D630" s="128"/>
      <c r="E630" s="128"/>
      <c r="F630" s="128"/>
      <c r="G630" s="128"/>
      <c r="H630" s="128"/>
      <c r="I630" s="128"/>
    </row>
    <row r="631">
      <c r="A631" s="128"/>
      <c r="B631" s="128"/>
      <c r="C631" s="128"/>
      <c r="D631" s="128"/>
      <c r="E631" s="128"/>
      <c r="F631" s="128"/>
      <c r="G631" s="128"/>
      <c r="H631" s="128"/>
      <c r="I631" s="128"/>
    </row>
    <row r="632">
      <c r="A632" s="128"/>
      <c r="B632" s="128"/>
      <c r="C632" s="128"/>
      <c r="D632" s="128"/>
      <c r="E632" s="128"/>
      <c r="F632" s="128"/>
      <c r="G632" s="128"/>
      <c r="H632" s="128"/>
      <c r="I632" s="128"/>
    </row>
    <row r="633">
      <c r="A633" s="128"/>
      <c r="B633" s="128"/>
      <c r="C633" s="128"/>
      <c r="D633" s="128"/>
      <c r="E633" s="128"/>
      <c r="F633" s="128"/>
      <c r="G633" s="128"/>
      <c r="H633" s="128"/>
      <c r="I633" s="128"/>
    </row>
    <row r="634">
      <c r="A634" s="128"/>
      <c r="B634" s="128"/>
      <c r="C634" s="128"/>
      <c r="D634" s="128"/>
      <c r="E634" s="128"/>
      <c r="F634" s="128"/>
      <c r="G634" s="128"/>
      <c r="H634" s="128"/>
      <c r="I634" s="128"/>
    </row>
    <row r="635">
      <c r="A635" s="128"/>
      <c r="B635" s="128"/>
      <c r="C635" s="128"/>
      <c r="D635" s="128"/>
      <c r="E635" s="128"/>
      <c r="F635" s="128"/>
      <c r="G635" s="128"/>
      <c r="H635" s="128"/>
      <c r="I635" s="128"/>
    </row>
    <row r="636">
      <c r="A636" s="128"/>
      <c r="B636" s="128"/>
      <c r="C636" s="128"/>
      <c r="D636" s="128"/>
      <c r="E636" s="128"/>
      <c r="F636" s="128"/>
      <c r="G636" s="128"/>
      <c r="H636" s="128"/>
      <c r="I636" s="128"/>
    </row>
    <row r="637">
      <c r="A637" s="128"/>
      <c r="B637" s="128"/>
      <c r="C637" s="128"/>
      <c r="D637" s="128"/>
      <c r="E637" s="128"/>
      <c r="F637" s="128"/>
      <c r="G637" s="128"/>
      <c r="H637" s="128"/>
      <c r="I637" s="128"/>
    </row>
    <row r="638">
      <c r="A638" s="128"/>
      <c r="B638" s="128"/>
      <c r="C638" s="128"/>
      <c r="D638" s="128"/>
      <c r="E638" s="128"/>
      <c r="F638" s="128"/>
      <c r="G638" s="128"/>
      <c r="H638" s="128"/>
      <c r="I638" s="128"/>
    </row>
    <row r="639">
      <c r="A639" s="128"/>
      <c r="B639" s="128"/>
      <c r="C639" s="128"/>
      <c r="D639" s="128"/>
      <c r="E639" s="128"/>
      <c r="F639" s="128"/>
      <c r="G639" s="128"/>
      <c r="H639" s="128"/>
      <c r="I639" s="128"/>
    </row>
    <row r="640">
      <c r="A640" s="128"/>
      <c r="B640" s="128"/>
      <c r="C640" s="128"/>
      <c r="D640" s="128"/>
      <c r="E640" s="128"/>
      <c r="F640" s="128"/>
      <c r="G640" s="128"/>
      <c r="H640" s="128"/>
      <c r="I640" s="128"/>
    </row>
    <row r="641">
      <c r="A641" s="128"/>
      <c r="B641" s="128"/>
      <c r="C641" s="128"/>
      <c r="D641" s="128"/>
      <c r="E641" s="128"/>
      <c r="F641" s="128"/>
      <c r="G641" s="128"/>
      <c r="H641" s="128"/>
      <c r="I641" s="128"/>
    </row>
    <row r="642">
      <c r="A642" s="128"/>
      <c r="B642" s="128"/>
      <c r="C642" s="128"/>
      <c r="D642" s="128"/>
      <c r="E642" s="128"/>
      <c r="F642" s="128"/>
      <c r="G642" s="128"/>
      <c r="H642" s="128"/>
      <c r="I642" s="128"/>
    </row>
    <row r="643">
      <c r="A643" s="128"/>
      <c r="B643" s="128"/>
      <c r="C643" s="128"/>
      <c r="D643" s="128"/>
      <c r="E643" s="128"/>
      <c r="F643" s="128"/>
      <c r="G643" s="128"/>
      <c r="H643" s="128"/>
      <c r="I643" s="128"/>
    </row>
    <row r="644">
      <c r="A644" s="128"/>
      <c r="B644" s="128"/>
      <c r="C644" s="128"/>
      <c r="D644" s="128"/>
      <c r="E644" s="128"/>
      <c r="F644" s="128"/>
      <c r="G644" s="128"/>
      <c r="H644" s="128"/>
      <c r="I644" s="128"/>
    </row>
    <row r="645">
      <c r="A645" s="128"/>
      <c r="B645" s="128"/>
      <c r="C645" s="128"/>
      <c r="D645" s="128"/>
      <c r="E645" s="128"/>
      <c r="F645" s="128"/>
      <c r="G645" s="128"/>
      <c r="H645" s="128"/>
      <c r="I645" s="128"/>
    </row>
    <row r="646">
      <c r="A646" s="128"/>
      <c r="B646" s="128"/>
      <c r="C646" s="128"/>
      <c r="D646" s="128"/>
      <c r="E646" s="128"/>
      <c r="F646" s="128"/>
      <c r="G646" s="128"/>
      <c r="H646" s="128"/>
      <c r="I646" s="128"/>
    </row>
    <row r="647">
      <c r="A647" s="128"/>
      <c r="B647" s="128"/>
      <c r="C647" s="128"/>
      <c r="D647" s="128"/>
      <c r="E647" s="128"/>
      <c r="F647" s="128"/>
      <c r="G647" s="128"/>
      <c r="H647" s="128"/>
      <c r="I647" s="128"/>
    </row>
    <row r="648">
      <c r="A648" s="128"/>
      <c r="B648" s="128"/>
      <c r="C648" s="128"/>
      <c r="D648" s="128"/>
      <c r="E648" s="128"/>
      <c r="F648" s="128"/>
      <c r="G648" s="128"/>
      <c r="H648" s="128"/>
      <c r="I648" s="128"/>
    </row>
    <row r="649">
      <c r="A649" s="128"/>
      <c r="B649" s="128"/>
      <c r="C649" s="128"/>
      <c r="D649" s="128"/>
      <c r="E649" s="128"/>
      <c r="F649" s="128"/>
      <c r="G649" s="128"/>
      <c r="H649" s="128"/>
      <c r="I649" s="128"/>
    </row>
    <row r="650">
      <c r="A650" s="128"/>
      <c r="B650" s="128"/>
      <c r="C650" s="128"/>
      <c r="D650" s="128"/>
      <c r="E650" s="128"/>
      <c r="F650" s="128"/>
      <c r="G650" s="128"/>
      <c r="H650" s="128"/>
      <c r="I650" s="128"/>
    </row>
    <row r="651">
      <c r="A651" s="128"/>
      <c r="B651" s="128"/>
      <c r="C651" s="128"/>
      <c r="D651" s="128"/>
      <c r="E651" s="128"/>
      <c r="F651" s="128"/>
      <c r="G651" s="128"/>
      <c r="H651" s="128"/>
      <c r="I651" s="128"/>
    </row>
    <row r="652">
      <c r="A652" s="128"/>
      <c r="B652" s="128"/>
      <c r="C652" s="128"/>
      <c r="D652" s="128"/>
      <c r="E652" s="128"/>
      <c r="F652" s="128"/>
      <c r="G652" s="128"/>
      <c r="H652" s="128"/>
      <c r="I652" s="128"/>
    </row>
    <row r="653">
      <c r="A653" s="128"/>
      <c r="B653" s="128"/>
      <c r="C653" s="128"/>
      <c r="D653" s="128"/>
      <c r="E653" s="128"/>
      <c r="F653" s="128"/>
      <c r="G653" s="128"/>
      <c r="H653" s="128"/>
      <c r="I653" s="128"/>
    </row>
    <row r="654">
      <c r="A654" s="128"/>
      <c r="B654" s="128"/>
      <c r="C654" s="128"/>
      <c r="D654" s="128"/>
      <c r="E654" s="128"/>
      <c r="F654" s="128"/>
      <c r="G654" s="128"/>
      <c r="H654" s="128"/>
      <c r="I654" s="128"/>
    </row>
    <row r="655">
      <c r="A655" s="128"/>
      <c r="B655" s="128"/>
      <c r="C655" s="128"/>
      <c r="D655" s="128"/>
      <c r="E655" s="128"/>
      <c r="F655" s="128"/>
      <c r="G655" s="128"/>
      <c r="H655" s="128"/>
      <c r="I655" s="128"/>
    </row>
    <row r="656">
      <c r="A656" s="128"/>
      <c r="B656" s="128"/>
      <c r="C656" s="128"/>
      <c r="D656" s="128"/>
      <c r="E656" s="128"/>
      <c r="F656" s="128"/>
      <c r="G656" s="128"/>
      <c r="H656" s="128"/>
      <c r="I656" s="128"/>
    </row>
    <row r="657">
      <c r="A657" s="128"/>
      <c r="B657" s="128"/>
      <c r="C657" s="128"/>
      <c r="D657" s="128"/>
      <c r="E657" s="128"/>
      <c r="F657" s="128"/>
      <c r="G657" s="128"/>
      <c r="H657" s="128"/>
      <c r="I657" s="128"/>
    </row>
    <row r="658">
      <c r="A658" s="128"/>
      <c r="B658" s="128"/>
      <c r="C658" s="128"/>
      <c r="D658" s="128"/>
      <c r="E658" s="128"/>
      <c r="F658" s="128"/>
      <c r="G658" s="128"/>
      <c r="H658" s="128"/>
      <c r="I658" s="128"/>
    </row>
    <row r="659">
      <c r="A659" s="128"/>
      <c r="B659" s="128"/>
      <c r="C659" s="128"/>
      <c r="D659" s="128"/>
      <c r="E659" s="128"/>
      <c r="F659" s="128"/>
      <c r="G659" s="128"/>
      <c r="H659" s="128"/>
      <c r="I659" s="128"/>
    </row>
    <row r="660">
      <c r="A660" s="128"/>
      <c r="B660" s="128"/>
      <c r="C660" s="128"/>
      <c r="D660" s="128"/>
      <c r="E660" s="128"/>
      <c r="F660" s="128"/>
      <c r="G660" s="128"/>
      <c r="H660" s="128"/>
      <c r="I660" s="128"/>
    </row>
    <row r="661">
      <c r="A661" s="128"/>
      <c r="B661" s="128"/>
      <c r="C661" s="128"/>
      <c r="D661" s="128"/>
      <c r="E661" s="128"/>
      <c r="F661" s="128"/>
      <c r="G661" s="128"/>
      <c r="H661" s="128"/>
      <c r="I661" s="128"/>
    </row>
    <row r="662">
      <c r="A662" s="128"/>
      <c r="B662" s="128"/>
      <c r="C662" s="128"/>
      <c r="D662" s="128"/>
      <c r="E662" s="128"/>
      <c r="F662" s="128"/>
      <c r="G662" s="128"/>
      <c r="H662" s="128"/>
      <c r="I662" s="128"/>
    </row>
    <row r="663">
      <c r="A663" s="128"/>
      <c r="B663" s="128"/>
      <c r="C663" s="128"/>
      <c r="D663" s="128"/>
      <c r="E663" s="128"/>
      <c r="F663" s="128"/>
      <c r="G663" s="128"/>
      <c r="H663" s="128"/>
      <c r="I663" s="128"/>
    </row>
    <row r="664">
      <c r="A664" s="128"/>
      <c r="B664" s="128"/>
      <c r="C664" s="128"/>
      <c r="D664" s="128"/>
      <c r="E664" s="128"/>
      <c r="F664" s="128"/>
      <c r="G664" s="128"/>
      <c r="H664" s="128"/>
      <c r="I664" s="128"/>
    </row>
    <row r="665">
      <c r="A665" s="128"/>
      <c r="B665" s="128"/>
      <c r="C665" s="128"/>
      <c r="D665" s="128"/>
      <c r="E665" s="128"/>
      <c r="F665" s="128"/>
      <c r="G665" s="128"/>
      <c r="H665" s="128"/>
      <c r="I665" s="128"/>
    </row>
    <row r="666">
      <c r="A666" s="128"/>
      <c r="B666" s="128"/>
      <c r="C666" s="128"/>
      <c r="D666" s="128"/>
      <c r="E666" s="128"/>
      <c r="F666" s="128"/>
      <c r="G666" s="128"/>
      <c r="H666" s="128"/>
      <c r="I666" s="128"/>
    </row>
    <row r="667">
      <c r="A667" s="128"/>
      <c r="B667" s="128"/>
      <c r="C667" s="128"/>
      <c r="D667" s="128"/>
      <c r="E667" s="128"/>
      <c r="F667" s="128"/>
      <c r="G667" s="128"/>
      <c r="H667" s="128"/>
      <c r="I667" s="128"/>
    </row>
    <row r="668">
      <c r="A668" s="128"/>
      <c r="B668" s="128"/>
      <c r="C668" s="128"/>
      <c r="D668" s="128"/>
      <c r="E668" s="128"/>
      <c r="F668" s="128"/>
      <c r="G668" s="128"/>
      <c r="H668" s="128"/>
      <c r="I668" s="128"/>
    </row>
    <row r="669">
      <c r="A669" s="128"/>
      <c r="B669" s="128"/>
      <c r="C669" s="128"/>
      <c r="D669" s="128"/>
      <c r="E669" s="128"/>
      <c r="F669" s="128"/>
      <c r="G669" s="128"/>
      <c r="H669" s="128"/>
      <c r="I669" s="128"/>
    </row>
    <row r="670">
      <c r="A670" s="128"/>
      <c r="B670" s="128"/>
      <c r="C670" s="128"/>
      <c r="D670" s="128"/>
      <c r="E670" s="128"/>
      <c r="F670" s="128"/>
      <c r="G670" s="128"/>
      <c r="H670" s="128"/>
      <c r="I670" s="128"/>
    </row>
    <row r="671">
      <c r="A671" s="128"/>
      <c r="B671" s="128"/>
      <c r="C671" s="128"/>
      <c r="D671" s="128"/>
      <c r="E671" s="128"/>
      <c r="F671" s="128"/>
      <c r="G671" s="128"/>
      <c r="H671" s="128"/>
      <c r="I671" s="128"/>
    </row>
    <row r="672">
      <c r="A672" s="128"/>
      <c r="B672" s="128"/>
      <c r="C672" s="128"/>
      <c r="D672" s="128"/>
      <c r="E672" s="128"/>
      <c r="F672" s="128"/>
      <c r="G672" s="128"/>
      <c r="H672" s="128"/>
      <c r="I672" s="128"/>
    </row>
    <row r="673">
      <c r="A673" s="128"/>
      <c r="B673" s="128"/>
      <c r="C673" s="128"/>
      <c r="D673" s="128"/>
      <c r="E673" s="128"/>
      <c r="F673" s="128"/>
      <c r="G673" s="128"/>
      <c r="H673" s="128"/>
      <c r="I673" s="128"/>
    </row>
    <row r="674">
      <c r="A674" s="128"/>
      <c r="B674" s="128"/>
      <c r="C674" s="128"/>
      <c r="D674" s="128"/>
      <c r="E674" s="128"/>
      <c r="F674" s="128"/>
      <c r="G674" s="128"/>
      <c r="H674" s="128"/>
      <c r="I674" s="128"/>
    </row>
    <row r="675">
      <c r="A675" s="128"/>
      <c r="B675" s="128"/>
      <c r="C675" s="128"/>
      <c r="D675" s="128"/>
      <c r="E675" s="128"/>
      <c r="F675" s="128"/>
      <c r="G675" s="128"/>
      <c r="H675" s="128"/>
      <c r="I675" s="128"/>
    </row>
    <row r="676">
      <c r="A676" s="128"/>
      <c r="B676" s="128"/>
      <c r="C676" s="128"/>
      <c r="D676" s="128"/>
      <c r="E676" s="128"/>
      <c r="F676" s="128"/>
      <c r="G676" s="128"/>
      <c r="H676" s="128"/>
      <c r="I676" s="128"/>
    </row>
    <row r="677">
      <c r="A677" s="128"/>
      <c r="B677" s="128"/>
      <c r="C677" s="128"/>
      <c r="D677" s="128"/>
      <c r="E677" s="128"/>
      <c r="F677" s="128"/>
      <c r="G677" s="128"/>
      <c r="H677" s="128"/>
      <c r="I677" s="128"/>
    </row>
    <row r="678">
      <c r="A678" s="128"/>
      <c r="B678" s="128"/>
      <c r="C678" s="128"/>
      <c r="D678" s="128"/>
      <c r="E678" s="128"/>
      <c r="F678" s="128"/>
      <c r="G678" s="128"/>
      <c r="H678" s="128"/>
      <c r="I678" s="128"/>
    </row>
    <row r="679">
      <c r="A679" s="128"/>
      <c r="B679" s="128"/>
      <c r="C679" s="128"/>
      <c r="D679" s="128"/>
      <c r="E679" s="128"/>
      <c r="F679" s="128"/>
      <c r="G679" s="128"/>
      <c r="H679" s="128"/>
      <c r="I679" s="128"/>
    </row>
    <row r="680">
      <c r="A680" s="128"/>
      <c r="B680" s="128"/>
      <c r="C680" s="128"/>
      <c r="D680" s="128"/>
      <c r="E680" s="128"/>
      <c r="F680" s="128"/>
      <c r="G680" s="128"/>
      <c r="H680" s="128"/>
      <c r="I680" s="128"/>
    </row>
    <row r="681">
      <c r="A681" s="128"/>
      <c r="B681" s="128"/>
      <c r="C681" s="128"/>
      <c r="D681" s="128"/>
      <c r="E681" s="128"/>
      <c r="F681" s="128"/>
      <c r="G681" s="128"/>
      <c r="H681" s="128"/>
      <c r="I681" s="128"/>
    </row>
    <row r="682">
      <c r="A682" s="128"/>
      <c r="B682" s="128"/>
      <c r="C682" s="128"/>
      <c r="D682" s="128"/>
      <c r="E682" s="128"/>
      <c r="F682" s="128"/>
      <c r="G682" s="128"/>
      <c r="H682" s="128"/>
      <c r="I682" s="128"/>
    </row>
    <row r="683">
      <c r="A683" s="128"/>
      <c r="B683" s="128"/>
      <c r="C683" s="128"/>
      <c r="D683" s="128"/>
      <c r="E683" s="128"/>
      <c r="F683" s="128"/>
      <c r="G683" s="128"/>
      <c r="H683" s="128"/>
      <c r="I683" s="128"/>
    </row>
    <row r="684">
      <c r="A684" s="128"/>
      <c r="B684" s="128"/>
      <c r="C684" s="128"/>
      <c r="D684" s="128"/>
      <c r="E684" s="128"/>
      <c r="F684" s="128"/>
      <c r="G684" s="128"/>
      <c r="H684" s="128"/>
      <c r="I684" s="128"/>
    </row>
    <row r="685">
      <c r="A685" s="128"/>
      <c r="B685" s="128"/>
      <c r="C685" s="128"/>
      <c r="D685" s="128"/>
      <c r="E685" s="128"/>
      <c r="F685" s="128"/>
      <c r="G685" s="128"/>
      <c r="H685" s="128"/>
      <c r="I685" s="128"/>
    </row>
    <row r="686">
      <c r="A686" s="128"/>
      <c r="B686" s="128"/>
      <c r="C686" s="128"/>
      <c r="D686" s="128"/>
      <c r="E686" s="128"/>
      <c r="F686" s="128"/>
      <c r="G686" s="128"/>
      <c r="H686" s="128"/>
      <c r="I686" s="128"/>
    </row>
    <row r="687">
      <c r="A687" s="128"/>
      <c r="B687" s="128"/>
      <c r="C687" s="128"/>
      <c r="D687" s="128"/>
      <c r="E687" s="128"/>
      <c r="F687" s="128"/>
      <c r="G687" s="128"/>
      <c r="H687" s="128"/>
      <c r="I687" s="128"/>
    </row>
    <row r="688">
      <c r="A688" s="128"/>
      <c r="B688" s="128"/>
      <c r="C688" s="128"/>
      <c r="D688" s="128"/>
      <c r="E688" s="128"/>
      <c r="F688" s="128"/>
      <c r="G688" s="128"/>
      <c r="H688" s="128"/>
      <c r="I688" s="128"/>
    </row>
    <row r="689">
      <c r="A689" s="128"/>
      <c r="B689" s="128"/>
      <c r="C689" s="128"/>
      <c r="D689" s="128"/>
      <c r="E689" s="128"/>
      <c r="F689" s="128"/>
      <c r="G689" s="128"/>
      <c r="H689" s="128"/>
      <c r="I689" s="128"/>
    </row>
    <row r="690">
      <c r="A690" s="128"/>
      <c r="B690" s="128"/>
      <c r="C690" s="128"/>
      <c r="D690" s="128"/>
      <c r="E690" s="128"/>
      <c r="F690" s="128"/>
      <c r="G690" s="128"/>
      <c r="H690" s="128"/>
      <c r="I690" s="128"/>
    </row>
    <row r="691">
      <c r="A691" s="128"/>
      <c r="B691" s="128"/>
      <c r="C691" s="128"/>
      <c r="D691" s="128"/>
      <c r="E691" s="128"/>
      <c r="F691" s="128"/>
      <c r="G691" s="128"/>
      <c r="H691" s="128"/>
      <c r="I691" s="128"/>
    </row>
    <row r="692">
      <c r="A692" s="128"/>
      <c r="B692" s="128"/>
      <c r="C692" s="128"/>
      <c r="D692" s="128"/>
      <c r="E692" s="128"/>
      <c r="F692" s="128"/>
      <c r="G692" s="128"/>
      <c r="H692" s="128"/>
      <c r="I692" s="128"/>
    </row>
    <row r="693">
      <c r="A693" s="128"/>
      <c r="B693" s="128"/>
      <c r="C693" s="128"/>
      <c r="D693" s="128"/>
      <c r="E693" s="128"/>
      <c r="F693" s="128"/>
      <c r="G693" s="128"/>
      <c r="H693" s="128"/>
      <c r="I693" s="128"/>
    </row>
    <row r="694">
      <c r="A694" s="128"/>
      <c r="B694" s="128"/>
      <c r="C694" s="128"/>
      <c r="D694" s="128"/>
      <c r="E694" s="128"/>
      <c r="F694" s="128"/>
      <c r="G694" s="128"/>
      <c r="H694" s="128"/>
      <c r="I694" s="128"/>
    </row>
    <row r="695">
      <c r="A695" s="128"/>
      <c r="B695" s="128"/>
      <c r="C695" s="128"/>
      <c r="D695" s="128"/>
      <c r="E695" s="128"/>
      <c r="F695" s="128"/>
      <c r="G695" s="128"/>
      <c r="H695" s="128"/>
      <c r="I695" s="128"/>
    </row>
    <row r="696">
      <c r="A696" s="128"/>
      <c r="B696" s="128"/>
      <c r="C696" s="128"/>
      <c r="D696" s="128"/>
      <c r="E696" s="128"/>
      <c r="F696" s="128"/>
      <c r="G696" s="128"/>
      <c r="H696" s="128"/>
      <c r="I696" s="128"/>
    </row>
    <row r="697">
      <c r="A697" s="128"/>
      <c r="B697" s="128"/>
      <c r="C697" s="128"/>
      <c r="D697" s="128"/>
      <c r="E697" s="128"/>
      <c r="F697" s="128"/>
      <c r="G697" s="128"/>
      <c r="H697" s="128"/>
      <c r="I697" s="128"/>
    </row>
    <row r="698">
      <c r="A698" s="128"/>
      <c r="B698" s="128"/>
      <c r="C698" s="128"/>
      <c r="D698" s="128"/>
      <c r="E698" s="128"/>
      <c r="F698" s="128"/>
      <c r="G698" s="128"/>
      <c r="H698" s="128"/>
      <c r="I698" s="128"/>
    </row>
    <row r="699">
      <c r="A699" s="128"/>
      <c r="B699" s="128"/>
      <c r="C699" s="128"/>
      <c r="D699" s="128"/>
      <c r="E699" s="128"/>
      <c r="F699" s="128"/>
      <c r="G699" s="128"/>
      <c r="H699" s="128"/>
      <c r="I699" s="128"/>
    </row>
    <row r="700">
      <c r="A700" s="128"/>
      <c r="B700" s="128"/>
      <c r="C700" s="128"/>
      <c r="D700" s="128"/>
      <c r="E700" s="128"/>
      <c r="F700" s="128"/>
      <c r="G700" s="128"/>
      <c r="H700" s="128"/>
      <c r="I700" s="128"/>
    </row>
    <row r="701">
      <c r="A701" s="128"/>
      <c r="B701" s="128"/>
      <c r="C701" s="128"/>
      <c r="D701" s="128"/>
      <c r="E701" s="128"/>
      <c r="F701" s="128"/>
      <c r="G701" s="128"/>
      <c r="H701" s="128"/>
      <c r="I701" s="128"/>
    </row>
    <row r="702">
      <c r="A702" s="128"/>
      <c r="B702" s="128"/>
      <c r="C702" s="128"/>
      <c r="D702" s="128"/>
      <c r="E702" s="128"/>
      <c r="F702" s="128"/>
      <c r="G702" s="128"/>
      <c r="H702" s="128"/>
      <c r="I702" s="128"/>
    </row>
    <row r="703">
      <c r="A703" s="128"/>
      <c r="B703" s="128"/>
      <c r="C703" s="128"/>
      <c r="D703" s="128"/>
      <c r="E703" s="128"/>
      <c r="F703" s="128"/>
      <c r="G703" s="128"/>
      <c r="H703" s="128"/>
      <c r="I703" s="128"/>
    </row>
    <row r="704">
      <c r="A704" s="128"/>
      <c r="B704" s="128"/>
      <c r="C704" s="128"/>
      <c r="D704" s="128"/>
      <c r="E704" s="128"/>
      <c r="F704" s="128"/>
      <c r="G704" s="128"/>
      <c r="H704" s="128"/>
      <c r="I704" s="128"/>
    </row>
    <row r="705">
      <c r="A705" s="128"/>
      <c r="B705" s="128"/>
      <c r="C705" s="128"/>
      <c r="D705" s="128"/>
      <c r="E705" s="128"/>
      <c r="F705" s="128"/>
      <c r="G705" s="128"/>
      <c r="H705" s="128"/>
      <c r="I705" s="128"/>
    </row>
    <row r="706">
      <c r="A706" s="128"/>
      <c r="B706" s="128"/>
      <c r="C706" s="128"/>
      <c r="D706" s="128"/>
      <c r="E706" s="128"/>
      <c r="F706" s="128"/>
      <c r="G706" s="128"/>
      <c r="H706" s="128"/>
      <c r="I706" s="128"/>
    </row>
    <row r="707">
      <c r="A707" s="128"/>
      <c r="B707" s="128"/>
      <c r="C707" s="128"/>
      <c r="D707" s="128"/>
      <c r="E707" s="128"/>
      <c r="F707" s="128"/>
      <c r="G707" s="128"/>
      <c r="H707" s="128"/>
      <c r="I707" s="128"/>
    </row>
    <row r="708">
      <c r="A708" s="128"/>
      <c r="B708" s="128"/>
      <c r="C708" s="128"/>
      <c r="D708" s="128"/>
      <c r="E708" s="128"/>
      <c r="F708" s="128"/>
      <c r="G708" s="128"/>
      <c r="H708" s="128"/>
      <c r="I708" s="128"/>
    </row>
    <row r="709">
      <c r="A709" s="128"/>
      <c r="B709" s="128"/>
      <c r="C709" s="128"/>
      <c r="D709" s="128"/>
      <c r="E709" s="128"/>
      <c r="F709" s="128"/>
      <c r="G709" s="128"/>
      <c r="H709" s="128"/>
      <c r="I709" s="128"/>
    </row>
    <row r="710">
      <c r="A710" s="128"/>
      <c r="B710" s="128"/>
      <c r="C710" s="128"/>
      <c r="D710" s="128"/>
      <c r="E710" s="128"/>
      <c r="F710" s="128"/>
      <c r="G710" s="128"/>
      <c r="H710" s="128"/>
      <c r="I710" s="128"/>
    </row>
    <row r="711">
      <c r="A711" s="128"/>
      <c r="B711" s="128"/>
      <c r="C711" s="128"/>
      <c r="D711" s="128"/>
      <c r="E711" s="128"/>
      <c r="F711" s="128"/>
      <c r="G711" s="128"/>
      <c r="H711" s="128"/>
      <c r="I711" s="128"/>
    </row>
    <row r="712">
      <c r="A712" s="128"/>
      <c r="B712" s="128"/>
      <c r="C712" s="128"/>
      <c r="D712" s="128"/>
      <c r="E712" s="128"/>
      <c r="F712" s="128"/>
      <c r="G712" s="128"/>
      <c r="H712" s="128"/>
      <c r="I712" s="128"/>
    </row>
    <row r="713">
      <c r="A713" s="128"/>
      <c r="B713" s="128"/>
      <c r="C713" s="128"/>
      <c r="D713" s="128"/>
      <c r="E713" s="128"/>
      <c r="F713" s="128"/>
      <c r="G713" s="128"/>
      <c r="H713" s="128"/>
      <c r="I713" s="128"/>
    </row>
    <row r="714">
      <c r="A714" s="128"/>
      <c r="B714" s="128"/>
      <c r="C714" s="128"/>
      <c r="D714" s="128"/>
      <c r="E714" s="128"/>
      <c r="F714" s="128"/>
      <c r="G714" s="128"/>
      <c r="H714" s="128"/>
      <c r="I714" s="128"/>
    </row>
    <row r="715">
      <c r="A715" s="128"/>
      <c r="B715" s="128"/>
      <c r="C715" s="128"/>
      <c r="D715" s="128"/>
      <c r="E715" s="128"/>
      <c r="F715" s="128"/>
      <c r="G715" s="128"/>
      <c r="H715" s="128"/>
      <c r="I715" s="128"/>
    </row>
    <row r="716">
      <c r="A716" s="128"/>
      <c r="B716" s="128"/>
      <c r="C716" s="128"/>
      <c r="D716" s="128"/>
      <c r="E716" s="128"/>
      <c r="F716" s="128"/>
      <c r="G716" s="128"/>
      <c r="H716" s="128"/>
      <c r="I716" s="128"/>
    </row>
    <row r="717">
      <c r="A717" s="128"/>
      <c r="B717" s="128"/>
      <c r="C717" s="128"/>
      <c r="D717" s="128"/>
      <c r="E717" s="128"/>
      <c r="F717" s="128"/>
      <c r="G717" s="128"/>
      <c r="H717" s="128"/>
      <c r="I717" s="128"/>
    </row>
    <row r="718">
      <c r="A718" s="128"/>
      <c r="B718" s="128"/>
      <c r="C718" s="128"/>
      <c r="D718" s="128"/>
      <c r="E718" s="128"/>
      <c r="F718" s="128"/>
      <c r="G718" s="128"/>
      <c r="H718" s="128"/>
      <c r="I718" s="128"/>
    </row>
    <row r="719">
      <c r="A719" s="128"/>
      <c r="B719" s="128"/>
      <c r="C719" s="128"/>
      <c r="D719" s="128"/>
      <c r="E719" s="128"/>
      <c r="F719" s="128"/>
      <c r="G719" s="128"/>
      <c r="H719" s="128"/>
      <c r="I719" s="128"/>
    </row>
    <row r="720">
      <c r="A720" s="128"/>
      <c r="B720" s="128"/>
      <c r="C720" s="128"/>
      <c r="D720" s="128"/>
      <c r="E720" s="128"/>
      <c r="F720" s="128"/>
      <c r="G720" s="128"/>
      <c r="H720" s="128"/>
      <c r="I720" s="128"/>
    </row>
    <row r="721">
      <c r="A721" s="128"/>
      <c r="B721" s="128"/>
      <c r="C721" s="128"/>
      <c r="D721" s="128"/>
      <c r="E721" s="128"/>
      <c r="F721" s="128"/>
      <c r="G721" s="128"/>
      <c r="H721" s="128"/>
      <c r="I721" s="128"/>
    </row>
    <row r="722">
      <c r="A722" s="128"/>
      <c r="B722" s="128"/>
      <c r="C722" s="128"/>
      <c r="D722" s="128"/>
      <c r="E722" s="128"/>
      <c r="F722" s="128"/>
      <c r="G722" s="128"/>
      <c r="H722" s="128"/>
      <c r="I722" s="128"/>
    </row>
    <row r="723">
      <c r="A723" s="128"/>
      <c r="B723" s="128"/>
      <c r="C723" s="128"/>
      <c r="D723" s="128"/>
      <c r="E723" s="128"/>
      <c r="F723" s="128"/>
      <c r="G723" s="128"/>
      <c r="H723" s="128"/>
      <c r="I723" s="128"/>
    </row>
    <row r="724">
      <c r="A724" s="128"/>
      <c r="B724" s="128"/>
      <c r="C724" s="128"/>
      <c r="D724" s="128"/>
      <c r="E724" s="128"/>
      <c r="F724" s="128"/>
      <c r="G724" s="128"/>
      <c r="H724" s="128"/>
      <c r="I724" s="128"/>
    </row>
    <row r="725">
      <c r="A725" s="128"/>
      <c r="B725" s="128"/>
      <c r="C725" s="128"/>
      <c r="D725" s="128"/>
      <c r="E725" s="128"/>
      <c r="F725" s="128"/>
      <c r="G725" s="128"/>
      <c r="H725" s="128"/>
      <c r="I725" s="128"/>
    </row>
    <row r="726">
      <c r="A726" s="128"/>
      <c r="B726" s="128"/>
      <c r="C726" s="128"/>
      <c r="D726" s="128"/>
      <c r="E726" s="128"/>
      <c r="F726" s="128"/>
      <c r="G726" s="128"/>
      <c r="H726" s="128"/>
      <c r="I726" s="128"/>
    </row>
    <row r="727">
      <c r="A727" s="128"/>
      <c r="B727" s="128"/>
      <c r="C727" s="128"/>
      <c r="D727" s="128"/>
      <c r="E727" s="128"/>
      <c r="F727" s="128"/>
      <c r="G727" s="128"/>
      <c r="H727" s="128"/>
      <c r="I727" s="128"/>
    </row>
    <row r="728">
      <c r="A728" s="128"/>
      <c r="B728" s="128"/>
      <c r="C728" s="128"/>
      <c r="D728" s="128"/>
      <c r="E728" s="128"/>
      <c r="F728" s="128"/>
      <c r="G728" s="128"/>
      <c r="H728" s="128"/>
      <c r="I728" s="128"/>
    </row>
    <row r="729">
      <c r="A729" s="128"/>
      <c r="B729" s="128"/>
      <c r="C729" s="128"/>
      <c r="D729" s="128"/>
      <c r="E729" s="128"/>
      <c r="F729" s="128"/>
      <c r="G729" s="128"/>
      <c r="H729" s="128"/>
      <c r="I729" s="128"/>
    </row>
    <row r="730">
      <c r="A730" s="128"/>
      <c r="B730" s="128"/>
      <c r="C730" s="128"/>
      <c r="D730" s="128"/>
      <c r="E730" s="128"/>
      <c r="F730" s="128"/>
      <c r="G730" s="128"/>
      <c r="H730" s="128"/>
      <c r="I730" s="128"/>
    </row>
    <row r="731">
      <c r="A731" s="128"/>
      <c r="B731" s="128"/>
      <c r="C731" s="128"/>
      <c r="D731" s="128"/>
      <c r="E731" s="128"/>
      <c r="F731" s="128"/>
      <c r="G731" s="128"/>
      <c r="H731" s="128"/>
      <c r="I731" s="128"/>
    </row>
    <row r="732">
      <c r="A732" s="128"/>
      <c r="B732" s="128"/>
      <c r="C732" s="128"/>
      <c r="D732" s="128"/>
      <c r="E732" s="128"/>
      <c r="F732" s="128"/>
      <c r="G732" s="128"/>
      <c r="H732" s="128"/>
      <c r="I732" s="128"/>
    </row>
    <row r="733">
      <c r="A733" s="128"/>
      <c r="B733" s="128"/>
      <c r="C733" s="128"/>
      <c r="D733" s="128"/>
      <c r="E733" s="128"/>
      <c r="F733" s="128"/>
      <c r="G733" s="128"/>
      <c r="H733" s="128"/>
      <c r="I733" s="128"/>
    </row>
    <row r="734">
      <c r="A734" s="128"/>
      <c r="B734" s="128"/>
      <c r="C734" s="128"/>
      <c r="D734" s="128"/>
      <c r="E734" s="128"/>
      <c r="F734" s="128"/>
      <c r="G734" s="128"/>
      <c r="H734" s="128"/>
      <c r="I734" s="128"/>
    </row>
    <row r="735">
      <c r="A735" s="128"/>
      <c r="B735" s="128"/>
      <c r="C735" s="128"/>
      <c r="D735" s="128"/>
      <c r="E735" s="128"/>
      <c r="F735" s="128"/>
      <c r="G735" s="128"/>
      <c r="H735" s="128"/>
      <c r="I735" s="128"/>
    </row>
    <row r="736">
      <c r="A736" s="128"/>
      <c r="B736" s="128"/>
      <c r="C736" s="128"/>
      <c r="D736" s="128"/>
      <c r="E736" s="128"/>
      <c r="F736" s="128"/>
      <c r="G736" s="128"/>
      <c r="H736" s="128"/>
      <c r="I736" s="128"/>
    </row>
    <row r="737">
      <c r="A737" s="128"/>
      <c r="B737" s="128"/>
      <c r="C737" s="128"/>
      <c r="D737" s="128"/>
      <c r="E737" s="128"/>
      <c r="F737" s="128"/>
      <c r="G737" s="128"/>
      <c r="H737" s="128"/>
      <c r="I737" s="128"/>
    </row>
    <row r="738">
      <c r="A738" s="128"/>
      <c r="B738" s="128"/>
      <c r="C738" s="128"/>
      <c r="D738" s="128"/>
      <c r="E738" s="128"/>
      <c r="F738" s="128"/>
      <c r="G738" s="128"/>
      <c r="H738" s="128"/>
      <c r="I738" s="128"/>
    </row>
    <row r="739">
      <c r="A739" s="128"/>
      <c r="B739" s="128"/>
      <c r="C739" s="128"/>
      <c r="D739" s="128"/>
      <c r="E739" s="128"/>
      <c r="F739" s="128"/>
      <c r="G739" s="128"/>
      <c r="H739" s="128"/>
      <c r="I739" s="128"/>
    </row>
    <row r="740">
      <c r="A740" s="128"/>
      <c r="B740" s="128"/>
      <c r="C740" s="128"/>
      <c r="D740" s="128"/>
      <c r="E740" s="128"/>
      <c r="F740" s="128"/>
      <c r="G740" s="128"/>
      <c r="H740" s="128"/>
      <c r="I740" s="128"/>
    </row>
    <row r="741">
      <c r="A741" s="128"/>
      <c r="B741" s="128"/>
      <c r="C741" s="128"/>
      <c r="D741" s="128"/>
      <c r="E741" s="128"/>
      <c r="F741" s="128"/>
      <c r="G741" s="128"/>
      <c r="H741" s="128"/>
      <c r="I741" s="128"/>
    </row>
    <row r="742">
      <c r="A742" s="128"/>
      <c r="B742" s="128"/>
      <c r="C742" s="128"/>
      <c r="D742" s="128"/>
      <c r="E742" s="128"/>
      <c r="F742" s="128"/>
      <c r="G742" s="128"/>
      <c r="H742" s="128"/>
      <c r="I742" s="128"/>
    </row>
    <row r="743">
      <c r="A743" s="128"/>
      <c r="B743" s="128"/>
      <c r="C743" s="128"/>
      <c r="D743" s="128"/>
      <c r="E743" s="128"/>
      <c r="F743" s="128"/>
      <c r="G743" s="128"/>
      <c r="H743" s="128"/>
      <c r="I743" s="128"/>
    </row>
    <row r="744">
      <c r="A744" s="128"/>
      <c r="B744" s="128"/>
      <c r="C744" s="128"/>
      <c r="D744" s="128"/>
      <c r="E744" s="128"/>
      <c r="F744" s="128"/>
      <c r="G744" s="128"/>
      <c r="H744" s="128"/>
      <c r="I744" s="128"/>
    </row>
    <row r="745">
      <c r="A745" s="128"/>
      <c r="B745" s="128"/>
      <c r="C745" s="128"/>
      <c r="D745" s="128"/>
      <c r="E745" s="128"/>
      <c r="F745" s="128"/>
      <c r="G745" s="128"/>
      <c r="H745" s="128"/>
      <c r="I745" s="128"/>
    </row>
    <row r="746">
      <c r="A746" s="128"/>
      <c r="B746" s="128"/>
      <c r="C746" s="128"/>
      <c r="D746" s="128"/>
      <c r="E746" s="128"/>
      <c r="F746" s="128"/>
      <c r="G746" s="128"/>
      <c r="H746" s="128"/>
      <c r="I746" s="128"/>
    </row>
    <row r="747">
      <c r="A747" s="128"/>
      <c r="B747" s="128"/>
      <c r="C747" s="128"/>
      <c r="D747" s="128"/>
      <c r="E747" s="128"/>
      <c r="F747" s="128"/>
      <c r="G747" s="128"/>
      <c r="H747" s="128"/>
      <c r="I747" s="128"/>
    </row>
    <row r="748">
      <c r="A748" s="128"/>
      <c r="B748" s="128"/>
      <c r="C748" s="128"/>
      <c r="D748" s="128"/>
      <c r="E748" s="128"/>
      <c r="F748" s="128"/>
      <c r="G748" s="128"/>
      <c r="H748" s="128"/>
      <c r="I748" s="128"/>
    </row>
    <row r="749">
      <c r="A749" s="128"/>
      <c r="B749" s="128"/>
      <c r="C749" s="128"/>
      <c r="D749" s="128"/>
      <c r="E749" s="128"/>
      <c r="F749" s="128"/>
      <c r="G749" s="128"/>
      <c r="H749" s="128"/>
      <c r="I749" s="128"/>
    </row>
    <row r="750">
      <c r="A750" s="128"/>
      <c r="B750" s="128"/>
      <c r="C750" s="128"/>
      <c r="D750" s="128"/>
      <c r="E750" s="128"/>
      <c r="F750" s="128"/>
      <c r="G750" s="128"/>
      <c r="H750" s="128"/>
      <c r="I750" s="128"/>
    </row>
    <row r="751">
      <c r="A751" s="128"/>
      <c r="B751" s="128"/>
      <c r="C751" s="128"/>
      <c r="D751" s="128"/>
      <c r="E751" s="128"/>
      <c r="F751" s="128"/>
      <c r="G751" s="128"/>
      <c r="H751" s="128"/>
      <c r="I751" s="128"/>
    </row>
    <row r="752">
      <c r="A752" s="128"/>
      <c r="B752" s="128"/>
      <c r="C752" s="128"/>
      <c r="D752" s="128"/>
      <c r="E752" s="128"/>
      <c r="F752" s="128"/>
      <c r="G752" s="128"/>
      <c r="H752" s="128"/>
      <c r="I752" s="128"/>
    </row>
    <row r="753">
      <c r="A753" s="128"/>
      <c r="B753" s="128"/>
      <c r="C753" s="128"/>
      <c r="D753" s="128"/>
      <c r="E753" s="128"/>
      <c r="F753" s="128"/>
      <c r="G753" s="128"/>
      <c r="H753" s="128"/>
      <c r="I753" s="128"/>
    </row>
    <row r="754">
      <c r="A754" s="128"/>
      <c r="B754" s="128"/>
      <c r="C754" s="128"/>
      <c r="D754" s="128"/>
      <c r="E754" s="128"/>
      <c r="F754" s="128"/>
      <c r="G754" s="128"/>
      <c r="H754" s="128"/>
      <c r="I754" s="128"/>
    </row>
    <row r="755">
      <c r="A755" s="128"/>
      <c r="B755" s="128"/>
      <c r="C755" s="128"/>
      <c r="D755" s="128"/>
      <c r="E755" s="128"/>
      <c r="F755" s="128"/>
      <c r="G755" s="128"/>
      <c r="H755" s="128"/>
      <c r="I755" s="128"/>
    </row>
    <row r="756">
      <c r="A756" s="128"/>
      <c r="B756" s="128"/>
      <c r="C756" s="128"/>
      <c r="D756" s="128"/>
      <c r="E756" s="128"/>
      <c r="F756" s="128"/>
      <c r="G756" s="128"/>
      <c r="H756" s="128"/>
      <c r="I756" s="128"/>
    </row>
    <row r="757">
      <c r="A757" s="128"/>
      <c r="B757" s="128"/>
      <c r="C757" s="128"/>
      <c r="D757" s="128"/>
      <c r="E757" s="128"/>
      <c r="F757" s="128"/>
      <c r="G757" s="128"/>
      <c r="H757" s="128"/>
      <c r="I757" s="128"/>
    </row>
    <row r="758">
      <c r="A758" s="128"/>
      <c r="B758" s="128"/>
      <c r="C758" s="128"/>
      <c r="D758" s="128"/>
      <c r="E758" s="128"/>
      <c r="F758" s="128"/>
      <c r="G758" s="128"/>
      <c r="H758" s="128"/>
      <c r="I758" s="128"/>
    </row>
    <row r="759">
      <c r="A759" s="128"/>
      <c r="B759" s="128"/>
      <c r="C759" s="128"/>
      <c r="D759" s="128"/>
      <c r="E759" s="128"/>
      <c r="F759" s="128"/>
      <c r="G759" s="128"/>
      <c r="H759" s="128"/>
      <c r="I759" s="128"/>
    </row>
    <row r="760">
      <c r="A760" s="128"/>
      <c r="B760" s="128"/>
      <c r="C760" s="128"/>
      <c r="D760" s="128"/>
      <c r="E760" s="128"/>
      <c r="F760" s="128"/>
      <c r="G760" s="128"/>
      <c r="H760" s="128"/>
      <c r="I760" s="128"/>
    </row>
    <row r="761">
      <c r="A761" s="128"/>
      <c r="B761" s="128"/>
      <c r="C761" s="128"/>
      <c r="D761" s="128"/>
      <c r="E761" s="128"/>
      <c r="F761" s="128"/>
      <c r="G761" s="128"/>
      <c r="H761" s="128"/>
      <c r="I761" s="128"/>
    </row>
    <row r="762">
      <c r="A762" s="128"/>
      <c r="B762" s="128"/>
      <c r="C762" s="128"/>
      <c r="D762" s="128"/>
      <c r="E762" s="128"/>
      <c r="F762" s="128"/>
      <c r="G762" s="128"/>
      <c r="H762" s="128"/>
      <c r="I762" s="128"/>
    </row>
    <row r="763">
      <c r="A763" s="128"/>
      <c r="B763" s="128"/>
      <c r="C763" s="128"/>
      <c r="D763" s="128"/>
      <c r="E763" s="128"/>
      <c r="F763" s="128"/>
      <c r="G763" s="128"/>
      <c r="H763" s="128"/>
      <c r="I763" s="128"/>
    </row>
    <row r="764">
      <c r="A764" s="128"/>
      <c r="B764" s="128"/>
      <c r="C764" s="128"/>
      <c r="D764" s="128"/>
      <c r="E764" s="128"/>
      <c r="F764" s="128"/>
      <c r="G764" s="128"/>
      <c r="H764" s="128"/>
      <c r="I764" s="128"/>
    </row>
    <row r="765">
      <c r="A765" s="128"/>
      <c r="B765" s="128"/>
      <c r="C765" s="128"/>
      <c r="D765" s="128"/>
      <c r="E765" s="128"/>
      <c r="F765" s="128"/>
      <c r="G765" s="128"/>
      <c r="H765" s="128"/>
      <c r="I765" s="128"/>
    </row>
    <row r="766">
      <c r="A766" s="128"/>
      <c r="B766" s="128"/>
      <c r="C766" s="128"/>
      <c r="D766" s="128"/>
      <c r="E766" s="128"/>
      <c r="F766" s="128"/>
      <c r="G766" s="128"/>
      <c r="H766" s="128"/>
      <c r="I766" s="128"/>
    </row>
    <row r="767">
      <c r="A767" s="128"/>
      <c r="B767" s="128"/>
      <c r="C767" s="128"/>
      <c r="D767" s="128"/>
      <c r="E767" s="128"/>
      <c r="F767" s="128"/>
      <c r="G767" s="128"/>
      <c r="H767" s="128"/>
      <c r="I767" s="128"/>
    </row>
    <row r="768">
      <c r="A768" s="128"/>
      <c r="B768" s="128"/>
      <c r="C768" s="128"/>
      <c r="D768" s="128"/>
      <c r="E768" s="128"/>
      <c r="F768" s="128"/>
      <c r="G768" s="128"/>
      <c r="H768" s="128"/>
      <c r="I768" s="128"/>
    </row>
    <row r="769">
      <c r="A769" s="128"/>
      <c r="B769" s="128"/>
      <c r="C769" s="128"/>
      <c r="D769" s="128"/>
      <c r="E769" s="128"/>
      <c r="F769" s="128"/>
      <c r="G769" s="128"/>
      <c r="H769" s="128"/>
      <c r="I769" s="128"/>
    </row>
    <row r="770">
      <c r="A770" s="128"/>
      <c r="B770" s="128"/>
      <c r="C770" s="128"/>
      <c r="D770" s="128"/>
      <c r="E770" s="128"/>
      <c r="F770" s="128"/>
      <c r="G770" s="128"/>
      <c r="H770" s="128"/>
      <c r="I770" s="128"/>
    </row>
    <row r="771">
      <c r="A771" s="128"/>
      <c r="B771" s="128"/>
      <c r="C771" s="128"/>
      <c r="D771" s="128"/>
      <c r="E771" s="128"/>
      <c r="F771" s="128"/>
      <c r="G771" s="128"/>
      <c r="H771" s="128"/>
      <c r="I771" s="128"/>
    </row>
    <row r="772">
      <c r="A772" s="128"/>
      <c r="B772" s="128"/>
      <c r="C772" s="128"/>
      <c r="D772" s="128"/>
      <c r="E772" s="128"/>
      <c r="F772" s="128"/>
      <c r="G772" s="128"/>
      <c r="H772" s="128"/>
      <c r="I772" s="128"/>
    </row>
    <row r="773">
      <c r="A773" s="128"/>
      <c r="B773" s="128"/>
      <c r="C773" s="128"/>
      <c r="D773" s="128"/>
      <c r="E773" s="128"/>
      <c r="F773" s="128"/>
      <c r="G773" s="128"/>
      <c r="H773" s="128"/>
      <c r="I773" s="128"/>
    </row>
    <row r="774">
      <c r="A774" s="128"/>
      <c r="B774" s="128"/>
      <c r="C774" s="128"/>
      <c r="D774" s="128"/>
      <c r="E774" s="128"/>
      <c r="F774" s="128"/>
      <c r="G774" s="128"/>
      <c r="H774" s="128"/>
      <c r="I774" s="128"/>
    </row>
    <row r="775">
      <c r="A775" s="128"/>
      <c r="B775" s="128"/>
      <c r="C775" s="128"/>
      <c r="D775" s="128"/>
      <c r="E775" s="128"/>
      <c r="F775" s="128"/>
      <c r="G775" s="128"/>
      <c r="H775" s="128"/>
      <c r="I775" s="128"/>
    </row>
    <row r="776">
      <c r="A776" s="128"/>
      <c r="B776" s="128"/>
      <c r="C776" s="128"/>
      <c r="D776" s="128"/>
      <c r="E776" s="128"/>
      <c r="F776" s="128"/>
      <c r="G776" s="128"/>
      <c r="H776" s="128"/>
      <c r="I776" s="128"/>
    </row>
    <row r="777">
      <c r="A777" s="128"/>
      <c r="B777" s="128"/>
      <c r="C777" s="128"/>
      <c r="D777" s="128"/>
      <c r="E777" s="128"/>
      <c r="F777" s="128"/>
      <c r="G777" s="128"/>
      <c r="H777" s="128"/>
      <c r="I777" s="128"/>
    </row>
    <row r="778">
      <c r="A778" s="128"/>
      <c r="B778" s="128"/>
      <c r="C778" s="128"/>
      <c r="D778" s="128"/>
      <c r="E778" s="128"/>
      <c r="F778" s="128"/>
      <c r="G778" s="128"/>
      <c r="H778" s="128"/>
      <c r="I778" s="128"/>
    </row>
    <row r="779">
      <c r="A779" s="128"/>
      <c r="B779" s="128"/>
      <c r="C779" s="128"/>
      <c r="D779" s="128"/>
      <c r="E779" s="128"/>
      <c r="F779" s="128"/>
      <c r="G779" s="128"/>
      <c r="H779" s="128"/>
      <c r="I779" s="128"/>
    </row>
    <row r="780">
      <c r="A780" s="128"/>
      <c r="B780" s="128"/>
      <c r="C780" s="128"/>
      <c r="D780" s="128"/>
      <c r="E780" s="128"/>
      <c r="F780" s="128"/>
      <c r="G780" s="128"/>
      <c r="H780" s="128"/>
      <c r="I780" s="128"/>
    </row>
    <row r="781">
      <c r="A781" s="128"/>
      <c r="B781" s="128"/>
      <c r="C781" s="128"/>
      <c r="D781" s="128"/>
      <c r="E781" s="128"/>
      <c r="F781" s="128"/>
      <c r="G781" s="128"/>
      <c r="H781" s="128"/>
      <c r="I781" s="128"/>
    </row>
    <row r="782">
      <c r="A782" s="128"/>
      <c r="B782" s="128"/>
      <c r="C782" s="128"/>
      <c r="D782" s="128"/>
      <c r="E782" s="128"/>
      <c r="F782" s="128"/>
      <c r="G782" s="128"/>
      <c r="H782" s="128"/>
      <c r="I782" s="128"/>
    </row>
    <row r="783">
      <c r="A783" s="128"/>
      <c r="B783" s="128"/>
      <c r="C783" s="128"/>
      <c r="D783" s="128"/>
      <c r="E783" s="128"/>
      <c r="F783" s="128"/>
      <c r="G783" s="128"/>
      <c r="H783" s="128"/>
      <c r="I783" s="128"/>
    </row>
    <row r="784">
      <c r="A784" s="128"/>
      <c r="B784" s="128"/>
      <c r="C784" s="128"/>
      <c r="D784" s="128"/>
      <c r="E784" s="128"/>
      <c r="F784" s="128"/>
      <c r="G784" s="128"/>
      <c r="H784" s="128"/>
      <c r="I784" s="128"/>
    </row>
    <row r="785">
      <c r="A785" s="128"/>
      <c r="B785" s="128"/>
      <c r="C785" s="128"/>
      <c r="D785" s="128"/>
      <c r="E785" s="128"/>
      <c r="F785" s="128"/>
      <c r="G785" s="128"/>
      <c r="H785" s="128"/>
      <c r="I785" s="128"/>
    </row>
    <row r="786">
      <c r="A786" s="128"/>
      <c r="B786" s="128"/>
      <c r="C786" s="128"/>
      <c r="D786" s="128"/>
      <c r="E786" s="128"/>
      <c r="F786" s="128"/>
      <c r="G786" s="128"/>
      <c r="H786" s="128"/>
      <c r="I786" s="128"/>
    </row>
    <row r="787">
      <c r="A787" s="128"/>
      <c r="B787" s="128"/>
      <c r="C787" s="128"/>
      <c r="D787" s="128"/>
      <c r="E787" s="128"/>
      <c r="F787" s="128"/>
      <c r="G787" s="128"/>
      <c r="H787" s="128"/>
      <c r="I787" s="128"/>
    </row>
    <row r="788">
      <c r="A788" s="128"/>
      <c r="B788" s="128"/>
      <c r="C788" s="128"/>
      <c r="D788" s="128"/>
      <c r="E788" s="128"/>
      <c r="F788" s="128"/>
      <c r="G788" s="128"/>
      <c r="H788" s="128"/>
      <c r="I788" s="128"/>
    </row>
    <row r="789">
      <c r="A789" s="128"/>
      <c r="B789" s="128"/>
      <c r="C789" s="128"/>
      <c r="D789" s="128"/>
      <c r="E789" s="128"/>
      <c r="F789" s="128"/>
      <c r="G789" s="128"/>
      <c r="H789" s="128"/>
      <c r="I789" s="128"/>
    </row>
    <row r="790">
      <c r="A790" s="128"/>
      <c r="B790" s="128"/>
      <c r="C790" s="128"/>
      <c r="D790" s="128"/>
      <c r="E790" s="128"/>
      <c r="F790" s="128"/>
      <c r="G790" s="128"/>
      <c r="H790" s="128"/>
      <c r="I790" s="128"/>
    </row>
    <row r="791">
      <c r="A791" s="128"/>
      <c r="B791" s="128"/>
      <c r="C791" s="128"/>
      <c r="D791" s="128"/>
      <c r="E791" s="128"/>
      <c r="F791" s="128"/>
      <c r="G791" s="128"/>
      <c r="H791" s="128"/>
      <c r="I791" s="128"/>
    </row>
    <row r="792">
      <c r="A792" s="128"/>
      <c r="B792" s="128"/>
      <c r="C792" s="128"/>
      <c r="D792" s="128"/>
      <c r="E792" s="128"/>
      <c r="F792" s="128"/>
      <c r="G792" s="128"/>
      <c r="H792" s="128"/>
      <c r="I792" s="128"/>
    </row>
    <row r="793">
      <c r="A793" s="128"/>
      <c r="B793" s="128"/>
      <c r="C793" s="128"/>
      <c r="D793" s="128"/>
      <c r="E793" s="128"/>
      <c r="F793" s="128"/>
      <c r="G793" s="128"/>
      <c r="H793" s="128"/>
      <c r="I793" s="128"/>
    </row>
    <row r="794">
      <c r="A794" s="128"/>
      <c r="B794" s="128"/>
      <c r="C794" s="128"/>
      <c r="D794" s="128"/>
      <c r="E794" s="128"/>
      <c r="F794" s="128"/>
      <c r="G794" s="128"/>
      <c r="H794" s="128"/>
      <c r="I794" s="128"/>
    </row>
    <row r="795">
      <c r="A795" s="128"/>
      <c r="B795" s="128"/>
      <c r="C795" s="128"/>
      <c r="D795" s="128"/>
      <c r="E795" s="128"/>
      <c r="F795" s="128"/>
      <c r="G795" s="128"/>
      <c r="H795" s="128"/>
      <c r="I795" s="128"/>
    </row>
    <row r="796">
      <c r="A796" s="128"/>
      <c r="B796" s="128"/>
      <c r="C796" s="128"/>
      <c r="D796" s="128"/>
      <c r="E796" s="128"/>
      <c r="F796" s="128"/>
      <c r="G796" s="128"/>
      <c r="H796" s="128"/>
      <c r="I796" s="128"/>
    </row>
    <row r="797">
      <c r="A797" s="128"/>
      <c r="B797" s="128"/>
      <c r="C797" s="128"/>
      <c r="D797" s="128"/>
      <c r="E797" s="128"/>
      <c r="F797" s="128"/>
      <c r="G797" s="128"/>
      <c r="H797" s="128"/>
      <c r="I797" s="128"/>
    </row>
    <row r="798">
      <c r="A798" s="128"/>
      <c r="B798" s="128"/>
      <c r="C798" s="128"/>
      <c r="D798" s="128"/>
      <c r="E798" s="128"/>
      <c r="F798" s="128"/>
      <c r="G798" s="128"/>
      <c r="H798" s="128"/>
      <c r="I798" s="128"/>
    </row>
    <row r="799">
      <c r="A799" s="128"/>
      <c r="B799" s="128"/>
      <c r="C799" s="128"/>
      <c r="D799" s="128"/>
      <c r="E799" s="128"/>
      <c r="F799" s="128"/>
      <c r="G799" s="128"/>
      <c r="H799" s="128"/>
      <c r="I799" s="128"/>
    </row>
    <row r="800">
      <c r="A800" s="128"/>
      <c r="B800" s="128"/>
      <c r="C800" s="128"/>
      <c r="D800" s="128"/>
      <c r="E800" s="128"/>
      <c r="F800" s="128"/>
      <c r="G800" s="128"/>
      <c r="H800" s="128"/>
      <c r="I800" s="128"/>
    </row>
    <row r="801">
      <c r="A801" s="128"/>
      <c r="B801" s="128"/>
      <c r="C801" s="128"/>
      <c r="D801" s="128"/>
      <c r="E801" s="128"/>
      <c r="F801" s="128"/>
      <c r="G801" s="128"/>
      <c r="H801" s="128"/>
      <c r="I801" s="128"/>
    </row>
    <row r="802">
      <c r="A802" s="128"/>
      <c r="B802" s="128"/>
      <c r="C802" s="128"/>
      <c r="D802" s="128"/>
      <c r="E802" s="128"/>
      <c r="F802" s="128"/>
      <c r="G802" s="128"/>
      <c r="H802" s="128"/>
      <c r="I802" s="128"/>
    </row>
    <row r="803">
      <c r="A803" s="128"/>
      <c r="B803" s="128"/>
      <c r="C803" s="128"/>
      <c r="D803" s="128"/>
      <c r="E803" s="128"/>
      <c r="F803" s="128"/>
      <c r="G803" s="128"/>
      <c r="H803" s="128"/>
      <c r="I803" s="128"/>
    </row>
    <row r="804">
      <c r="A804" s="128"/>
      <c r="B804" s="128"/>
      <c r="C804" s="128"/>
      <c r="D804" s="128"/>
      <c r="E804" s="128"/>
      <c r="F804" s="128"/>
      <c r="G804" s="128"/>
      <c r="H804" s="128"/>
      <c r="I804" s="128"/>
    </row>
    <row r="805">
      <c r="A805" s="128"/>
      <c r="B805" s="128"/>
      <c r="C805" s="128"/>
      <c r="D805" s="128"/>
      <c r="E805" s="128"/>
      <c r="F805" s="128"/>
      <c r="G805" s="128"/>
      <c r="H805" s="128"/>
      <c r="I805" s="128"/>
    </row>
    <row r="806">
      <c r="A806" s="128"/>
      <c r="B806" s="128"/>
      <c r="C806" s="128"/>
      <c r="D806" s="128"/>
      <c r="E806" s="128"/>
      <c r="F806" s="128"/>
      <c r="G806" s="128"/>
      <c r="H806" s="128"/>
      <c r="I806" s="128"/>
    </row>
    <row r="807">
      <c r="A807" s="128"/>
      <c r="B807" s="128"/>
      <c r="C807" s="128"/>
      <c r="D807" s="128"/>
      <c r="E807" s="128"/>
      <c r="F807" s="128"/>
      <c r="G807" s="128"/>
      <c r="H807" s="128"/>
      <c r="I807" s="128"/>
    </row>
    <row r="808">
      <c r="A808" s="128"/>
      <c r="B808" s="128"/>
      <c r="C808" s="128"/>
      <c r="D808" s="128"/>
      <c r="E808" s="128"/>
      <c r="F808" s="128"/>
      <c r="G808" s="128"/>
      <c r="H808" s="128"/>
      <c r="I808" s="128"/>
    </row>
    <row r="809">
      <c r="A809" s="128"/>
      <c r="B809" s="128"/>
      <c r="C809" s="128"/>
      <c r="D809" s="128"/>
      <c r="E809" s="128"/>
      <c r="F809" s="128"/>
      <c r="G809" s="128"/>
      <c r="H809" s="128"/>
      <c r="I809" s="128"/>
    </row>
    <row r="810">
      <c r="A810" s="128"/>
      <c r="B810" s="128"/>
      <c r="C810" s="128"/>
      <c r="D810" s="128"/>
      <c r="E810" s="128"/>
      <c r="F810" s="128"/>
      <c r="G810" s="128"/>
      <c r="H810" s="128"/>
      <c r="I810" s="128"/>
    </row>
    <row r="811">
      <c r="A811" s="128"/>
      <c r="B811" s="128"/>
      <c r="C811" s="128"/>
      <c r="D811" s="128"/>
      <c r="E811" s="128"/>
      <c r="F811" s="128"/>
      <c r="G811" s="128"/>
      <c r="H811" s="128"/>
      <c r="I811" s="128"/>
    </row>
    <row r="812">
      <c r="A812" s="128"/>
      <c r="B812" s="128"/>
      <c r="C812" s="128"/>
      <c r="D812" s="128"/>
      <c r="E812" s="128"/>
      <c r="F812" s="128"/>
      <c r="G812" s="128"/>
      <c r="H812" s="128"/>
      <c r="I812" s="128"/>
    </row>
    <row r="813">
      <c r="A813" s="128"/>
      <c r="B813" s="128"/>
      <c r="C813" s="128"/>
      <c r="D813" s="128"/>
      <c r="E813" s="128"/>
      <c r="F813" s="128"/>
      <c r="G813" s="128"/>
      <c r="H813" s="128"/>
      <c r="I813" s="128"/>
    </row>
    <row r="814">
      <c r="A814" s="128"/>
      <c r="B814" s="128"/>
      <c r="C814" s="128"/>
      <c r="D814" s="128"/>
      <c r="E814" s="128"/>
      <c r="F814" s="128"/>
      <c r="G814" s="128"/>
      <c r="H814" s="128"/>
      <c r="I814" s="128"/>
    </row>
    <row r="815">
      <c r="A815" s="128"/>
      <c r="B815" s="128"/>
      <c r="C815" s="128"/>
      <c r="D815" s="128"/>
      <c r="E815" s="128"/>
      <c r="F815" s="128"/>
      <c r="G815" s="128"/>
      <c r="H815" s="128"/>
      <c r="I815" s="128"/>
    </row>
    <row r="816">
      <c r="A816" s="128"/>
      <c r="B816" s="128"/>
      <c r="C816" s="128"/>
      <c r="D816" s="128"/>
      <c r="E816" s="128"/>
      <c r="F816" s="128"/>
      <c r="G816" s="128"/>
      <c r="H816" s="128"/>
      <c r="I816" s="128"/>
    </row>
    <row r="817">
      <c r="A817" s="128"/>
      <c r="B817" s="128"/>
      <c r="C817" s="128"/>
      <c r="D817" s="128"/>
      <c r="E817" s="128"/>
      <c r="F817" s="128"/>
      <c r="G817" s="128"/>
      <c r="H817" s="128"/>
      <c r="I817" s="128"/>
    </row>
    <row r="818">
      <c r="A818" s="128"/>
      <c r="B818" s="128"/>
      <c r="C818" s="128"/>
      <c r="D818" s="128"/>
      <c r="E818" s="128"/>
      <c r="F818" s="128"/>
      <c r="G818" s="128"/>
      <c r="H818" s="128"/>
      <c r="I818" s="128"/>
    </row>
    <row r="819">
      <c r="A819" s="128"/>
      <c r="B819" s="128"/>
      <c r="C819" s="128"/>
      <c r="D819" s="128"/>
      <c r="E819" s="128"/>
      <c r="F819" s="128"/>
      <c r="G819" s="128"/>
      <c r="H819" s="128"/>
      <c r="I819" s="128"/>
    </row>
    <row r="820">
      <c r="A820" s="128"/>
      <c r="B820" s="128"/>
      <c r="C820" s="128"/>
      <c r="D820" s="128"/>
      <c r="E820" s="128"/>
      <c r="F820" s="128"/>
      <c r="G820" s="128"/>
      <c r="H820" s="128"/>
      <c r="I820" s="128"/>
    </row>
    <row r="821">
      <c r="A821" s="128"/>
      <c r="B821" s="128"/>
      <c r="C821" s="128"/>
      <c r="D821" s="128"/>
      <c r="E821" s="128"/>
      <c r="F821" s="128"/>
      <c r="G821" s="128"/>
      <c r="H821" s="128"/>
      <c r="I821" s="128"/>
    </row>
    <row r="822">
      <c r="A822" s="128"/>
      <c r="B822" s="128"/>
      <c r="C822" s="128"/>
      <c r="D822" s="128"/>
      <c r="E822" s="128"/>
      <c r="F822" s="128"/>
      <c r="G822" s="128"/>
      <c r="H822" s="128"/>
      <c r="I822" s="128"/>
    </row>
    <row r="823">
      <c r="A823" s="128"/>
      <c r="B823" s="128"/>
      <c r="C823" s="128"/>
      <c r="D823" s="128"/>
      <c r="E823" s="128"/>
      <c r="F823" s="128"/>
      <c r="G823" s="128"/>
      <c r="H823" s="128"/>
      <c r="I823" s="128"/>
    </row>
    <row r="824">
      <c r="A824" s="128"/>
      <c r="B824" s="128"/>
      <c r="C824" s="128"/>
      <c r="D824" s="128"/>
      <c r="E824" s="128"/>
      <c r="F824" s="128"/>
      <c r="G824" s="128"/>
      <c r="H824" s="128"/>
      <c r="I824" s="128"/>
    </row>
    <row r="825">
      <c r="A825" s="128"/>
      <c r="B825" s="128"/>
      <c r="C825" s="128"/>
      <c r="D825" s="128"/>
      <c r="E825" s="128"/>
      <c r="F825" s="128"/>
      <c r="G825" s="128"/>
      <c r="H825" s="128"/>
      <c r="I825" s="128"/>
    </row>
    <row r="826">
      <c r="A826" s="128"/>
      <c r="B826" s="128"/>
      <c r="C826" s="128"/>
      <c r="D826" s="128"/>
      <c r="E826" s="128"/>
      <c r="F826" s="128"/>
      <c r="G826" s="128"/>
      <c r="H826" s="128"/>
      <c r="I826" s="128"/>
    </row>
    <row r="827">
      <c r="A827" s="128"/>
      <c r="B827" s="128"/>
      <c r="C827" s="128"/>
      <c r="D827" s="128"/>
      <c r="E827" s="128"/>
      <c r="F827" s="128"/>
      <c r="G827" s="128"/>
      <c r="H827" s="128"/>
      <c r="I827" s="128"/>
    </row>
    <row r="828">
      <c r="A828" s="128"/>
      <c r="B828" s="128"/>
      <c r="C828" s="128"/>
      <c r="D828" s="128"/>
      <c r="E828" s="128"/>
      <c r="F828" s="128"/>
      <c r="G828" s="128"/>
      <c r="H828" s="128"/>
      <c r="I828" s="128"/>
    </row>
    <row r="829">
      <c r="A829" s="128"/>
      <c r="B829" s="128"/>
      <c r="C829" s="128"/>
      <c r="D829" s="128"/>
      <c r="E829" s="128"/>
      <c r="F829" s="128"/>
      <c r="G829" s="128"/>
      <c r="H829" s="128"/>
      <c r="I829" s="128"/>
    </row>
    <row r="830">
      <c r="A830" s="128"/>
      <c r="B830" s="128"/>
      <c r="C830" s="128"/>
      <c r="D830" s="128"/>
      <c r="E830" s="128"/>
      <c r="F830" s="128"/>
      <c r="G830" s="128"/>
      <c r="H830" s="128"/>
      <c r="I830" s="128"/>
    </row>
    <row r="831">
      <c r="A831" s="128"/>
      <c r="B831" s="128"/>
      <c r="C831" s="128"/>
      <c r="D831" s="128"/>
      <c r="E831" s="128"/>
      <c r="F831" s="128"/>
      <c r="G831" s="128"/>
      <c r="H831" s="128"/>
      <c r="I831" s="128"/>
    </row>
    <row r="832">
      <c r="A832" s="128"/>
      <c r="B832" s="128"/>
      <c r="C832" s="128"/>
      <c r="D832" s="128"/>
      <c r="E832" s="128"/>
      <c r="F832" s="128"/>
      <c r="G832" s="128"/>
      <c r="H832" s="128"/>
      <c r="I832" s="128"/>
    </row>
    <row r="833">
      <c r="A833" s="128"/>
      <c r="B833" s="128"/>
      <c r="C833" s="128"/>
      <c r="D833" s="128"/>
      <c r="E833" s="128"/>
      <c r="F833" s="128"/>
      <c r="G833" s="128"/>
      <c r="H833" s="128"/>
      <c r="I833" s="128"/>
    </row>
    <row r="834">
      <c r="A834" s="128"/>
      <c r="B834" s="128"/>
      <c r="C834" s="128"/>
      <c r="D834" s="128"/>
      <c r="E834" s="128"/>
      <c r="F834" s="128"/>
      <c r="G834" s="128"/>
      <c r="H834" s="128"/>
      <c r="I834" s="128"/>
    </row>
    <row r="835">
      <c r="A835" s="128"/>
      <c r="B835" s="128"/>
      <c r="C835" s="128"/>
      <c r="D835" s="128"/>
      <c r="E835" s="128"/>
      <c r="F835" s="128"/>
      <c r="G835" s="128"/>
      <c r="H835" s="128"/>
      <c r="I835" s="128"/>
    </row>
    <row r="836">
      <c r="A836" s="128"/>
      <c r="B836" s="128"/>
      <c r="C836" s="128"/>
      <c r="D836" s="128"/>
      <c r="E836" s="128"/>
      <c r="F836" s="128"/>
      <c r="G836" s="128"/>
      <c r="H836" s="128"/>
      <c r="I836" s="128"/>
    </row>
    <row r="837">
      <c r="A837" s="128"/>
      <c r="B837" s="128"/>
      <c r="C837" s="128"/>
      <c r="D837" s="128"/>
      <c r="E837" s="128"/>
      <c r="F837" s="128"/>
      <c r="G837" s="128"/>
      <c r="H837" s="128"/>
      <c r="I837" s="128"/>
    </row>
    <row r="838">
      <c r="A838" s="128"/>
      <c r="B838" s="128"/>
      <c r="C838" s="128"/>
      <c r="D838" s="128"/>
      <c r="E838" s="128"/>
      <c r="F838" s="128"/>
      <c r="G838" s="128"/>
      <c r="H838" s="128"/>
      <c r="I838" s="128"/>
    </row>
    <row r="839">
      <c r="A839" s="128"/>
      <c r="B839" s="128"/>
      <c r="C839" s="128"/>
      <c r="D839" s="128"/>
      <c r="E839" s="128"/>
      <c r="F839" s="128"/>
      <c r="G839" s="128"/>
      <c r="H839" s="128"/>
      <c r="I839" s="128"/>
    </row>
    <row r="840">
      <c r="A840" s="128"/>
      <c r="B840" s="128"/>
      <c r="C840" s="128"/>
      <c r="D840" s="128"/>
      <c r="E840" s="128"/>
      <c r="F840" s="128"/>
      <c r="G840" s="128"/>
      <c r="H840" s="128"/>
      <c r="I840" s="128"/>
    </row>
    <row r="841">
      <c r="A841" s="128"/>
      <c r="B841" s="128"/>
      <c r="C841" s="128"/>
      <c r="D841" s="128"/>
      <c r="E841" s="128"/>
      <c r="F841" s="128"/>
      <c r="G841" s="128"/>
      <c r="H841" s="128"/>
      <c r="I841" s="128"/>
    </row>
    <row r="842">
      <c r="A842" s="128"/>
      <c r="B842" s="128"/>
      <c r="C842" s="128"/>
      <c r="D842" s="128"/>
      <c r="E842" s="128"/>
      <c r="F842" s="128"/>
      <c r="G842" s="128"/>
      <c r="H842" s="128"/>
      <c r="I842" s="128"/>
    </row>
    <row r="843">
      <c r="A843" s="128"/>
      <c r="B843" s="128"/>
      <c r="C843" s="128"/>
      <c r="D843" s="128"/>
      <c r="E843" s="128"/>
      <c r="F843" s="128"/>
      <c r="G843" s="128"/>
      <c r="H843" s="128"/>
      <c r="I843" s="128"/>
    </row>
    <row r="844">
      <c r="A844" s="128"/>
      <c r="B844" s="128"/>
      <c r="C844" s="128"/>
      <c r="D844" s="128"/>
      <c r="E844" s="128"/>
      <c r="F844" s="128"/>
      <c r="G844" s="128"/>
      <c r="H844" s="128"/>
      <c r="I844" s="128"/>
    </row>
    <row r="845">
      <c r="A845" s="128"/>
      <c r="B845" s="128"/>
      <c r="C845" s="128"/>
      <c r="D845" s="128"/>
      <c r="E845" s="128"/>
      <c r="F845" s="128"/>
      <c r="G845" s="128"/>
      <c r="H845" s="128"/>
      <c r="I845" s="128"/>
    </row>
    <row r="846">
      <c r="A846" s="128"/>
      <c r="B846" s="128"/>
      <c r="C846" s="128"/>
      <c r="D846" s="128"/>
      <c r="E846" s="128"/>
      <c r="F846" s="128"/>
      <c r="G846" s="128"/>
      <c r="H846" s="128"/>
      <c r="I846" s="128"/>
    </row>
    <row r="847">
      <c r="A847" s="128"/>
      <c r="B847" s="128"/>
      <c r="C847" s="128"/>
      <c r="D847" s="128"/>
      <c r="E847" s="128"/>
      <c r="F847" s="128"/>
      <c r="G847" s="128"/>
      <c r="H847" s="128"/>
      <c r="I847" s="128"/>
    </row>
    <row r="848">
      <c r="A848" s="128"/>
      <c r="B848" s="128"/>
      <c r="C848" s="128"/>
      <c r="D848" s="128"/>
      <c r="E848" s="128"/>
      <c r="F848" s="128"/>
      <c r="G848" s="128"/>
      <c r="H848" s="128"/>
      <c r="I848" s="128"/>
    </row>
    <row r="849">
      <c r="A849" s="128"/>
      <c r="B849" s="128"/>
      <c r="C849" s="128"/>
      <c r="D849" s="128"/>
      <c r="E849" s="128"/>
      <c r="F849" s="128"/>
      <c r="G849" s="128"/>
      <c r="H849" s="128"/>
      <c r="I849" s="128"/>
    </row>
    <row r="850">
      <c r="A850" s="128"/>
      <c r="B850" s="128"/>
      <c r="C850" s="128"/>
      <c r="D850" s="128"/>
      <c r="E850" s="128"/>
      <c r="F850" s="128"/>
      <c r="G850" s="128"/>
      <c r="H850" s="128"/>
      <c r="I850" s="128"/>
    </row>
    <row r="851">
      <c r="A851" s="128"/>
      <c r="B851" s="128"/>
      <c r="C851" s="128"/>
      <c r="D851" s="128"/>
      <c r="E851" s="128"/>
      <c r="F851" s="128"/>
      <c r="G851" s="128"/>
      <c r="H851" s="128"/>
      <c r="I851" s="128"/>
    </row>
    <row r="852">
      <c r="A852" s="128"/>
      <c r="B852" s="128"/>
      <c r="C852" s="128"/>
      <c r="D852" s="128"/>
      <c r="E852" s="128"/>
      <c r="F852" s="128"/>
      <c r="G852" s="128"/>
      <c r="H852" s="128"/>
      <c r="I852" s="128"/>
    </row>
    <row r="853">
      <c r="A853" s="128"/>
      <c r="B853" s="128"/>
      <c r="C853" s="128"/>
      <c r="D853" s="128"/>
      <c r="E853" s="128"/>
      <c r="F853" s="128"/>
      <c r="G853" s="128"/>
      <c r="H853" s="128"/>
      <c r="I853" s="128"/>
    </row>
    <row r="854">
      <c r="A854" s="128"/>
      <c r="B854" s="128"/>
      <c r="C854" s="128"/>
      <c r="D854" s="128"/>
      <c r="E854" s="128"/>
      <c r="F854" s="128"/>
      <c r="G854" s="128"/>
      <c r="H854" s="128"/>
      <c r="I854" s="128"/>
    </row>
    <row r="855">
      <c r="A855" s="128"/>
      <c r="B855" s="128"/>
      <c r="C855" s="128"/>
      <c r="D855" s="128"/>
      <c r="E855" s="128"/>
      <c r="F855" s="128"/>
      <c r="G855" s="128"/>
      <c r="H855" s="128"/>
      <c r="I855" s="128"/>
    </row>
    <row r="856">
      <c r="A856" s="128"/>
      <c r="B856" s="128"/>
      <c r="C856" s="128"/>
      <c r="D856" s="128"/>
      <c r="E856" s="128"/>
      <c r="F856" s="128"/>
      <c r="G856" s="128"/>
      <c r="H856" s="128"/>
      <c r="I856" s="128"/>
    </row>
    <row r="857">
      <c r="A857" s="128"/>
      <c r="B857" s="128"/>
      <c r="C857" s="128"/>
      <c r="D857" s="128"/>
      <c r="E857" s="128"/>
      <c r="F857" s="128"/>
      <c r="G857" s="128"/>
      <c r="H857" s="128"/>
      <c r="I857" s="128"/>
    </row>
    <row r="858">
      <c r="A858" s="128"/>
      <c r="B858" s="128"/>
      <c r="C858" s="128"/>
      <c r="D858" s="128"/>
      <c r="E858" s="128"/>
      <c r="F858" s="128"/>
      <c r="G858" s="128"/>
      <c r="H858" s="128"/>
      <c r="I858" s="128"/>
    </row>
    <row r="859">
      <c r="A859" s="128"/>
      <c r="B859" s="128"/>
      <c r="C859" s="128"/>
      <c r="D859" s="128"/>
      <c r="E859" s="128"/>
      <c r="F859" s="128"/>
      <c r="G859" s="128"/>
      <c r="H859" s="128"/>
      <c r="I859" s="128"/>
    </row>
    <row r="860">
      <c r="A860" s="128"/>
      <c r="B860" s="128"/>
      <c r="C860" s="128"/>
      <c r="D860" s="128"/>
      <c r="E860" s="128"/>
      <c r="F860" s="128"/>
      <c r="G860" s="128"/>
      <c r="H860" s="128"/>
      <c r="I860" s="128"/>
    </row>
    <row r="861">
      <c r="A861" s="128"/>
      <c r="B861" s="128"/>
      <c r="C861" s="128"/>
      <c r="D861" s="128"/>
      <c r="E861" s="128"/>
      <c r="F861" s="128"/>
      <c r="G861" s="128"/>
      <c r="H861" s="128"/>
      <c r="I861" s="128"/>
    </row>
    <row r="862">
      <c r="A862" s="128"/>
      <c r="B862" s="128"/>
      <c r="C862" s="128"/>
      <c r="D862" s="128"/>
      <c r="E862" s="128"/>
      <c r="F862" s="128"/>
      <c r="G862" s="128"/>
      <c r="H862" s="128"/>
      <c r="I862" s="128"/>
    </row>
    <row r="863">
      <c r="A863" s="128"/>
      <c r="B863" s="128"/>
      <c r="C863" s="128"/>
      <c r="D863" s="128"/>
      <c r="E863" s="128"/>
      <c r="F863" s="128"/>
      <c r="G863" s="128"/>
      <c r="H863" s="128"/>
      <c r="I863" s="128"/>
    </row>
    <row r="864">
      <c r="A864" s="128"/>
      <c r="B864" s="128"/>
      <c r="C864" s="128"/>
      <c r="D864" s="128"/>
      <c r="E864" s="128"/>
      <c r="F864" s="128"/>
      <c r="G864" s="128"/>
      <c r="H864" s="128"/>
      <c r="I864" s="128"/>
    </row>
    <row r="865">
      <c r="A865" s="128"/>
      <c r="B865" s="128"/>
      <c r="C865" s="128"/>
      <c r="D865" s="128"/>
      <c r="E865" s="128"/>
      <c r="F865" s="128"/>
      <c r="G865" s="128"/>
      <c r="H865" s="128"/>
      <c r="I865" s="128"/>
    </row>
    <row r="866">
      <c r="A866" s="128"/>
      <c r="B866" s="128"/>
      <c r="C866" s="128"/>
      <c r="D866" s="128"/>
      <c r="E866" s="128"/>
      <c r="F866" s="128"/>
      <c r="G866" s="128"/>
      <c r="H866" s="128"/>
      <c r="I866" s="128"/>
    </row>
    <row r="867">
      <c r="A867" s="128"/>
      <c r="B867" s="128"/>
      <c r="C867" s="128"/>
      <c r="D867" s="128"/>
      <c r="E867" s="128"/>
      <c r="F867" s="128"/>
      <c r="G867" s="128"/>
      <c r="H867" s="128"/>
      <c r="I867" s="128"/>
    </row>
    <row r="868">
      <c r="A868" s="128"/>
      <c r="B868" s="128"/>
      <c r="C868" s="128"/>
      <c r="D868" s="128"/>
      <c r="E868" s="128"/>
      <c r="F868" s="128"/>
      <c r="G868" s="128"/>
      <c r="H868" s="128"/>
      <c r="I868" s="128"/>
    </row>
    <row r="869">
      <c r="A869" s="128"/>
      <c r="B869" s="128"/>
      <c r="C869" s="128"/>
      <c r="D869" s="128"/>
      <c r="E869" s="128"/>
      <c r="F869" s="128"/>
      <c r="G869" s="128"/>
      <c r="H869" s="128"/>
      <c r="I869" s="128"/>
    </row>
    <row r="870">
      <c r="A870" s="128"/>
      <c r="B870" s="128"/>
      <c r="C870" s="128"/>
      <c r="D870" s="128"/>
      <c r="E870" s="128"/>
      <c r="F870" s="128"/>
      <c r="G870" s="128"/>
      <c r="H870" s="128"/>
      <c r="I870" s="128"/>
    </row>
    <row r="871">
      <c r="A871" s="128"/>
      <c r="B871" s="128"/>
      <c r="C871" s="128"/>
      <c r="D871" s="128"/>
      <c r="E871" s="128"/>
      <c r="F871" s="128"/>
      <c r="G871" s="128"/>
      <c r="H871" s="128"/>
      <c r="I871" s="128"/>
    </row>
    <row r="872">
      <c r="A872" s="128"/>
      <c r="B872" s="128"/>
      <c r="C872" s="128"/>
      <c r="D872" s="128"/>
      <c r="E872" s="128"/>
      <c r="F872" s="128"/>
      <c r="G872" s="128"/>
      <c r="H872" s="128"/>
      <c r="I872" s="128"/>
    </row>
    <row r="873">
      <c r="A873" s="128"/>
      <c r="B873" s="128"/>
      <c r="C873" s="128"/>
      <c r="D873" s="128"/>
      <c r="E873" s="128"/>
      <c r="F873" s="128"/>
      <c r="G873" s="128"/>
      <c r="H873" s="128"/>
      <c r="I873" s="128"/>
    </row>
    <row r="874">
      <c r="A874" s="128"/>
      <c r="B874" s="128"/>
      <c r="C874" s="128"/>
      <c r="D874" s="128"/>
      <c r="E874" s="128"/>
      <c r="F874" s="128"/>
      <c r="G874" s="128"/>
      <c r="H874" s="128"/>
      <c r="I874" s="128"/>
    </row>
    <row r="875">
      <c r="A875" s="128"/>
      <c r="B875" s="128"/>
      <c r="C875" s="128"/>
      <c r="D875" s="128"/>
      <c r="E875" s="128"/>
      <c r="F875" s="128"/>
      <c r="G875" s="128"/>
      <c r="H875" s="128"/>
      <c r="I875" s="128"/>
    </row>
    <row r="876">
      <c r="A876" s="128"/>
      <c r="B876" s="128"/>
      <c r="C876" s="128"/>
      <c r="D876" s="128"/>
      <c r="E876" s="128"/>
      <c r="F876" s="128"/>
      <c r="G876" s="128"/>
      <c r="H876" s="128"/>
      <c r="I876" s="128"/>
    </row>
    <row r="877">
      <c r="A877" s="128"/>
      <c r="B877" s="128"/>
      <c r="C877" s="128"/>
      <c r="D877" s="128"/>
      <c r="E877" s="128"/>
      <c r="F877" s="128"/>
      <c r="G877" s="128"/>
      <c r="H877" s="128"/>
      <c r="I877" s="128"/>
    </row>
    <row r="878">
      <c r="A878" s="128"/>
      <c r="B878" s="128"/>
      <c r="C878" s="128"/>
      <c r="D878" s="128"/>
      <c r="E878" s="128"/>
      <c r="F878" s="128"/>
      <c r="G878" s="128"/>
      <c r="H878" s="128"/>
      <c r="I878" s="128"/>
    </row>
    <row r="879">
      <c r="A879" s="128"/>
      <c r="B879" s="128"/>
      <c r="C879" s="128"/>
      <c r="D879" s="128"/>
      <c r="E879" s="128"/>
      <c r="F879" s="128"/>
      <c r="G879" s="128"/>
      <c r="H879" s="128"/>
      <c r="I879" s="128"/>
    </row>
    <row r="880">
      <c r="A880" s="128"/>
      <c r="B880" s="128"/>
      <c r="C880" s="128"/>
      <c r="D880" s="128"/>
      <c r="E880" s="128"/>
      <c r="F880" s="128"/>
      <c r="G880" s="128"/>
      <c r="H880" s="128"/>
      <c r="I880" s="128"/>
    </row>
    <row r="881">
      <c r="A881" s="128"/>
      <c r="B881" s="128"/>
      <c r="C881" s="128"/>
      <c r="D881" s="128"/>
      <c r="E881" s="128"/>
      <c r="F881" s="128"/>
      <c r="G881" s="128"/>
      <c r="H881" s="128"/>
      <c r="I881" s="128"/>
    </row>
    <row r="882">
      <c r="A882" s="128"/>
      <c r="B882" s="128"/>
      <c r="C882" s="128"/>
      <c r="D882" s="128"/>
      <c r="E882" s="128"/>
      <c r="F882" s="128"/>
      <c r="G882" s="128"/>
      <c r="H882" s="128"/>
      <c r="I882" s="128"/>
    </row>
    <row r="883">
      <c r="A883" s="128"/>
      <c r="B883" s="128"/>
      <c r="C883" s="128"/>
      <c r="D883" s="128"/>
      <c r="E883" s="128"/>
      <c r="F883" s="128"/>
      <c r="G883" s="128"/>
      <c r="H883" s="128"/>
      <c r="I883" s="128"/>
    </row>
    <row r="884">
      <c r="A884" s="128"/>
      <c r="B884" s="128"/>
      <c r="C884" s="128"/>
      <c r="D884" s="128"/>
      <c r="E884" s="128"/>
      <c r="F884" s="128"/>
      <c r="G884" s="128"/>
      <c r="H884" s="128"/>
      <c r="I884" s="128"/>
    </row>
    <row r="885">
      <c r="A885" s="128"/>
      <c r="B885" s="128"/>
      <c r="C885" s="128"/>
      <c r="D885" s="128"/>
      <c r="E885" s="128"/>
      <c r="F885" s="128"/>
      <c r="G885" s="128"/>
      <c r="H885" s="128"/>
      <c r="I885" s="128"/>
    </row>
    <row r="886">
      <c r="A886" s="128"/>
      <c r="B886" s="128"/>
      <c r="C886" s="128"/>
      <c r="D886" s="128"/>
      <c r="E886" s="128"/>
      <c r="F886" s="128"/>
      <c r="G886" s="128"/>
      <c r="H886" s="128"/>
      <c r="I886" s="128"/>
    </row>
    <row r="887">
      <c r="A887" s="128"/>
      <c r="B887" s="128"/>
      <c r="C887" s="128"/>
      <c r="D887" s="128"/>
      <c r="E887" s="128"/>
      <c r="F887" s="128"/>
      <c r="G887" s="128"/>
      <c r="H887" s="128"/>
      <c r="I887" s="128"/>
    </row>
    <row r="888">
      <c r="A888" s="128"/>
      <c r="B888" s="128"/>
      <c r="C888" s="128"/>
      <c r="D888" s="128"/>
      <c r="E888" s="128"/>
      <c r="F888" s="128"/>
      <c r="G888" s="128"/>
      <c r="H888" s="128"/>
      <c r="I888" s="128"/>
    </row>
    <row r="889">
      <c r="A889" s="128"/>
      <c r="B889" s="128"/>
      <c r="C889" s="128"/>
      <c r="D889" s="128"/>
      <c r="E889" s="128"/>
      <c r="F889" s="128"/>
      <c r="G889" s="128"/>
      <c r="H889" s="128"/>
      <c r="I889" s="128"/>
    </row>
    <row r="890">
      <c r="A890" s="128"/>
      <c r="B890" s="128"/>
      <c r="C890" s="128"/>
      <c r="D890" s="128"/>
      <c r="E890" s="128"/>
      <c r="F890" s="128"/>
      <c r="G890" s="128"/>
      <c r="H890" s="128"/>
      <c r="I890" s="128"/>
    </row>
    <row r="891">
      <c r="A891" s="128"/>
      <c r="B891" s="128"/>
      <c r="C891" s="128"/>
      <c r="D891" s="128"/>
      <c r="E891" s="128"/>
      <c r="F891" s="128"/>
      <c r="G891" s="128"/>
      <c r="H891" s="128"/>
      <c r="I891" s="128"/>
    </row>
    <row r="892">
      <c r="A892" s="128"/>
      <c r="B892" s="128"/>
      <c r="C892" s="128"/>
      <c r="D892" s="128"/>
      <c r="E892" s="128"/>
      <c r="F892" s="128"/>
      <c r="G892" s="128"/>
      <c r="H892" s="128"/>
      <c r="I892" s="128"/>
    </row>
    <row r="893">
      <c r="A893" s="128"/>
      <c r="B893" s="128"/>
      <c r="C893" s="128"/>
      <c r="D893" s="128"/>
      <c r="E893" s="128"/>
      <c r="F893" s="128"/>
      <c r="G893" s="128"/>
      <c r="H893" s="128"/>
      <c r="I893" s="128"/>
    </row>
    <row r="894">
      <c r="A894" s="128"/>
      <c r="B894" s="128"/>
      <c r="C894" s="128"/>
      <c r="D894" s="128"/>
      <c r="E894" s="128"/>
      <c r="F894" s="128"/>
      <c r="G894" s="128"/>
      <c r="H894" s="128"/>
      <c r="I894" s="128"/>
    </row>
    <row r="895">
      <c r="A895" s="128"/>
      <c r="B895" s="128"/>
      <c r="C895" s="128"/>
      <c r="D895" s="128"/>
      <c r="E895" s="128"/>
      <c r="F895" s="128"/>
      <c r="G895" s="128"/>
      <c r="H895" s="128"/>
      <c r="I895" s="128"/>
    </row>
    <row r="896">
      <c r="A896" s="128"/>
      <c r="B896" s="128"/>
      <c r="C896" s="128"/>
      <c r="D896" s="128"/>
      <c r="E896" s="128"/>
      <c r="F896" s="128"/>
      <c r="G896" s="128"/>
      <c r="H896" s="128"/>
      <c r="I896" s="128"/>
    </row>
    <row r="897">
      <c r="A897" s="128"/>
      <c r="B897" s="128"/>
      <c r="C897" s="128"/>
      <c r="D897" s="128"/>
      <c r="E897" s="128"/>
      <c r="F897" s="128"/>
      <c r="G897" s="128"/>
      <c r="H897" s="128"/>
      <c r="I897" s="128"/>
    </row>
    <row r="898">
      <c r="A898" s="128"/>
      <c r="B898" s="128"/>
      <c r="C898" s="128"/>
      <c r="D898" s="128"/>
      <c r="E898" s="128"/>
      <c r="F898" s="128"/>
      <c r="G898" s="128"/>
      <c r="H898" s="128"/>
      <c r="I898" s="128"/>
    </row>
    <row r="899">
      <c r="A899" s="128"/>
      <c r="B899" s="128"/>
      <c r="C899" s="128"/>
      <c r="D899" s="128"/>
      <c r="E899" s="128"/>
      <c r="F899" s="128"/>
      <c r="G899" s="128"/>
      <c r="H899" s="128"/>
      <c r="I899" s="128"/>
    </row>
    <row r="900">
      <c r="A900" s="128"/>
      <c r="B900" s="128"/>
      <c r="C900" s="128"/>
      <c r="D900" s="128"/>
      <c r="E900" s="128"/>
      <c r="F900" s="128"/>
      <c r="G900" s="128"/>
      <c r="H900" s="128"/>
      <c r="I900" s="128"/>
    </row>
    <row r="901">
      <c r="A901" s="128"/>
      <c r="B901" s="128"/>
      <c r="C901" s="128"/>
      <c r="D901" s="128"/>
      <c r="E901" s="128"/>
      <c r="F901" s="128"/>
      <c r="G901" s="128"/>
      <c r="H901" s="128"/>
      <c r="I901" s="128"/>
    </row>
    <row r="902">
      <c r="A902" s="128"/>
      <c r="B902" s="128"/>
      <c r="C902" s="128"/>
      <c r="D902" s="128"/>
      <c r="E902" s="128"/>
      <c r="F902" s="128"/>
      <c r="G902" s="128"/>
      <c r="H902" s="128"/>
      <c r="I902" s="128"/>
    </row>
    <row r="903">
      <c r="A903" s="128"/>
      <c r="B903" s="128"/>
      <c r="C903" s="128"/>
      <c r="D903" s="128"/>
      <c r="E903" s="128"/>
      <c r="F903" s="128"/>
      <c r="G903" s="128"/>
      <c r="H903" s="128"/>
      <c r="I903" s="128"/>
    </row>
    <row r="904">
      <c r="A904" s="128"/>
      <c r="B904" s="128"/>
      <c r="C904" s="128"/>
      <c r="D904" s="128"/>
      <c r="E904" s="128"/>
      <c r="F904" s="128"/>
      <c r="G904" s="128"/>
      <c r="H904" s="128"/>
      <c r="I904" s="128"/>
    </row>
    <row r="905">
      <c r="A905" s="128"/>
      <c r="B905" s="128"/>
      <c r="C905" s="128"/>
      <c r="D905" s="128"/>
      <c r="E905" s="128"/>
      <c r="F905" s="128"/>
      <c r="G905" s="128"/>
      <c r="H905" s="128"/>
      <c r="I905" s="128"/>
    </row>
    <row r="906">
      <c r="A906" s="128"/>
      <c r="B906" s="128"/>
      <c r="C906" s="128"/>
      <c r="D906" s="128"/>
      <c r="E906" s="128"/>
      <c r="F906" s="128"/>
      <c r="G906" s="128"/>
      <c r="H906" s="128"/>
      <c r="I906" s="128"/>
    </row>
    <row r="907">
      <c r="A907" s="128"/>
      <c r="B907" s="128"/>
      <c r="C907" s="128"/>
      <c r="D907" s="128"/>
      <c r="E907" s="128"/>
      <c r="F907" s="128"/>
      <c r="G907" s="128"/>
      <c r="H907" s="128"/>
      <c r="I907" s="128"/>
    </row>
    <row r="908">
      <c r="A908" s="128"/>
      <c r="B908" s="128"/>
      <c r="C908" s="128"/>
      <c r="D908" s="128"/>
      <c r="E908" s="128"/>
      <c r="F908" s="128"/>
      <c r="G908" s="128"/>
      <c r="H908" s="128"/>
      <c r="I908" s="128"/>
    </row>
    <row r="909">
      <c r="A909" s="128"/>
      <c r="B909" s="128"/>
      <c r="C909" s="128"/>
      <c r="D909" s="128"/>
      <c r="E909" s="128"/>
      <c r="F909" s="128"/>
      <c r="G909" s="128"/>
      <c r="H909" s="128"/>
      <c r="I909" s="128"/>
    </row>
    <row r="910">
      <c r="A910" s="128"/>
      <c r="B910" s="128"/>
      <c r="C910" s="128"/>
      <c r="D910" s="128"/>
      <c r="E910" s="128"/>
      <c r="F910" s="128"/>
      <c r="G910" s="128"/>
      <c r="H910" s="128"/>
      <c r="I910" s="128"/>
    </row>
    <row r="911">
      <c r="A911" s="128"/>
      <c r="B911" s="128"/>
      <c r="C911" s="128"/>
      <c r="D911" s="128"/>
      <c r="E911" s="128"/>
      <c r="F911" s="128"/>
      <c r="G911" s="128"/>
      <c r="H911" s="128"/>
      <c r="I911" s="128"/>
    </row>
    <row r="912">
      <c r="A912" s="128"/>
      <c r="B912" s="128"/>
      <c r="C912" s="128"/>
      <c r="D912" s="128"/>
      <c r="E912" s="128"/>
      <c r="F912" s="128"/>
      <c r="G912" s="128"/>
      <c r="H912" s="128"/>
      <c r="I912" s="128"/>
    </row>
    <row r="913">
      <c r="A913" s="128"/>
      <c r="B913" s="128"/>
      <c r="C913" s="128"/>
      <c r="D913" s="128"/>
      <c r="E913" s="128"/>
      <c r="F913" s="128"/>
      <c r="G913" s="128"/>
      <c r="H913" s="128"/>
      <c r="I913" s="128"/>
    </row>
    <row r="914">
      <c r="A914" s="128"/>
      <c r="B914" s="128"/>
      <c r="C914" s="128"/>
      <c r="D914" s="128"/>
      <c r="E914" s="128"/>
      <c r="F914" s="128"/>
      <c r="G914" s="128"/>
      <c r="H914" s="128"/>
      <c r="I914" s="128"/>
    </row>
    <row r="915">
      <c r="A915" s="128"/>
      <c r="B915" s="128"/>
      <c r="C915" s="128"/>
      <c r="D915" s="128"/>
      <c r="E915" s="128"/>
      <c r="F915" s="128"/>
      <c r="G915" s="128"/>
      <c r="H915" s="128"/>
      <c r="I915" s="128"/>
    </row>
    <row r="916">
      <c r="A916" s="128"/>
      <c r="B916" s="128"/>
      <c r="C916" s="128"/>
      <c r="D916" s="128"/>
      <c r="E916" s="128"/>
      <c r="F916" s="128"/>
      <c r="G916" s="128"/>
      <c r="H916" s="128"/>
      <c r="I916" s="128"/>
    </row>
    <row r="917">
      <c r="A917" s="128"/>
      <c r="B917" s="128"/>
      <c r="C917" s="128"/>
      <c r="D917" s="128"/>
      <c r="E917" s="128"/>
      <c r="F917" s="128"/>
      <c r="G917" s="128"/>
      <c r="H917" s="128"/>
      <c r="I917" s="128"/>
    </row>
    <row r="918">
      <c r="A918" s="128"/>
      <c r="B918" s="128"/>
      <c r="C918" s="128"/>
      <c r="D918" s="128"/>
      <c r="E918" s="128"/>
      <c r="F918" s="128"/>
      <c r="G918" s="128"/>
      <c r="H918" s="128"/>
      <c r="I918" s="128"/>
    </row>
    <row r="919">
      <c r="A919" s="128"/>
      <c r="B919" s="128"/>
      <c r="C919" s="128"/>
      <c r="D919" s="128"/>
      <c r="E919" s="128"/>
      <c r="F919" s="128"/>
      <c r="G919" s="128"/>
      <c r="H919" s="128"/>
      <c r="I919" s="128"/>
    </row>
    <row r="920">
      <c r="A920" s="128"/>
      <c r="B920" s="128"/>
      <c r="C920" s="128"/>
      <c r="D920" s="128"/>
      <c r="E920" s="128"/>
      <c r="F920" s="128"/>
      <c r="G920" s="128"/>
      <c r="H920" s="128"/>
      <c r="I920" s="128"/>
    </row>
    <row r="921">
      <c r="A921" s="128"/>
      <c r="B921" s="128"/>
      <c r="C921" s="128"/>
      <c r="D921" s="128"/>
      <c r="E921" s="128"/>
      <c r="F921" s="128"/>
      <c r="G921" s="128"/>
      <c r="H921" s="128"/>
      <c r="I921" s="128"/>
    </row>
    <row r="922">
      <c r="A922" s="128"/>
      <c r="B922" s="128"/>
      <c r="C922" s="128"/>
      <c r="D922" s="128"/>
      <c r="E922" s="128"/>
      <c r="F922" s="128"/>
      <c r="G922" s="128"/>
      <c r="H922" s="128"/>
      <c r="I922" s="128"/>
    </row>
    <row r="923">
      <c r="A923" s="128"/>
      <c r="B923" s="128"/>
      <c r="C923" s="128"/>
      <c r="D923" s="128"/>
      <c r="E923" s="128"/>
      <c r="F923" s="128"/>
      <c r="G923" s="128"/>
      <c r="H923" s="128"/>
      <c r="I923" s="128"/>
    </row>
    <row r="924">
      <c r="A924" s="128"/>
      <c r="B924" s="128"/>
      <c r="C924" s="128"/>
      <c r="D924" s="128"/>
      <c r="E924" s="128"/>
      <c r="F924" s="128"/>
      <c r="G924" s="128"/>
      <c r="H924" s="128"/>
      <c r="I924" s="128"/>
    </row>
    <row r="925">
      <c r="A925" s="128"/>
      <c r="B925" s="128"/>
      <c r="C925" s="128"/>
      <c r="D925" s="128"/>
      <c r="E925" s="128"/>
      <c r="F925" s="128"/>
      <c r="G925" s="128"/>
      <c r="H925" s="128"/>
      <c r="I925" s="128"/>
    </row>
    <row r="926">
      <c r="A926" s="128"/>
      <c r="B926" s="128"/>
      <c r="C926" s="128"/>
      <c r="D926" s="128"/>
      <c r="E926" s="128"/>
      <c r="F926" s="128"/>
      <c r="G926" s="128"/>
      <c r="H926" s="128"/>
      <c r="I926" s="128"/>
    </row>
    <row r="927">
      <c r="A927" s="128"/>
      <c r="B927" s="128"/>
      <c r="C927" s="128"/>
      <c r="D927" s="128"/>
      <c r="E927" s="128"/>
      <c r="F927" s="128"/>
      <c r="G927" s="128"/>
      <c r="H927" s="128"/>
      <c r="I927" s="128"/>
    </row>
    <row r="928">
      <c r="A928" s="128"/>
      <c r="B928" s="128"/>
      <c r="C928" s="128"/>
      <c r="D928" s="128"/>
      <c r="E928" s="128"/>
      <c r="F928" s="128"/>
      <c r="G928" s="128"/>
      <c r="H928" s="128"/>
      <c r="I928" s="128"/>
    </row>
    <row r="929">
      <c r="A929" s="128"/>
      <c r="B929" s="128"/>
      <c r="C929" s="128"/>
      <c r="D929" s="128"/>
      <c r="E929" s="128"/>
      <c r="F929" s="128"/>
      <c r="G929" s="128"/>
      <c r="H929" s="128"/>
      <c r="I929" s="128"/>
    </row>
    <row r="930">
      <c r="A930" s="128"/>
      <c r="B930" s="128"/>
      <c r="C930" s="128"/>
      <c r="D930" s="128"/>
      <c r="E930" s="128"/>
      <c r="F930" s="128"/>
      <c r="G930" s="128"/>
      <c r="H930" s="128"/>
      <c r="I930" s="128"/>
    </row>
    <row r="931">
      <c r="A931" s="128"/>
      <c r="B931" s="128"/>
      <c r="C931" s="128"/>
      <c r="D931" s="128"/>
      <c r="E931" s="128"/>
      <c r="F931" s="128"/>
      <c r="G931" s="128"/>
      <c r="H931" s="128"/>
      <c r="I931" s="128"/>
    </row>
    <row r="932">
      <c r="A932" s="128"/>
      <c r="B932" s="128"/>
      <c r="C932" s="128"/>
      <c r="D932" s="128"/>
      <c r="E932" s="128"/>
      <c r="F932" s="128"/>
      <c r="G932" s="128"/>
      <c r="H932" s="128"/>
      <c r="I932" s="128"/>
    </row>
    <row r="933">
      <c r="A933" s="128"/>
      <c r="B933" s="128"/>
      <c r="C933" s="128"/>
      <c r="D933" s="128"/>
      <c r="E933" s="128"/>
      <c r="F933" s="128"/>
      <c r="G933" s="128"/>
      <c r="H933" s="128"/>
      <c r="I933" s="128"/>
    </row>
    <row r="934">
      <c r="A934" s="128"/>
      <c r="B934" s="128"/>
      <c r="C934" s="128"/>
      <c r="D934" s="128"/>
      <c r="E934" s="128"/>
      <c r="F934" s="128"/>
      <c r="G934" s="128"/>
      <c r="H934" s="128"/>
      <c r="I934" s="128"/>
    </row>
    <row r="935">
      <c r="A935" s="128"/>
      <c r="B935" s="128"/>
      <c r="C935" s="128"/>
      <c r="D935" s="128"/>
      <c r="E935" s="128"/>
      <c r="F935" s="128"/>
      <c r="G935" s="128"/>
      <c r="H935" s="128"/>
      <c r="I935" s="128"/>
    </row>
    <row r="936">
      <c r="A936" s="128"/>
      <c r="B936" s="128"/>
      <c r="C936" s="128"/>
      <c r="D936" s="128"/>
      <c r="E936" s="128"/>
      <c r="F936" s="128"/>
      <c r="G936" s="128"/>
      <c r="H936" s="128"/>
      <c r="I936" s="128"/>
    </row>
    <row r="937">
      <c r="A937" s="128"/>
      <c r="B937" s="128"/>
      <c r="C937" s="128"/>
      <c r="D937" s="128"/>
      <c r="E937" s="128"/>
      <c r="F937" s="128"/>
      <c r="G937" s="128"/>
      <c r="H937" s="128"/>
      <c r="I937" s="128"/>
    </row>
    <row r="938">
      <c r="A938" s="128"/>
      <c r="B938" s="128"/>
      <c r="C938" s="128"/>
      <c r="D938" s="128"/>
      <c r="E938" s="128"/>
      <c r="F938" s="128"/>
      <c r="G938" s="128"/>
      <c r="H938" s="128"/>
      <c r="I938" s="128"/>
    </row>
    <row r="939">
      <c r="A939" s="128"/>
      <c r="B939" s="128"/>
      <c r="C939" s="128"/>
      <c r="D939" s="128"/>
      <c r="E939" s="128"/>
      <c r="F939" s="128"/>
      <c r="G939" s="128"/>
      <c r="H939" s="128"/>
      <c r="I939" s="128"/>
    </row>
    <row r="940">
      <c r="A940" s="128"/>
      <c r="B940" s="128"/>
      <c r="C940" s="128"/>
      <c r="D940" s="128"/>
      <c r="E940" s="128"/>
      <c r="F940" s="128"/>
      <c r="G940" s="128"/>
      <c r="H940" s="128"/>
      <c r="I940" s="128"/>
    </row>
    <row r="941">
      <c r="A941" s="128"/>
      <c r="B941" s="128"/>
      <c r="C941" s="128"/>
      <c r="D941" s="128"/>
      <c r="E941" s="128"/>
      <c r="F941" s="128"/>
      <c r="G941" s="128"/>
      <c r="H941" s="128"/>
      <c r="I941" s="128"/>
    </row>
    <row r="942">
      <c r="A942" s="128"/>
      <c r="B942" s="128"/>
      <c r="C942" s="128"/>
      <c r="D942" s="128"/>
      <c r="E942" s="128"/>
      <c r="F942" s="128"/>
      <c r="G942" s="128"/>
      <c r="H942" s="128"/>
      <c r="I942" s="128"/>
    </row>
    <row r="943">
      <c r="A943" s="128"/>
      <c r="B943" s="128"/>
      <c r="C943" s="128"/>
      <c r="D943" s="128"/>
      <c r="E943" s="128"/>
      <c r="F943" s="128"/>
      <c r="G943" s="128"/>
      <c r="H943" s="128"/>
      <c r="I943" s="128"/>
    </row>
    <row r="944">
      <c r="A944" s="128"/>
      <c r="B944" s="128"/>
      <c r="C944" s="128"/>
      <c r="D944" s="128"/>
      <c r="E944" s="128"/>
      <c r="F944" s="128"/>
      <c r="G944" s="128"/>
      <c r="H944" s="128"/>
      <c r="I944" s="128"/>
    </row>
    <row r="945">
      <c r="A945" s="128"/>
      <c r="B945" s="128"/>
      <c r="C945" s="128"/>
      <c r="D945" s="128"/>
      <c r="E945" s="128"/>
      <c r="F945" s="128"/>
      <c r="G945" s="128"/>
      <c r="H945" s="128"/>
      <c r="I945" s="128"/>
    </row>
    <row r="946">
      <c r="A946" s="128"/>
      <c r="B946" s="128"/>
      <c r="C946" s="128"/>
      <c r="D946" s="128"/>
      <c r="E946" s="128"/>
      <c r="F946" s="128"/>
      <c r="G946" s="128"/>
      <c r="H946" s="128"/>
      <c r="I946" s="128"/>
    </row>
    <row r="947">
      <c r="A947" s="128"/>
      <c r="B947" s="128"/>
      <c r="C947" s="128"/>
      <c r="D947" s="128"/>
      <c r="E947" s="128"/>
      <c r="F947" s="128"/>
      <c r="G947" s="128"/>
      <c r="H947" s="128"/>
      <c r="I947" s="128"/>
    </row>
    <row r="948">
      <c r="A948" s="128"/>
      <c r="B948" s="128"/>
      <c r="C948" s="128"/>
      <c r="D948" s="128"/>
      <c r="E948" s="128"/>
      <c r="F948" s="128"/>
      <c r="G948" s="128"/>
      <c r="H948" s="128"/>
      <c r="I948" s="128"/>
    </row>
    <row r="949">
      <c r="A949" s="128"/>
      <c r="B949" s="128"/>
      <c r="C949" s="128"/>
      <c r="D949" s="128"/>
      <c r="E949" s="128"/>
      <c r="F949" s="128"/>
      <c r="G949" s="128"/>
      <c r="H949" s="128"/>
      <c r="I949" s="128"/>
    </row>
    <row r="950">
      <c r="A950" s="128"/>
      <c r="B950" s="128"/>
      <c r="C950" s="128"/>
      <c r="D950" s="128"/>
      <c r="E950" s="128"/>
      <c r="F950" s="128"/>
      <c r="G950" s="128"/>
      <c r="H950" s="128"/>
      <c r="I950" s="128"/>
    </row>
    <row r="951">
      <c r="A951" s="128"/>
      <c r="B951" s="128"/>
      <c r="C951" s="128"/>
      <c r="D951" s="128"/>
      <c r="E951" s="128"/>
      <c r="F951" s="128"/>
      <c r="G951" s="128"/>
      <c r="H951" s="128"/>
      <c r="I951" s="128"/>
    </row>
    <row r="952">
      <c r="A952" s="128"/>
      <c r="B952" s="128"/>
      <c r="C952" s="128"/>
      <c r="D952" s="128"/>
      <c r="E952" s="128"/>
      <c r="F952" s="128"/>
      <c r="G952" s="128"/>
      <c r="H952" s="128"/>
      <c r="I952" s="128"/>
    </row>
    <row r="953">
      <c r="A953" s="128"/>
      <c r="B953" s="128"/>
      <c r="C953" s="128"/>
      <c r="D953" s="128"/>
      <c r="E953" s="128"/>
      <c r="F953" s="128"/>
      <c r="G953" s="128"/>
      <c r="H953" s="128"/>
      <c r="I953" s="128"/>
    </row>
    <row r="954">
      <c r="A954" s="128"/>
      <c r="B954" s="128"/>
      <c r="C954" s="128"/>
      <c r="D954" s="128"/>
      <c r="E954" s="128"/>
      <c r="F954" s="128"/>
      <c r="G954" s="128"/>
      <c r="H954" s="128"/>
      <c r="I954" s="128"/>
    </row>
    <row r="955">
      <c r="A955" s="128"/>
      <c r="B955" s="128"/>
      <c r="C955" s="128"/>
      <c r="D955" s="128"/>
      <c r="E955" s="128"/>
      <c r="F955" s="128"/>
      <c r="G955" s="128"/>
      <c r="H955" s="128"/>
      <c r="I955" s="128"/>
    </row>
    <row r="956">
      <c r="A956" s="128"/>
      <c r="B956" s="128"/>
      <c r="C956" s="128"/>
      <c r="D956" s="128"/>
      <c r="E956" s="128"/>
      <c r="F956" s="128"/>
      <c r="G956" s="128"/>
      <c r="H956" s="128"/>
      <c r="I956" s="128"/>
    </row>
    <row r="957">
      <c r="A957" s="128"/>
      <c r="B957" s="128"/>
      <c r="C957" s="128"/>
      <c r="D957" s="128"/>
      <c r="E957" s="128"/>
      <c r="F957" s="128"/>
      <c r="G957" s="128"/>
      <c r="H957" s="128"/>
      <c r="I957" s="128"/>
    </row>
    <row r="958">
      <c r="A958" s="128"/>
      <c r="B958" s="128"/>
      <c r="C958" s="128"/>
      <c r="D958" s="128"/>
      <c r="E958" s="128"/>
      <c r="F958" s="128"/>
      <c r="G958" s="128"/>
      <c r="H958" s="128"/>
      <c r="I958" s="128"/>
    </row>
    <row r="959">
      <c r="A959" s="128"/>
      <c r="B959" s="128"/>
      <c r="C959" s="128"/>
      <c r="D959" s="128"/>
      <c r="E959" s="128"/>
      <c r="F959" s="128"/>
      <c r="G959" s="128"/>
      <c r="H959" s="128"/>
      <c r="I959" s="128"/>
    </row>
    <row r="960">
      <c r="A960" s="128"/>
      <c r="B960" s="128"/>
      <c r="C960" s="128"/>
      <c r="D960" s="128"/>
      <c r="E960" s="128"/>
      <c r="F960" s="128"/>
      <c r="G960" s="128"/>
      <c r="H960" s="128"/>
      <c r="I960" s="128"/>
    </row>
    <row r="961">
      <c r="A961" s="128"/>
      <c r="B961" s="128"/>
      <c r="C961" s="128"/>
      <c r="D961" s="128"/>
      <c r="E961" s="128"/>
      <c r="F961" s="128"/>
      <c r="G961" s="128"/>
      <c r="H961" s="128"/>
      <c r="I961" s="128"/>
    </row>
    <row r="962">
      <c r="A962" s="128"/>
      <c r="B962" s="128"/>
      <c r="C962" s="128"/>
      <c r="D962" s="128"/>
      <c r="E962" s="128"/>
      <c r="F962" s="128"/>
      <c r="G962" s="128"/>
      <c r="H962" s="128"/>
      <c r="I962" s="128"/>
    </row>
    <row r="963">
      <c r="A963" s="128"/>
      <c r="B963" s="128"/>
      <c r="C963" s="128"/>
      <c r="D963" s="128"/>
      <c r="E963" s="128"/>
      <c r="F963" s="128"/>
      <c r="G963" s="128"/>
      <c r="H963" s="128"/>
      <c r="I963" s="128"/>
    </row>
    <row r="964">
      <c r="A964" s="128"/>
      <c r="B964" s="128"/>
      <c r="C964" s="128"/>
      <c r="D964" s="128"/>
      <c r="E964" s="128"/>
      <c r="F964" s="128"/>
      <c r="G964" s="128"/>
      <c r="H964" s="128"/>
      <c r="I964" s="128"/>
    </row>
    <row r="965">
      <c r="A965" s="128"/>
      <c r="B965" s="128"/>
      <c r="C965" s="128"/>
      <c r="D965" s="128"/>
      <c r="E965" s="128"/>
      <c r="F965" s="128"/>
      <c r="G965" s="128"/>
      <c r="H965" s="128"/>
      <c r="I965" s="128"/>
    </row>
    <row r="966">
      <c r="A966" s="128"/>
      <c r="B966" s="128"/>
      <c r="C966" s="128"/>
      <c r="D966" s="128"/>
      <c r="E966" s="128"/>
      <c r="F966" s="128"/>
      <c r="G966" s="128"/>
      <c r="H966" s="128"/>
      <c r="I966" s="128"/>
    </row>
    <row r="967">
      <c r="A967" s="128"/>
      <c r="B967" s="128"/>
      <c r="C967" s="128"/>
      <c r="D967" s="128"/>
      <c r="E967" s="128"/>
      <c r="F967" s="128"/>
      <c r="G967" s="128"/>
      <c r="H967" s="128"/>
      <c r="I967" s="128"/>
    </row>
    <row r="968">
      <c r="A968" s="128"/>
      <c r="B968" s="128"/>
      <c r="C968" s="128"/>
      <c r="D968" s="128"/>
      <c r="E968" s="128"/>
      <c r="F968" s="128"/>
      <c r="G968" s="128"/>
      <c r="H968" s="128"/>
      <c r="I968" s="128"/>
    </row>
    <row r="969">
      <c r="A969" s="128"/>
      <c r="B969" s="128"/>
      <c r="C969" s="128"/>
      <c r="D969" s="128"/>
      <c r="E969" s="128"/>
      <c r="F969" s="128"/>
      <c r="G969" s="128"/>
      <c r="H969" s="128"/>
      <c r="I969" s="128"/>
    </row>
    <row r="970">
      <c r="A970" s="128"/>
      <c r="B970" s="128"/>
      <c r="C970" s="128"/>
      <c r="D970" s="128"/>
      <c r="E970" s="128"/>
      <c r="F970" s="128"/>
      <c r="G970" s="128"/>
      <c r="H970" s="128"/>
      <c r="I970" s="128"/>
    </row>
    <row r="971">
      <c r="A971" s="128"/>
      <c r="B971" s="128"/>
      <c r="C971" s="128"/>
      <c r="D971" s="128"/>
      <c r="E971" s="128"/>
      <c r="F971" s="128"/>
      <c r="G971" s="128"/>
      <c r="H971" s="128"/>
      <c r="I971" s="128"/>
    </row>
    <row r="972">
      <c r="A972" s="128"/>
      <c r="B972" s="128"/>
      <c r="C972" s="128"/>
      <c r="D972" s="128"/>
      <c r="E972" s="128"/>
      <c r="F972" s="128"/>
      <c r="G972" s="128"/>
      <c r="H972" s="128"/>
      <c r="I972" s="128"/>
    </row>
    <row r="973">
      <c r="A973" s="128"/>
      <c r="B973" s="128"/>
      <c r="C973" s="128"/>
      <c r="D973" s="128"/>
      <c r="E973" s="128"/>
      <c r="F973" s="128"/>
      <c r="G973" s="128"/>
      <c r="H973" s="128"/>
      <c r="I973" s="128"/>
    </row>
    <row r="974">
      <c r="A974" s="128"/>
      <c r="B974" s="128"/>
      <c r="C974" s="128"/>
      <c r="D974" s="128"/>
      <c r="E974" s="128"/>
      <c r="F974" s="128"/>
      <c r="G974" s="128"/>
      <c r="H974" s="128"/>
      <c r="I974" s="128"/>
    </row>
    <row r="975">
      <c r="A975" s="128"/>
      <c r="B975" s="128"/>
      <c r="C975" s="128"/>
      <c r="D975" s="128"/>
      <c r="E975" s="128"/>
      <c r="F975" s="128"/>
      <c r="G975" s="128"/>
      <c r="H975" s="128"/>
      <c r="I975" s="128"/>
    </row>
    <row r="976">
      <c r="A976" s="128"/>
      <c r="B976" s="128"/>
      <c r="C976" s="128"/>
      <c r="D976" s="128"/>
      <c r="E976" s="128"/>
      <c r="F976" s="128"/>
      <c r="G976" s="128"/>
      <c r="H976" s="128"/>
      <c r="I976" s="128"/>
    </row>
    <row r="977">
      <c r="A977" s="128"/>
      <c r="B977" s="128"/>
      <c r="C977" s="128"/>
      <c r="D977" s="128"/>
      <c r="E977" s="128"/>
      <c r="F977" s="128"/>
      <c r="G977" s="128"/>
      <c r="H977" s="128"/>
      <c r="I977" s="128"/>
    </row>
    <row r="978">
      <c r="A978" s="128"/>
      <c r="B978" s="128"/>
      <c r="C978" s="128"/>
      <c r="D978" s="128"/>
      <c r="E978" s="128"/>
      <c r="F978" s="128"/>
      <c r="G978" s="128"/>
      <c r="H978" s="128"/>
      <c r="I978" s="128"/>
    </row>
    <row r="979">
      <c r="A979" s="128"/>
      <c r="B979" s="128"/>
      <c r="C979" s="128"/>
      <c r="D979" s="128"/>
      <c r="E979" s="128"/>
      <c r="F979" s="128"/>
      <c r="G979" s="128"/>
      <c r="H979" s="128"/>
      <c r="I979" s="128"/>
    </row>
    <row r="980">
      <c r="A980" s="128"/>
      <c r="B980" s="128"/>
      <c r="C980" s="128"/>
      <c r="D980" s="128"/>
      <c r="E980" s="128"/>
      <c r="F980" s="128"/>
      <c r="G980" s="128"/>
      <c r="H980" s="128"/>
      <c r="I980" s="128"/>
    </row>
    <row r="981">
      <c r="A981" s="128"/>
      <c r="B981" s="128"/>
      <c r="C981" s="128"/>
      <c r="D981" s="128"/>
      <c r="E981" s="128"/>
      <c r="F981" s="128"/>
      <c r="G981" s="128"/>
      <c r="H981" s="128"/>
      <c r="I981" s="128"/>
    </row>
    <row r="982">
      <c r="A982" s="128"/>
      <c r="B982" s="128"/>
      <c r="C982" s="128"/>
      <c r="D982" s="128"/>
      <c r="E982" s="128"/>
      <c r="F982" s="128"/>
      <c r="G982" s="128"/>
      <c r="H982" s="128"/>
      <c r="I982" s="128"/>
    </row>
    <row r="983">
      <c r="A983" s="128"/>
      <c r="B983" s="128"/>
      <c r="C983" s="128"/>
      <c r="D983" s="128"/>
      <c r="E983" s="128"/>
      <c r="F983" s="128"/>
      <c r="G983" s="128"/>
      <c r="H983" s="128"/>
      <c r="I983" s="128"/>
    </row>
    <row r="984">
      <c r="A984" s="128"/>
      <c r="B984" s="128"/>
      <c r="C984" s="128"/>
      <c r="D984" s="128"/>
      <c r="E984" s="128"/>
      <c r="F984" s="128"/>
      <c r="G984" s="128"/>
      <c r="H984" s="128"/>
      <c r="I984" s="128"/>
    </row>
    <row r="985">
      <c r="A985" s="128"/>
      <c r="B985" s="128"/>
      <c r="C985" s="128"/>
      <c r="D985" s="128"/>
      <c r="E985" s="128"/>
      <c r="F985" s="128"/>
      <c r="G985" s="128"/>
      <c r="H985" s="128"/>
      <c r="I985" s="128"/>
    </row>
    <row r="986">
      <c r="A986" s="128"/>
      <c r="B986" s="128"/>
      <c r="C986" s="128"/>
      <c r="D986" s="128"/>
      <c r="E986" s="128"/>
      <c r="F986" s="128"/>
      <c r="G986" s="128"/>
      <c r="H986" s="128"/>
      <c r="I986" s="128"/>
    </row>
    <row r="987">
      <c r="A987" s="128"/>
      <c r="B987" s="128"/>
      <c r="C987" s="128"/>
      <c r="D987" s="128"/>
      <c r="E987" s="128"/>
      <c r="F987" s="128"/>
      <c r="G987" s="128"/>
      <c r="H987" s="128"/>
      <c r="I987" s="128"/>
    </row>
    <row r="988">
      <c r="A988" s="128"/>
      <c r="B988" s="128"/>
      <c r="C988" s="128"/>
      <c r="D988" s="128"/>
      <c r="E988" s="128"/>
      <c r="F988" s="128"/>
      <c r="G988" s="128"/>
      <c r="H988" s="128"/>
      <c r="I988" s="128"/>
    </row>
    <row r="989">
      <c r="A989" s="128"/>
      <c r="B989" s="128"/>
      <c r="C989" s="128"/>
      <c r="D989" s="128"/>
      <c r="E989" s="128"/>
      <c r="F989" s="128"/>
      <c r="G989" s="128"/>
      <c r="H989" s="128"/>
      <c r="I989" s="128"/>
    </row>
    <row r="990">
      <c r="A990" s="128"/>
      <c r="B990" s="128"/>
      <c r="C990" s="128"/>
      <c r="D990" s="128"/>
      <c r="E990" s="128"/>
      <c r="F990" s="128"/>
      <c r="G990" s="128"/>
      <c r="H990" s="128"/>
      <c r="I990" s="128"/>
    </row>
    <row r="991">
      <c r="A991" s="128"/>
      <c r="B991" s="128"/>
      <c r="C991" s="128"/>
      <c r="D991" s="128"/>
      <c r="E991" s="128"/>
      <c r="F991" s="128"/>
      <c r="G991" s="128"/>
      <c r="H991" s="128"/>
      <c r="I991" s="128"/>
    </row>
    <row r="992">
      <c r="A992" s="128"/>
      <c r="B992" s="128"/>
      <c r="C992" s="128"/>
      <c r="D992" s="128"/>
      <c r="E992" s="128"/>
      <c r="F992" s="128"/>
      <c r="G992" s="128"/>
      <c r="H992" s="128"/>
      <c r="I992" s="128"/>
    </row>
    <row r="993">
      <c r="A993" s="128"/>
      <c r="B993" s="128"/>
      <c r="C993" s="128"/>
      <c r="D993" s="128"/>
      <c r="E993" s="128"/>
      <c r="F993" s="128"/>
      <c r="G993" s="128"/>
      <c r="H993" s="128"/>
      <c r="I993" s="128"/>
    </row>
    <row r="994">
      <c r="A994" s="128"/>
      <c r="B994" s="128"/>
      <c r="C994" s="128"/>
      <c r="D994" s="128"/>
      <c r="E994" s="128"/>
      <c r="F994" s="128"/>
      <c r="G994" s="128"/>
      <c r="H994" s="128"/>
      <c r="I994" s="128"/>
    </row>
    <row r="995">
      <c r="A995" s="128"/>
      <c r="B995" s="128"/>
      <c r="C995" s="128"/>
      <c r="D995" s="128"/>
      <c r="E995" s="128"/>
      <c r="F995" s="128"/>
      <c r="G995" s="128"/>
      <c r="H995" s="128"/>
      <c r="I995" s="128"/>
    </row>
    <row r="996">
      <c r="A996" s="128"/>
      <c r="B996" s="128"/>
      <c r="C996" s="128"/>
      <c r="D996" s="128"/>
      <c r="E996" s="128"/>
      <c r="F996" s="128"/>
      <c r="G996" s="128"/>
      <c r="H996" s="128"/>
      <c r="I996" s="128"/>
    </row>
    <row r="997">
      <c r="A997" s="128"/>
      <c r="B997" s="128"/>
      <c r="C997" s="128"/>
      <c r="D997" s="128"/>
      <c r="E997" s="128"/>
      <c r="F997" s="128"/>
      <c r="G997" s="128"/>
      <c r="H997" s="128"/>
      <c r="I997" s="128"/>
    </row>
    <row r="998">
      <c r="A998" s="128"/>
      <c r="B998" s="128"/>
      <c r="C998" s="128"/>
      <c r="D998" s="128"/>
      <c r="E998" s="128"/>
      <c r="F998" s="128"/>
      <c r="G998" s="128"/>
      <c r="H998" s="128"/>
      <c r="I998" s="128"/>
    </row>
    <row r="999">
      <c r="A999" s="128"/>
      <c r="B999" s="128"/>
      <c r="C999" s="128"/>
      <c r="D999" s="128"/>
      <c r="E999" s="128"/>
      <c r="F999" s="128"/>
      <c r="G999" s="128"/>
      <c r="H999" s="128"/>
      <c r="I999" s="128"/>
    </row>
    <row r="1000">
      <c r="A1000" s="128"/>
      <c r="B1000" s="128"/>
      <c r="C1000" s="128"/>
      <c r="D1000" s="128"/>
      <c r="E1000" s="128"/>
      <c r="F1000" s="128"/>
      <c r="G1000" s="128"/>
      <c r="H1000" s="128"/>
      <c r="I1000" s="128"/>
    </row>
    <row r="1001">
      <c r="A1001" s="128"/>
      <c r="B1001" s="128"/>
      <c r="C1001" s="128"/>
      <c r="D1001" s="128"/>
      <c r="E1001" s="128"/>
      <c r="F1001" s="128"/>
      <c r="G1001" s="128"/>
      <c r="H1001" s="128"/>
      <c r="I1001" s="128"/>
    </row>
    <row r="1002">
      <c r="A1002" s="128"/>
      <c r="B1002" s="128"/>
      <c r="C1002" s="128"/>
      <c r="D1002" s="128"/>
      <c r="E1002" s="128"/>
      <c r="F1002" s="128"/>
      <c r="G1002" s="128"/>
      <c r="H1002" s="128"/>
      <c r="I1002" s="128"/>
    </row>
    <row r="1003">
      <c r="A1003" s="128"/>
      <c r="B1003" s="128"/>
      <c r="C1003" s="128"/>
      <c r="D1003" s="128"/>
      <c r="E1003" s="128"/>
      <c r="F1003" s="128"/>
      <c r="G1003" s="128"/>
      <c r="H1003" s="128"/>
      <c r="I1003" s="128"/>
    </row>
    <row r="1004">
      <c r="A1004" s="128"/>
      <c r="B1004" s="128"/>
      <c r="C1004" s="128"/>
      <c r="D1004" s="128"/>
      <c r="E1004" s="128"/>
      <c r="F1004" s="128"/>
      <c r="G1004" s="128"/>
      <c r="H1004" s="128"/>
      <c r="I1004" s="128"/>
    </row>
    <row r="1005">
      <c r="A1005" s="128"/>
      <c r="B1005" s="128"/>
      <c r="C1005" s="128"/>
      <c r="D1005" s="128"/>
      <c r="E1005" s="128"/>
      <c r="F1005" s="128"/>
      <c r="G1005" s="128"/>
      <c r="H1005" s="128"/>
      <c r="I1005" s="128"/>
    </row>
    <row r="1006">
      <c r="A1006" s="128"/>
      <c r="B1006" s="128"/>
      <c r="C1006" s="128"/>
      <c r="D1006" s="128"/>
      <c r="E1006" s="128"/>
      <c r="F1006" s="128"/>
      <c r="G1006" s="128"/>
      <c r="H1006" s="128"/>
      <c r="I1006" s="128"/>
    </row>
    <row r="1007">
      <c r="A1007" s="128"/>
      <c r="B1007" s="128"/>
      <c r="C1007" s="128"/>
      <c r="D1007" s="128"/>
      <c r="E1007" s="128"/>
      <c r="F1007" s="128"/>
      <c r="G1007" s="128"/>
      <c r="H1007" s="128"/>
      <c r="I1007" s="128"/>
    </row>
    <row r="1008">
      <c r="A1008" s="128"/>
      <c r="B1008" s="128"/>
      <c r="C1008" s="128"/>
      <c r="D1008" s="128"/>
      <c r="E1008" s="128"/>
      <c r="F1008" s="128"/>
      <c r="G1008" s="128"/>
      <c r="H1008" s="128"/>
      <c r="I1008" s="128"/>
    </row>
    <row r="1009">
      <c r="A1009" s="128"/>
      <c r="B1009" s="128"/>
      <c r="C1009" s="128"/>
      <c r="D1009" s="128"/>
      <c r="E1009" s="128"/>
      <c r="F1009" s="128"/>
      <c r="G1009" s="128"/>
      <c r="H1009" s="128"/>
      <c r="I1009" s="128"/>
    </row>
    <row r="1010">
      <c r="A1010" s="128"/>
      <c r="B1010" s="128"/>
      <c r="C1010" s="128"/>
      <c r="D1010" s="128"/>
      <c r="E1010" s="128"/>
      <c r="F1010" s="128"/>
      <c r="G1010" s="128"/>
      <c r="H1010" s="128"/>
      <c r="I1010" s="128"/>
    </row>
    <row r="1011">
      <c r="A1011" s="128"/>
      <c r="B1011" s="128"/>
      <c r="C1011" s="128"/>
      <c r="D1011" s="128"/>
      <c r="E1011" s="128"/>
      <c r="F1011" s="128"/>
      <c r="G1011" s="128"/>
      <c r="H1011" s="128"/>
      <c r="I1011" s="128"/>
    </row>
    <row r="1012">
      <c r="A1012" s="128"/>
      <c r="B1012" s="128"/>
      <c r="C1012" s="128"/>
      <c r="D1012" s="128"/>
      <c r="E1012" s="128"/>
      <c r="F1012" s="128"/>
      <c r="G1012" s="128"/>
      <c r="H1012" s="128"/>
      <c r="I1012" s="128"/>
    </row>
    <row r="1013">
      <c r="A1013" s="128"/>
      <c r="B1013" s="128"/>
      <c r="C1013" s="128"/>
      <c r="D1013" s="128"/>
      <c r="E1013" s="128"/>
      <c r="F1013" s="128"/>
      <c r="G1013" s="128"/>
      <c r="H1013" s="128"/>
      <c r="I1013" s="128"/>
    </row>
    <row r="1014">
      <c r="A1014" s="128"/>
      <c r="B1014" s="128"/>
      <c r="C1014" s="128"/>
      <c r="D1014" s="128"/>
      <c r="E1014" s="128"/>
      <c r="F1014" s="128"/>
      <c r="G1014" s="128"/>
      <c r="H1014" s="128"/>
      <c r="I1014" s="128"/>
    </row>
    <row r="1015">
      <c r="A1015" s="128"/>
      <c r="B1015" s="128"/>
      <c r="C1015" s="128"/>
      <c r="D1015" s="128"/>
      <c r="E1015" s="128"/>
      <c r="F1015" s="128"/>
      <c r="G1015" s="128"/>
      <c r="H1015" s="128"/>
      <c r="I1015" s="128"/>
    </row>
    <row r="1016">
      <c r="A1016" s="128"/>
      <c r="B1016" s="128"/>
      <c r="C1016" s="128"/>
      <c r="D1016" s="128"/>
      <c r="E1016" s="128"/>
      <c r="F1016" s="128"/>
      <c r="G1016" s="128"/>
      <c r="H1016" s="128"/>
      <c r="I1016" s="128"/>
    </row>
    <row r="1017">
      <c r="A1017" s="128"/>
      <c r="B1017" s="128"/>
      <c r="C1017" s="128"/>
      <c r="D1017" s="128"/>
      <c r="E1017" s="128"/>
      <c r="F1017" s="128"/>
      <c r="G1017" s="128"/>
      <c r="H1017" s="128"/>
      <c r="I1017" s="128"/>
    </row>
    <row r="1018">
      <c r="A1018" s="128"/>
      <c r="B1018" s="128"/>
      <c r="C1018" s="128"/>
      <c r="D1018" s="128"/>
      <c r="E1018" s="128"/>
      <c r="F1018" s="128"/>
      <c r="G1018" s="128"/>
      <c r="H1018" s="128"/>
      <c r="I1018" s="128"/>
    </row>
    <row r="1019">
      <c r="A1019" s="128"/>
      <c r="B1019" s="128"/>
      <c r="C1019" s="128"/>
      <c r="D1019" s="128"/>
      <c r="E1019" s="128"/>
      <c r="F1019" s="128"/>
      <c r="G1019" s="128"/>
      <c r="H1019" s="128"/>
      <c r="I1019" s="128"/>
    </row>
    <row r="1020">
      <c r="A1020" s="128"/>
      <c r="B1020" s="128"/>
      <c r="C1020" s="128"/>
      <c r="D1020" s="128"/>
      <c r="E1020" s="128"/>
      <c r="F1020" s="128"/>
      <c r="G1020" s="128"/>
      <c r="H1020" s="128"/>
      <c r="I1020" s="128"/>
    </row>
    <row r="1021">
      <c r="A1021" s="128"/>
      <c r="B1021" s="128"/>
      <c r="C1021" s="128"/>
      <c r="D1021" s="128"/>
      <c r="E1021" s="128"/>
      <c r="F1021" s="128"/>
      <c r="G1021" s="128"/>
      <c r="H1021" s="128"/>
      <c r="I1021" s="128"/>
    </row>
    <row r="1022">
      <c r="A1022" s="128"/>
      <c r="B1022" s="128"/>
      <c r="C1022" s="128"/>
      <c r="D1022" s="128"/>
      <c r="E1022" s="128"/>
      <c r="F1022" s="128"/>
      <c r="G1022" s="128"/>
      <c r="H1022" s="128"/>
      <c r="I1022" s="128"/>
    </row>
    <row r="1023">
      <c r="A1023" s="128"/>
      <c r="B1023" s="128"/>
      <c r="C1023" s="128"/>
      <c r="D1023" s="128"/>
      <c r="E1023" s="128"/>
      <c r="F1023" s="128"/>
      <c r="G1023" s="128"/>
      <c r="H1023" s="128"/>
      <c r="I1023" s="128"/>
    </row>
    <row r="1024">
      <c r="A1024" s="128"/>
      <c r="B1024" s="128"/>
      <c r="C1024" s="128"/>
      <c r="D1024" s="128"/>
      <c r="E1024" s="128"/>
      <c r="F1024" s="128"/>
      <c r="G1024" s="128"/>
      <c r="H1024" s="128"/>
      <c r="I1024" s="128"/>
    </row>
    <row r="1025">
      <c r="A1025" s="128"/>
      <c r="B1025" s="128"/>
      <c r="C1025" s="128"/>
      <c r="D1025" s="128"/>
      <c r="E1025" s="128"/>
      <c r="F1025" s="128"/>
      <c r="G1025" s="128"/>
      <c r="H1025" s="128"/>
      <c r="I1025" s="128"/>
    </row>
    <row r="1026">
      <c r="A1026" s="128"/>
      <c r="B1026" s="128"/>
      <c r="C1026" s="128"/>
      <c r="D1026" s="128"/>
      <c r="E1026" s="128"/>
      <c r="F1026" s="128"/>
      <c r="G1026" s="128"/>
      <c r="H1026" s="128"/>
      <c r="I1026" s="128"/>
    </row>
    <row r="1027">
      <c r="A1027" s="128"/>
      <c r="B1027" s="128"/>
      <c r="C1027" s="128"/>
      <c r="D1027" s="128"/>
      <c r="E1027" s="128"/>
      <c r="F1027" s="128"/>
      <c r="G1027" s="128"/>
      <c r="H1027" s="128"/>
      <c r="I1027" s="128"/>
    </row>
    <row r="1028">
      <c r="A1028" s="128"/>
      <c r="B1028" s="128"/>
      <c r="C1028" s="128"/>
      <c r="D1028" s="128"/>
      <c r="E1028" s="128"/>
      <c r="F1028" s="128"/>
      <c r="G1028" s="128"/>
      <c r="H1028" s="128"/>
      <c r="I1028" s="128"/>
    </row>
    <row r="1029">
      <c r="A1029" s="128"/>
      <c r="B1029" s="128"/>
      <c r="C1029" s="128"/>
      <c r="D1029" s="128"/>
      <c r="E1029" s="128"/>
      <c r="F1029" s="128"/>
      <c r="G1029" s="128"/>
      <c r="H1029" s="128"/>
      <c r="I1029" s="128"/>
    </row>
    <row r="1030">
      <c r="A1030" s="128"/>
      <c r="B1030" s="128"/>
      <c r="C1030" s="128"/>
      <c r="D1030" s="128"/>
      <c r="E1030" s="128"/>
      <c r="F1030" s="128"/>
      <c r="G1030" s="128"/>
      <c r="H1030" s="128"/>
      <c r="I1030" s="128"/>
    </row>
    <row r="1031">
      <c r="A1031" s="128"/>
      <c r="B1031" s="128"/>
      <c r="C1031" s="128"/>
      <c r="D1031" s="128"/>
      <c r="E1031" s="128"/>
      <c r="F1031" s="128"/>
      <c r="G1031" s="128"/>
      <c r="H1031" s="128"/>
      <c r="I1031" s="128"/>
    </row>
    <row r="1032">
      <c r="A1032" s="128"/>
      <c r="B1032" s="128"/>
      <c r="C1032" s="128"/>
      <c r="D1032" s="128"/>
      <c r="E1032" s="128"/>
      <c r="F1032" s="128"/>
      <c r="G1032" s="128"/>
      <c r="H1032" s="128"/>
      <c r="I1032" s="128"/>
    </row>
    <row r="1033">
      <c r="A1033" s="128"/>
      <c r="B1033" s="128"/>
      <c r="C1033" s="128"/>
      <c r="D1033" s="128"/>
      <c r="E1033" s="128"/>
      <c r="F1033" s="128"/>
      <c r="G1033" s="128"/>
      <c r="H1033" s="128"/>
      <c r="I1033" s="128"/>
    </row>
    <row r="1034">
      <c r="A1034" s="128"/>
      <c r="B1034" s="128"/>
      <c r="C1034" s="128"/>
      <c r="D1034" s="128"/>
      <c r="E1034" s="128"/>
      <c r="F1034" s="128"/>
      <c r="G1034" s="128"/>
      <c r="H1034" s="128"/>
      <c r="I1034" s="128"/>
    </row>
    <row r="1035">
      <c r="A1035" s="128"/>
      <c r="B1035" s="128"/>
      <c r="C1035" s="128"/>
      <c r="D1035" s="128"/>
      <c r="E1035" s="128"/>
      <c r="F1035" s="128"/>
      <c r="G1035" s="128"/>
      <c r="H1035" s="128"/>
      <c r="I1035" s="128"/>
    </row>
    <row r="1036">
      <c r="A1036" s="128"/>
      <c r="B1036" s="128"/>
      <c r="C1036" s="128"/>
      <c r="D1036" s="128"/>
      <c r="E1036" s="128"/>
      <c r="F1036" s="128"/>
      <c r="G1036" s="128"/>
      <c r="H1036" s="128"/>
      <c r="I1036" s="128"/>
    </row>
    <row r="1037">
      <c r="A1037" s="128"/>
      <c r="B1037" s="128"/>
      <c r="C1037" s="128"/>
      <c r="D1037" s="128"/>
      <c r="E1037" s="128"/>
      <c r="F1037" s="128"/>
      <c r="G1037" s="128"/>
      <c r="H1037" s="128"/>
      <c r="I1037" s="128"/>
    </row>
    <row r="1038">
      <c r="A1038" s="128"/>
      <c r="B1038" s="128"/>
      <c r="C1038" s="128"/>
      <c r="D1038" s="128"/>
      <c r="E1038" s="128"/>
      <c r="F1038" s="128"/>
      <c r="G1038" s="128"/>
      <c r="H1038" s="128"/>
      <c r="I1038" s="128"/>
    </row>
    <row r="1039">
      <c r="A1039" s="128"/>
      <c r="B1039" s="128"/>
      <c r="C1039" s="128"/>
      <c r="D1039" s="128"/>
      <c r="E1039" s="128"/>
      <c r="F1039" s="128"/>
      <c r="G1039" s="128"/>
      <c r="H1039" s="128"/>
      <c r="I1039" s="128"/>
    </row>
    <row r="1040">
      <c r="A1040" s="128"/>
      <c r="B1040" s="128"/>
      <c r="C1040" s="128"/>
      <c r="D1040" s="128"/>
      <c r="E1040" s="128"/>
      <c r="F1040" s="128"/>
      <c r="G1040" s="128"/>
      <c r="H1040" s="128"/>
      <c r="I1040" s="128"/>
    </row>
    <row r="1041">
      <c r="A1041" s="128"/>
      <c r="B1041" s="128"/>
      <c r="C1041" s="128"/>
      <c r="D1041" s="128"/>
      <c r="E1041" s="128"/>
      <c r="F1041" s="128"/>
      <c r="G1041" s="128"/>
      <c r="H1041" s="128"/>
      <c r="I1041" s="128"/>
    </row>
    <row r="1042">
      <c r="A1042" s="128"/>
      <c r="B1042" s="128"/>
      <c r="C1042" s="128"/>
      <c r="D1042" s="128"/>
      <c r="E1042" s="128"/>
      <c r="F1042" s="128"/>
      <c r="G1042" s="128"/>
      <c r="H1042" s="128"/>
      <c r="I1042" s="128"/>
    </row>
    <row r="1043">
      <c r="A1043" s="128"/>
      <c r="B1043" s="128"/>
      <c r="C1043" s="128"/>
      <c r="D1043" s="128"/>
      <c r="E1043" s="128"/>
      <c r="F1043" s="128"/>
      <c r="G1043" s="128"/>
      <c r="H1043" s="128"/>
      <c r="I1043" s="128"/>
    </row>
    <row r="1044">
      <c r="A1044" s="128"/>
      <c r="B1044" s="128"/>
      <c r="C1044" s="128"/>
      <c r="D1044" s="128"/>
      <c r="E1044" s="128"/>
      <c r="F1044" s="128"/>
      <c r="G1044" s="128"/>
      <c r="H1044" s="128"/>
      <c r="I1044" s="128"/>
    </row>
    <row r="1045">
      <c r="A1045" s="128"/>
      <c r="B1045" s="128"/>
      <c r="C1045" s="128"/>
      <c r="D1045" s="128"/>
      <c r="E1045" s="128"/>
      <c r="F1045" s="128"/>
      <c r="G1045" s="128"/>
      <c r="H1045" s="128"/>
      <c r="I1045" s="128"/>
    </row>
    <row r="1046">
      <c r="A1046" s="128"/>
      <c r="B1046" s="128"/>
      <c r="C1046" s="128"/>
      <c r="D1046" s="128"/>
      <c r="E1046" s="128"/>
      <c r="F1046" s="128"/>
      <c r="G1046" s="128"/>
      <c r="H1046" s="128"/>
      <c r="I1046" s="128"/>
    </row>
    <row r="1047">
      <c r="A1047" s="128"/>
      <c r="B1047" s="128"/>
      <c r="C1047" s="128"/>
      <c r="D1047" s="128"/>
      <c r="E1047" s="128"/>
      <c r="F1047" s="128"/>
      <c r="G1047" s="128"/>
      <c r="H1047" s="128"/>
      <c r="I1047" s="128"/>
    </row>
    <row r="1048">
      <c r="A1048" s="128"/>
      <c r="B1048" s="128"/>
      <c r="C1048" s="128"/>
      <c r="D1048" s="128"/>
      <c r="E1048" s="128"/>
      <c r="F1048" s="128"/>
      <c r="G1048" s="128"/>
      <c r="H1048" s="128"/>
      <c r="I1048" s="128"/>
    </row>
    <row r="1049">
      <c r="A1049" s="128"/>
      <c r="B1049" s="128"/>
      <c r="C1049" s="128"/>
      <c r="D1049" s="128"/>
      <c r="E1049" s="128"/>
      <c r="F1049" s="128"/>
      <c r="G1049" s="128"/>
      <c r="H1049" s="128"/>
      <c r="I1049" s="128"/>
    </row>
    <row r="1050">
      <c r="A1050" s="128"/>
      <c r="B1050" s="128"/>
      <c r="C1050" s="128"/>
      <c r="D1050" s="128"/>
      <c r="E1050" s="128"/>
      <c r="F1050" s="128"/>
      <c r="G1050" s="128"/>
      <c r="H1050" s="128"/>
      <c r="I1050" s="128"/>
    </row>
    <row r="1051">
      <c r="A1051" s="128"/>
      <c r="B1051" s="128"/>
      <c r="C1051" s="128"/>
      <c r="D1051" s="128"/>
      <c r="E1051" s="128"/>
      <c r="F1051" s="128"/>
      <c r="G1051" s="128"/>
      <c r="H1051" s="128"/>
      <c r="I1051" s="128"/>
    </row>
    <row r="1052">
      <c r="A1052" s="128"/>
      <c r="B1052" s="128"/>
      <c r="C1052" s="128"/>
      <c r="D1052" s="128"/>
      <c r="E1052" s="128"/>
      <c r="F1052" s="128"/>
      <c r="G1052" s="128"/>
      <c r="H1052" s="128"/>
      <c r="I1052" s="128"/>
    </row>
    <row r="1053">
      <c r="A1053" s="128"/>
      <c r="B1053" s="128"/>
      <c r="C1053" s="128"/>
      <c r="D1053" s="128"/>
      <c r="E1053" s="128"/>
      <c r="F1053" s="128"/>
      <c r="G1053" s="128"/>
      <c r="H1053" s="128"/>
      <c r="I1053" s="128"/>
    </row>
    <row r="1054">
      <c r="A1054" s="128"/>
      <c r="B1054" s="128"/>
      <c r="C1054" s="128"/>
      <c r="D1054" s="128"/>
      <c r="E1054" s="128"/>
      <c r="F1054" s="128"/>
      <c r="G1054" s="128"/>
      <c r="H1054" s="128"/>
      <c r="I1054" s="128"/>
    </row>
    <row r="1055">
      <c r="A1055" s="128"/>
      <c r="B1055" s="128"/>
      <c r="C1055" s="128"/>
      <c r="D1055" s="128"/>
      <c r="E1055" s="128"/>
      <c r="F1055" s="128"/>
      <c r="G1055" s="128"/>
      <c r="H1055" s="128"/>
      <c r="I1055" s="128"/>
    </row>
    <row r="1056">
      <c r="A1056" s="128"/>
      <c r="B1056" s="128"/>
      <c r="C1056" s="128"/>
      <c r="D1056" s="128"/>
      <c r="E1056" s="128"/>
      <c r="F1056" s="128"/>
      <c r="G1056" s="128"/>
      <c r="H1056" s="128"/>
      <c r="I1056" s="128"/>
    </row>
    <row r="1057">
      <c r="A1057" s="128"/>
      <c r="B1057" s="128"/>
      <c r="C1057" s="128"/>
      <c r="D1057" s="128"/>
      <c r="E1057" s="128"/>
      <c r="F1057" s="128"/>
      <c r="G1057" s="128"/>
      <c r="H1057" s="128"/>
      <c r="I1057" s="128"/>
    </row>
    <row r="1058">
      <c r="A1058" s="128"/>
      <c r="B1058" s="128"/>
      <c r="C1058" s="128"/>
      <c r="D1058" s="128"/>
      <c r="E1058" s="128"/>
      <c r="F1058" s="128"/>
      <c r="G1058" s="128"/>
      <c r="H1058" s="128"/>
      <c r="I1058" s="128"/>
    </row>
    <row r="1059">
      <c r="A1059" s="128"/>
      <c r="B1059" s="128"/>
      <c r="C1059" s="128"/>
      <c r="D1059" s="128"/>
      <c r="E1059" s="128"/>
      <c r="F1059" s="128"/>
      <c r="G1059" s="128"/>
      <c r="H1059" s="128"/>
      <c r="I1059" s="128"/>
    </row>
    <row r="1060">
      <c r="A1060" s="128"/>
      <c r="B1060" s="128"/>
      <c r="C1060" s="128"/>
      <c r="D1060" s="128"/>
      <c r="E1060" s="128"/>
      <c r="F1060" s="128"/>
      <c r="G1060" s="128"/>
      <c r="H1060" s="128"/>
      <c r="I1060" s="128"/>
    </row>
    <row r="1061">
      <c r="A1061" s="128"/>
      <c r="B1061" s="128"/>
      <c r="C1061" s="128"/>
      <c r="D1061" s="128"/>
      <c r="E1061" s="128"/>
      <c r="F1061" s="128"/>
      <c r="G1061" s="128"/>
      <c r="H1061" s="128"/>
      <c r="I1061" s="128"/>
    </row>
  </sheetData>
  <conditionalFormatting sqref="D2:D935">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30 C132:C135 C137:C140 C142:C145 C147:C150 C152:C155 C157:C160 C162:C165 C167:C170 C172:C175 C177:C180 C182:C185 C187:C190 C192:C195 C197:C200 C202:C205 C207:C210 C212:C215 C217:C220 C222:C225 C227:C230 C232:C235 C237:C240 C242:C245 C247:C250 C252:C259 C261:C264 C266:C269 C271:C274 C276:C279 C281:C284 C286:C289 C291:C294 C296:C299 C301:C304 C306:C309">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30 E132:I135 E137:I140 E142:I145 E147:I150 E152:I155 E157:I160 E162:I165 E167:I170 E172:I175 E177:I180 E182:I185 E187:I190 E192:I195 E197:I200 E202:I205 E207:I210 E212:I215 E217:I220 E222:I225 E227:I230 E232:I235 E237:I240 E242:I245 E247:I250 E252:I259 E261:I264 E266:I269 E271:I274 E276:I279 E281:I284 E286:I289 E291:I294 E296:I299 E301:I304 E306:I309">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215" t="s">
        <v>297</v>
      </c>
      <c r="B1" s="216"/>
      <c r="C1" s="216"/>
      <c r="D1" s="216"/>
      <c r="E1" s="216"/>
      <c r="F1" s="216"/>
      <c r="G1" s="216"/>
      <c r="H1" s="216"/>
      <c r="I1" s="216"/>
      <c r="J1" s="216"/>
      <c r="K1" s="216"/>
      <c r="L1" s="216"/>
      <c r="M1" s="216"/>
      <c r="N1" s="216"/>
      <c r="O1" s="216"/>
      <c r="P1" s="216"/>
      <c r="Q1" s="216"/>
      <c r="R1" s="216"/>
      <c r="S1" s="216"/>
      <c r="T1" s="216"/>
      <c r="U1" s="216"/>
      <c r="V1" s="216"/>
      <c r="W1" s="216"/>
      <c r="X1" s="216"/>
      <c r="Y1" s="216"/>
      <c r="Z1" s="216"/>
    </row>
    <row r="2">
      <c r="A2" s="217" t="s">
        <v>21</v>
      </c>
      <c r="B2" s="218" t="s">
        <v>298</v>
      </c>
      <c r="C2" s="128"/>
      <c r="D2" s="128"/>
      <c r="E2" s="128"/>
      <c r="F2" s="128"/>
      <c r="G2" s="128"/>
      <c r="H2" s="128"/>
      <c r="I2" s="128"/>
      <c r="J2" s="128"/>
      <c r="K2" s="128"/>
      <c r="L2" s="128"/>
      <c r="M2" s="128"/>
      <c r="N2" s="128"/>
      <c r="O2" s="128"/>
      <c r="P2" s="128"/>
      <c r="Q2" s="128"/>
      <c r="R2" s="128"/>
      <c r="S2" s="128"/>
      <c r="T2" s="128"/>
      <c r="U2" s="128"/>
      <c r="V2" s="128"/>
      <c r="W2" s="128"/>
      <c r="X2" s="128"/>
      <c r="Y2" s="128"/>
      <c r="Z2" s="128"/>
    </row>
    <row r="3">
      <c r="A3" s="217" t="s">
        <v>22</v>
      </c>
      <c r="B3" s="218" t="s">
        <v>299</v>
      </c>
      <c r="C3" s="128"/>
      <c r="D3" s="128"/>
      <c r="E3" s="128"/>
      <c r="F3" s="128"/>
      <c r="G3" s="128"/>
      <c r="H3" s="128"/>
      <c r="I3" s="128"/>
      <c r="J3" s="128"/>
      <c r="K3" s="128"/>
      <c r="L3" s="128"/>
      <c r="M3" s="128"/>
      <c r="N3" s="128"/>
      <c r="O3" s="128"/>
      <c r="P3" s="128"/>
      <c r="Q3" s="128"/>
      <c r="R3" s="128"/>
      <c r="S3" s="128"/>
      <c r="T3" s="128"/>
      <c r="U3" s="128"/>
      <c r="V3" s="128"/>
      <c r="W3" s="128"/>
      <c r="X3" s="128"/>
      <c r="Y3" s="128"/>
      <c r="Z3" s="128"/>
    </row>
    <row r="4">
      <c r="A4" s="217" t="s">
        <v>8</v>
      </c>
      <c r="B4" s="218" t="s">
        <v>300</v>
      </c>
      <c r="C4" s="128"/>
      <c r="D4" s="128"/>
      <c r="E4" s="128"/>
      <c r="F4" s="128"/>
      <c r="G4" s="128"/>
      <c r="H4" s="128"/>
      <c r="I4" s="128"/>
      <c r="J4" s="128"/>
      <c r="K4" s="128"/>
      <c r="L4" s="128"/>
      <c r="M4" s="128"/>
      <c r="N4" s="128"/>
      <c r="O4" s="128"/>
      <c r="P4" s="128"/>
      <c r="Q4" s="128"/>
      <c r="R4" s="128"/>
      <c r="S4" s="128"/>
      <c r="T4" s="128"/>
      <c r="U4" s="128"/>
      <c r="V4" s="128"/>
      <c r="W4" s="128"/>
      <c r="X4" s="128"/>
      <c r="Y4" s="128"/>
      <c r="Z4" s="128"/>
    </row>
    <row r="5">
      <c r="A5" s="217" t="s">
        <v>23</v>
      </c>
      <c r="B5" s="219" t="s">
        <v>301</v>
      </c>
      <c r="C5" s="128"/>
      <c r="D5" s="128"/>
      <c r="E5" s="128"/>
      <c r="F5" s="128"/>
      <c r="G5" s="128"/>
      <c r="H5" s="128"/>
      <c r="I5" s="128"/>
      <c r="J5" s="128"/>
      <c r="K5" s="128"/>
      <c r="L5" s="128"/>
      <c r="M5" s="128"/>
      <c r="N5" s="128"/>
      <c r="O5" s="128"/>
      <c r="P5" s="128"/>
      <c r="Q5" s="128"/>
      <c r="R5" s="128"/>
      <c r="S5" s="128"/>
      <c r="T5" s="128"/>
      <c r="U5" s="128"/>
      <c r="V5" s="128"/>
      <c r="W5" s="128"/>
      <c r="X5" s="128"/>
      <c r="Y5" s="128"/>
      <c r="Z5" s="128"/>
    </row>
    <row r="6">
      <c r="A6" s="220" t="s">
        <v>302</v>
      </c>
      <c r="B6" s="216"/>
      <c r="C6" s="216"/>
      <c r="D6" s="216"/>
      <c r="E6" s="216"/>
      <c r="F6" s="216"/>
      <c r="G6" s="216"/>
      <c r="H6" s="216"/>
      <c r="I6" s="216"/>
      <c r="J6" s="216"/>
      <c r="K6" s="216"/>
      <c r="L6" s="216"/>
      <c r="M6" s="216"/>
      <c r="N6" s="216"/>
      <c r="O6" s="216"/>
      <c r="P6" s="216"/>
      <c r="Q6" s="216"/>
      <c r="R6" s="216"/>
      <c r="S6" s="216"/>
      <c r="T6" s="216"/>
      <c r="U6" s="216"/>
      <c r="V6" s="216"/>
      <c r="W6" s="216"/>
      <c r="X6" s="216"/>
      <c r="Y6" s="216"/>
      <c r="Z6" s="216"/>
    </row>
    <row r="7">
      <c r="A7" s="217" t="s">
        <v>16</v>
      </c>
      <c r="B7" s="218" t="s">
        <v>303</v>
      </c>
      <c r="C7" s="128"/>
      <c r="D7" s="128"/>
      <c r="E7" s="128"/>
      <c r="F7" s="128"/>
      <c r="G7" s="128"/>
      <c r="H7" s="128"/>
      <c r="I7" s="128"/>
      <c r="J7" s="128"/>
      <c r="K7" s="128"/>
      <c r="L7" s="128"/>
      <c r="M7" s="128"/>
      <c r="N7" s="128"/>
      <c r="O7" s="128"/>
      <c r="P7" s="128"/>
      <c r="Q7" s="128"/>
      <c r="R7" s="128"/>
      <c r="S7" s="128"/>
      <c r="T7" s="128"/>
      <c r="U7" s="128"/>
      <c r="V7" s="128"/>
      <c r="W7" s="128"/>
      <c r="X7" s="128"/>
      <c r="Y7" s="128"/>
      <c r="Z7" s="128"/>
    </row>
    <row r="8">
      <c r="A8" s="217" t="s">
        <v>17</v>
      </c>
      <c r="B8" s="221" t="s">
        <v>304</v>
      </c>
      <c r="C8" s="128"/>
      <c r="D8" s="128"/>
      <c r="E8" s="128"/>
      <c r="F8" s="128"/>
      <c r="G8" s="128"/>
      <c r="H8" s="128"/>
      <c r="I8" s="128"/>
      <c r="J8" s="128"/>
      <c r="K8" s="128"/>
      <c r="L8" s="128"/>
      <c r="M8" s="128"/>
      <c r="N8" s="128"/>
      <c r="O8" s="128"/>
      <c r="P8" s="128"/>
      <c r="Q8" s="128"/>
      <c r="R8" s="128"/>
      <c r="S8" s="128"/>
      <c r="T8" s="128"/>
      <c r="U8" s="128"/>
      <c r="V8" s="128"/>
      <c r="W8" s="128"/>
      <c r="X8" s="128"/>
      <c r="Y8" s="128"/>
      <c r="Z8" s="128"/>
    </row>
    <row r="9">
      <c r="A9" s="217" t="s">
        <v>18</v>
      </c>
      <c r="B9" s="221" t="s">
        <v>305</v>
      </c>
      <c r="C9" s="128"/>
      <c r="D9" s="128"/>
      <c r="E9" s="128"/>
      <c r="F9" s="128"/>
      <c r="G9" s="128"/>
      <c r="H9" s="128"/>
      <c r="I9" s="128"/>
      <c r="J9" s="128"/>
      <c r="K9" s="128"/>
      <c r="L9" s="128"/>
      <c r="M9" s="128"/>
      <c r="N9" s="128"/>
      <c r="O9" s="128"/>
      <c r="P9" s="128"/>
      <c r="Q9" s="128"/>
      <c r="R9" s="128"/>
      <c r="S9" s="128"/>
      <c r="T9" s="128"/>
      <c r="U9" s="128"/>
      <c r="V9" s="128"/>
      <c r="W9" s="128"/>
      <c r="X9" s="128"/>
      <c r="Y9" s="128"/>
      <c r="Z9" s="128"/>
    </row>
    <row r="10">
      <c r="A10" s="217" t="s">
        <v>19</v>
      </c>
      <c r="B10" s="221" t="s">
        <v>306</v>
      </c>
      <c r="C10" s="128"/>
      <c r="D10" s="128"/>
      <c r="E10" s="128"/>
      <c r="F10" s="128"/>
      <c r="G10" s="128"/>
      <c r="H10" s="128"/>
      <c r="I10" s="128"/>
      <c r="J10" s="128"/>
      <c r="K10" s="128"/>
      <c r="L10" s="128"/>
      <c r="M10" s="128"/>
      <c r="N10" s="128"/>
      <c r="O10" s="128"/>
      <c r="P10" s="128"/>
      <c r="Q10" s="128"/>
      <c r="R10" s="128"/>
      <c r="S10" s="128"/>
      <c r="T10" s="128"/>
      <c r="U10" s="128"/>
      <c r="V10" s="128"/>
      <c r="W10" s="128"/>
      <c r="X10" s="128"/>
      <c r="Y10" s="128"/>
      <c r="Z10" s="128"/>
    </row>
    <row r="11">
      <c r="A11" s="217" t="s">
        <v>307</v>
      </c>
      <c r="B11" s="221" t="s">
        <v>308</v>
      </c>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28"/>
    </row>
    <row r="12">
      <c r="A12" s="220" t="s">
        <v>309</v>
      </c>
      <c r="B12" s="216"/>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row>
    <row r="13">
      <c r="A13" s="217" t="s">
        <v>4</v>
      </c>
      <c r="B13" s="221" t="s">
        <v>310</v>
      </c>
      <c r="C13" s="128"/>
      <c r="D13" s="128"/>
      <c r="E13" s="128"/>
      <c r="F13" s="128"/>
      <c r="G13" s="128"/>
      <c r="H13" s="128"/>
      <c r="I13" s="128"/>
      <c r="J13" s="128"/>
      <c r="K13" s="128"/>
      <c r="L13" s="128"/>
      <c r="M13" s="128"/>
      <c r="N13" s="128"/>
      <c r="O13" s="128"/>
      <c r="P13" s="128"/>
      <c r="Q13" s="128"/>
      <c r="R13" s="128"/>
      <c r="S13" s="128"/>
      <c r="T13" s="128"/>
      <c r="U13" s="128"/>
      <c r="V13" s="128"/>
      <c r="W13" s="128"/>
      <c r="X13" s="128"/>
      <c r="Y13" s="128"/>
      <c r="Z13" s="128"/>
    </row>
    <row r="14">
      <c r="A14" s="222" t="s">
        <v>5</v>
      </c>
      <c r="B14" s="221" t="s">
        <v>311</v>
      </c>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row>
    <row r="15">
      <c r="A15" s="222" t="s">
        <v>6</v>
      </c>
      <c r="B15" s="221" t="s">
        <v>312</v>
      </c>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row>
    <row r="16">
      <c r="A16" s="222" t="s">
        <v>7</v>
      </c>
      <c r="B16" s="221" t="s">
        <v>313</v>
      </c>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28"/>
    </row>
    <row r="17">
      <c r="A17" s="222" t="s">
        <v>8</v>
      </c>
      <c r="B17" s="221" t="s">
        <v>314</v>
      </c>
      <c r="C17" s="128"/>
      <c r="D17" s="128"/>
      <c r="E17" s="128"/>
      <c r="F17" s="128"/>
      <c r="G17" s="128"/>
      <c r="H17" s="128"/>
      <c r="I17" s="128"/>
      <c r="J17" s="128"/>
      <c r="K17" s="128"/>
      <c r="L17" s="128"/>
      <c r="M17" s="128"/>
      <c r="N17" s="128"/>
      <c r="O17" s="128"/>
      <c r="P17" s="128"/>
      <c r="Q17" s="128"/>
      <c r="R17" s="128"/>
      <c r="S17" s="128"/>
      <c r="T17" s="128"/>
      <c r="U17" s="128"/>
      <c r="V17" s="128"/>
      <c r="W17" s="128"/>
      <c r="X17" s="128"/>
      <c r="Y17" s="128"/>
      <c r="Z17" s="128"/>
    </row>
    <row r="18">
      <c r="A18" s="220" t="s">
        <v>315</v>
      </c>
      <c r="B18" s="216"/>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row>
    <row r="19">
      <c r="A19" s="223" t="s">
        <v>316</v>
      </c>
      <c r="B19" s="221" t="s">
        <v>317</v>
      </c>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28"/>
    </row>
    <row r="20">
      <c r="A20" s="224" t="s">
        <v>316</v>
      </c>
      <c r="B20" s="221" t="s">
        <v>318</v>
      </c>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row>
    <row r="21">
      <c r="A21" s="225" t="s">
        <v>316</v>
      </c>
      <c r="B21" s="221" t="s">
        <v>319</v>
      </c>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c r="A22" s="226" t="s">
        <v>320</v>
      </c>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row>
    <row r="23">
      <c r="A23" s="227" t="s">
        <v>321</v>
      </c>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row>
    <row r="24">
      <c r="A24" s="228" t="s">
        <v>322</v>
      </c>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c r="A25" s="229" t="s">
        <v>323</v>
      </c>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c r="A26" s="230" t="s">
        <v>324</v>
      </c>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c r="A27" s="231" t="s">
        <v>325</v>
      </c>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row>
    <row r="28">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c r="A29" s="128"/>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row r="1001">
      <c r="A1001" s="128"/>
      <c r="B1001" s="128"/>
      <c r="C1001" s="128"/>
      <c r="D1001" s="128"/>
      <c r="E1001" s="128"/>
      <c r="F1001" s="128"/>
      <c r="G1001" s="128"/>
      <c r="H1001" s="128"/>
      <c r="I1001" s="128"/>
      <c r="J1001" s="128"/>
      <c r="K1001" s="128"/>
      <c r="L1001" s="128"/>
      <c r="M1001" s="128"/>
      <c r="N1001" s="128"/>
      <c r="O1001" s="128"/>
      <c r="P1001" s="128"/>
      <c r="Q1001" s="128"/>
      <c r="R1001" s="128"/>
      <c r="S1001" s="128"/>
      <c r="T1001" s="128"/>
      <c r="U1001" s="128"/>
      <c r="V1001" s="128"/>
      <c r="W1001" s="128"/>
      <c r="X1001" s="128"/>
      <c r="Y1001" s="128"/>
      <c r="Z1001" s="128"/>
    </row>
  </sheetData>
  <dataValidations>
    <dataValidation type="list" allowBlank="1" showErrorMessage="1" sqref="A2:A5 A7:A11">
      <formula1>"5W1H,Base,CoT,tldr,Heading,Jeremy,Begoña,Alba,Naiara"</formula1>
    </dataValidation>
  </dataValidations>
  <drawing r:id="rId1"/>
</worksheet>
</file>