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Haiku 3.5" sheetId="3" r:id="rId6"/>
    <sheet state="visible" name="🤖 Command R+" sheetId="4" r:id="rId7"/>
    <sheet state="visible" name="🤖 GPT 4o" sheetId="5" r:id="rId8"/>
    <sheet state="visible" name="🤖 Reka Flash"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<sst xmlns="http://schemas.openxmlformats.org/spreadsheetml/2006/main" count="893" uniqueCount="304">
  <si>
    <t>ID</t>
  </si>
  <si>
    <t>Model</t>
  </si>
  <si>
    <t>Prompt</t>
  </si>
  <si>
    <t>wc</t>
  </si>
  <si>
    <t>Coherence</t>
  </si>
  <si>
    <t>Consistency</t>
  </si>
  <si>
    <t>Fluency</t>
  </si>
  <si>
    <t>Relevance</t>
  </si>
  <si>
    <t>5W1H</t>
  </si>
  <si>
    <t>avg</t>
  </si>
  <si>
    <t>rank</t>
  </si>
  <si>
    <t>coh</t>
  </si>
  <si>
    <t>cons</t>
  </si>
  <si>
    <t>fluen</t>
  </si>
  <si>
    <t>rel</t>
  </si>
  <si>
    <t>Human</t>
  </si>
  <si>
    <t>Heading</t>
  </si>
  <si>
    <t>Jeremy</t>
  </si>
  <si>
    <t>Begoña</t>
  </si>
  <si>
    <t>Alba</t>
  </si>
  <si>
    <t>Claude Sonnet 3.5</t>
  </si>
  <si>
    <t>Base</t>
  </si>
  <si>
    <t>CoT</t>
  </si>
  <si>
    <t>tldr</t>
  </si>
  <si>
    <t>Command R+</t>
  </si>
  <si>
    <t>GPT 4o</t>
  </si>
  <si>
    <t>Reka Core</t>
  </si>
  <si>
    <t>Llama-3.1-70b-instruct</t>
  </si>
  <si>
    <t>AVERAGE</t>
  </si>
  <si>
    <t>STDEV</t>
  </si>
  <si>
    <t>Text</t>
  </si>
  <si>
    <t>Author</t>
  </si>
  <si>
    <t>Summary</t>
  </si>
  <si>
    <t>http://elpais.com/ccaa/2019/10/14/catalunya/1571053877_702844.html</t>
  </si>
  <si>
    <t>Joel Joan y Hèctor Claramunt tuvieron un encargo . Unos productores les ofrecieron escribir una obra para el actor Joan Pera , con la trama que quisiesen pero con un título ya designado : El pare de la núvia . Lo que en un inicio les pareció `` una propuesta alucinante '' lo asumieron como un `` reto estimulante '' para la creación de una historia . El resultado es una comedia que se centra en una boda que da un giro inesperado cuando el padre del novia , interpretado por Pera , se da cuenta de que la madre de su futuro yerno fue su amante . Su miedo : que los novios sean hermanos . La obra se estrenó el sábado en el Teatre Condal de Barcelona . El director de la función , Joel Joan , aclara que la puesta en escena no tiene `` nada que ver con las dos películas con el mismo título '' , que plantean una historia en la que un fiscal no quiere desprenderse de su hija que contrae matrimonio . El director define el espectáculo como una `` comedia romántica '' con referentes `` cercanos al público '' , y explica que escribieron los diálogos con un tono similar a la telecomedia Plats bruts . Joan se muestra contento de trabajar con Pera , a quien se refiere como el `` mejor actor de comedia del país '' . `` Verlo sufrir sobre el escenario es muy divertido '' , bromea el director sobre el actor . Pera interpreta a Francesc Ramon , un maestro galletero millonario que organiza el `` bodorrio del siglo '' para su única hija , Meritxell . `` Queremos que la gente salga feliz y disfrute de una fiesta en el teatro '' , señala . El protagonista contrata a la mejor compañía de circo , a la orquesta sinfónica más importante para amenizar la velada y a una empresa de pirotecnia para el gran cierre . Sin embargo , todo da un giro inesperado cuando el día antes de la boda descubre que la madre de su futuro yerno fue su amante y que , tras nueve meses de su infidelidad , dio a luz al prometido de su hija , Bernat . A partir de este conflicto , los autores presentan una función con estructura clásica dividida en cinco actos . Joan Pera , por su parte , afirma sentirse agradecido de trabajar con actores jóvenes que se interesan por su trayectoria . Además , dice con un tono divertido , que las nuevas generaciones `` saben tanto '' que él no hubiese tenido una trayectoria de no haber comenzado a actuar hace años . El comediante , en su faceta de actor de doblaje , es conocido por dar voz en castellano y en catalán al actor y director de cine Woody Allen . Esta no es la primera vez que Pera se presenta en el Teatre Condal , adonde regresa solo un año después de protagonizar El Fantasma de Canterville , dirigida por Josep Maria Mestres . `` El teatro es mi vida '' , resume el actor , quien cortó junto con los autores un gran pastel de bodas , con las figuras de los protagonistas , al cierre de la presentación del espectáculo , el miércoles pasado . El reparto lo completan los actores Sergi Vallès , Marc Rius y Anna Carreño , que comparten escenario con otros más veteranos como Pep Sais y Maife Gil .</t>
  </si>
  <si>
    <t>La comedia 'El pare de la núvia ' la protagoniza Joan Pera y la dirige Joel Joan</t>
  </si>
  <si>
    <t>A Joel Joan y Héctor Claramunt les llegó el encargo de unos productores de escribir una obra de teatro para el actor Joan Pera, comediante conocido por dar voz en castellano y en catalán al actor y director de cine Woody Allen. El encargo consistía en crear una trama con base a un título ya designado: "el pare de la núvia". Como resultado, la comedia trata de una boda en la que, tras un giro inesperado, el padre de la novia se da cuenta de que la madre de su futuro yerno fue su amante. Su miedo: que los novios sean hermanos. La obra, de estructura clásica y dividida en cinco actos, se estrenó el sábado en el Teatre Condal de Barcelona.</t>
  </si>
  <si>
    <t>http://elpais.com/cultura/2019/10/15/actualidad/1571152626_720988.html</t>
  </si>
  <si>
    <t>Desde su estreno en el pasado festival de Venecia , el hecho de que Netflix sea uno de los coproductores y ejerza de distribuidor de la película , junto a la imagen juvenil de una parte del reparto y sobre todo de su protagonista , ha llevado a no pocos medios de comunicación a afirmar con cierta reiteración que The King , cuarto largometraje del australiano David Michôd , inspirado tanto en la Segunda parte de Enrique IV como en Enrique V , es un Shakespeare para millennials . THE KING Dirección : David Michôd . Intérpretes : Timothée Chalamet . Joel Edgerton Robert Pattinson , Sean Harris . Género : drama . Australia , 2019 . Duración : 140 minutos . Si con el atributo millennial se pretende sostener que estamos ante una versión ligera para tiempos intrascendentes y espectadores poco preparados , conformando así una descalificación estereotipada y generalizada de toda una generación , la sentencia es no solo injusta sino también errónea . The King es una adaptación , se cambian algunos acontecimientos y las líneas de diálogo no son exactas a las de las dos obras en las que se inspira , pero su aire shakespeariano es evidente : en el tratamiento de los escenarios físicos e históricos , en las interpretaciones , en la cadencia de los diálogos , en el vocabulario , en su poesía , en sus subtextos , en sus pasiones cargadas de complejidad . Frases como “ nada deja mácula más indeleble en el alma que el acto de matar ” tienen mucho de profundidad lírica y épica y nada de ligereza juvenil . O ese fantástico momento en el que , ante las excusas de un segundón , uno de los personajes clama : “ ¿Por qué ladra el perro flaco ? ¿Dónde está el perro gordo ? ” . Michöd , autor de Animal Kingdom , se ha cargado a las espaldas , eso sí , con un duro reto del que no es fácil salir con vida . Porque , con independencia de las innumerables versiones teatrales , en este mismo material o muy semejante se basaron obras fundamentales de distintos periodos de la historia del cine como el Enrique V de Laurence Olivier ( 1944 ) , quizá la que peor ha envejecido ; la obra maestra Campanadas a medianoche ( Orson Welles , 1965 ) , con Jack Fasltaff , el bufón juerguista , íntimo de las correrías del príncipe Hal , como protagonista ; el Enrique V ( 1989 ) de Kenneth Branagh , fabulosa puerta de entrada al cine del entonces joven actor y director , experto en Shakespeare ; e incluso la insólita propuesta de Gus Van Sant en Mi Idaho privado ( 1991 ) , movida por los ambientes de la prostitución masculina contemporánea . Con una excelente banda sonora de tono envolvente de Nicholas Brittell ( Moonlight ) , a la que solo le sobra un punto de presencia constante , The King aborda tanto las guerras civiles iniciales de la corona de Inglaterra con escoceses y galeses como la subsiguiente indignidad de la corte por deber servir a un rey joven y crápula , en principio díscolo y ajeno al poder , pero luego convertido en estratega mayúsculo frente a un estado de amarga soledad en el que solo parece poder contar con su viejo y gordo compañero de correrías : Falstaff , al que da vida Joel Edgerton ( también coguionista ) con una interpretación más contenida y soterrada de lo que suele ser habitual en el mítico personaje . Mientras , Timothée Chalamet , escuálido y andrógino , compone un Enrique paradójicamente firme y de ojos caídos , de aspecto timorato y enfermizo pero de actitud rotunda , en un registro bien distinto ( para bien ) de los de Olivier y Branagh : casi como un River Phoenix somnoliento con trajes del siglo XV . The King , de estreno en cines este viernes 18 y en Netflix el 1 de noviembre , se convierte así en una obra lo suficientemente sólida como para desterrar cualquier atisbo de levedad e inconsistencia , aunque también con la cierta frustración de no dejar ninguna mácula indeleble que la distinga de otros productos shakespearianos . Ni perro flaco ni perro gordo . Simplemente Shakespeare , que no es poco .</t>
  </si>
  <si>
    <t>Es una obra lo suficientemente sólida como para desterrar cualquier atisbo de levedad e inconsistencia</t>
  </si>
  <si>
    <t xml:space="preserve">The King, el cuarto largometraje del australiano David Michôd que se estrena en cines este viernes 18 y en Netflix el 1 de noviembre, ha sido catalogado por varios medios de comunicación como un "Shakespeare para millennials", debido a la imagen juvenil del reparto y a la participación de Netflix como uno de los coproductores. No obstante, esta película, inspirada tanto en la segunda parte de Enrique IV como en Enrique V, aunque es una adaptación, refleja de forma evidente el estilo shakespeariano, el cual puede verse reflejado en el vocabulario, la poesía o el tratamiento de los escenarios. </t>
  </si>
  <si>
    <t>http://elpais.com/ccaa/2019/07/23/madrid/1563898491_008005.html</t>
  </si>
  <si>
    <t>Vías de acceso a Madrid en la plaza Fernández Ladreda , donde ya se ha superado el valor límite horario de polución para 2019 . La Comunidad de Madrid superó en 2018 el límite anual de dióxido de nitrógeno ( NO 2 ) y ozono ( O 3 ) , con el Corredor del Henares y la Plaza Elíptica , a la cabeza de la contaminación , según un informe de evaluación de la calidad del aire en España realizado por el Ministerio de Transición Ecológica . Según este documento , las causas de la superación del dióxido de nitrógeno se atribuyen principalmente al tráfico de vehículos de combustión , ya que se trata de ubicaciones muy influenciadas por vías principales de tráfico . Adicionalmente se considera que existe una cierta contribución de las emisiones producidas por la cercanía de la capital . Los altos índices del ozono troposférico se deben a la existencia en el aire de precursores como los óxidos de nitrógeno y los compuestos orgánicos volátiles en presencia de fuerte radiación solar , además del transporte regional e interregional . Una de las zonas de la región más afectadas por ambos contaminantes es el Corredor del Henares , como consecuencia de los niveles alcanzados en la estación de Coslada . En el municipio de Madrid , también se ha superado el valor límite anual de los dos componentes . Concretamente , se destacan las superaciones en dos estaciones , la de Ramón y Cajal y la de Plaza Elíptica , sobre todo en presencia de NO2 . En relación a estos resultados , el comisario de Medio Ambiente , Asuntos Marítimos y Pesca de la Comisión Europea , Karmenu Vella , envió el pasado 9 de julio una carta a la ministra para la Transición Ecológica en funciones , Teresa Ribera , en la que trasladaba su preocupación y solicitaba un reforzamiento de las medidas de calidad del aire . Esto se debe a las superaciones NO2 , concentradas fundamentalmente en la ciudad de Madrid y el área metropolitana de Barcelona , que continúan vulnerando los límites establecidos por la normativa europea . Sigue con nosotros la actualidad de Madrid en Facebook , en Twitter y en nuestro Patio de Vecinos en Instagram</t>
  </si>
  <si>
    <t>Las causas de la superación del dióxido de nitrógeno se atribuyen principalmente al tráfico de vehículos de combustión</t>
  </si>
  <si>
    <t>La Comunidad de Madrid superó en 2018 el límite anual de dióxido de nitrógeno (NO2) y ozono (O3) y ya se ha superado el valor límite horario de polución para 2019, en vías de acceso a Madrid. Según un informe del Ministerio de Transición Ecológica, las causas son el tráfico, las emisiones producidas por la cercanía de la capital y la fuerte radiación solar. Ante esta situación, el comisario europeo Karmenu Vella envió el pasado 9 de julio una carta a la ministra Teresa Ribera solicitando reforzar las medidas de calidad del aire.</t>
  </si>
  <si>
    <t>http://elpais.com/elpais/2019/06/28/estilo/1561733550_082135.html</t>
  </si>
  <si>
    <t>“ Hay muchas personas que desconocen qué fruta se da en cada temporada , que no saben que las verduras se recolectan en unos meses determinados… Estamos acostumbrados a tener de todo durante todo el año ; así que hay gente que hace la compra sin pensar en las estación en la que vive y no consumen los alimentos cuando están en su mejor momento ” , comenta Inés Ortega , gastrónoma y autora de más de 40 libros de cocina . Acaba de publicar Cocina sana y sencilla junto a Marina Rivas , su nuera , formada en la prestigiosa escuela Le Cordon Bleu y especializada en pastelería francesa . “ Más que un libro de recetas es una guía que incluye , además de las temporadas de distintos productos , recomendaciones nutricionales para deportistas , diabéticos o hipertensos . Incluso recetas que pueden prepararse en pocos minutos ” , añade Marina Rivas , dispuesta a tomar el relevo en una familia de gastrónomas de la que ha salido la biblia de la cocina española : 1080 recetas de cocina , de Simone Ortega , una obra publicada en 1972 y de la que se han vendido más de tres millones de ejemplares . La obra , editada por Alianza dentro del sello 1080 Nuevas Ideas de Cocina , es también una forma de celebrar el centenario del nacimiento de Simone Ortega ( Barcelona , 1919-Madrid , 2008 ) , catalana de familia francesa , que supo acercar la cocina de forma sencilla e innovadora a cualquiera , incluso a los más inexpertos . Su hija Inés Ortega , que la pasada semana presentó en Madrid Cocina sana y sencilla , mantiene la filosofía del primer recetario y asegura que no hace falta saber “ absolutamente nada ” para elaborar los platos de su nuevo libro . “ Hemos incluido un capítulo con el material de cocina necesario , explicamos qué es lo más básico y cuáles son las ventajas de utilizar una batería de un material u otro ” , comenta Inés Ortega , autora de unos 40 títulos y que desde 1986 colaboró con su madre en las revisiones de las 1.080 recetas , de la que hasta ahora se han hecho 40 reimpresiones y se ha traducido a siete idiomas . “ Las 1.080 recetas sigue vivito y coleando , en cada reedición lo hemos ido actualizando , introduciendo nuevos ingredientes y propuestas saludables . Ahora estoy deseando que Marina tome el relevo ” , apunta Inés Ortega , quien animó a su nuera , madrileña de 29 años , a que abandonara su trabajo en la banca privada y gestión de patrimonios para cumplir su sueño . “ Siempre me gustó la cocina , desde pequeña , pero mis padres quisieron que estudiara una carrera y me licencié en Administración y Dirección de Empresas . En 2016 decidí dar un giro radical : me matriculé en Le Cordon Bleu y ahora tengo mi propio obrador de pastelería francesa ” , comenta Marina Rivas , quien el año pasado también publicó junto a Ortega Cocinar sin gluten , sin huevo y sin lactosa . “ Las personas necesitan planificarse para poder llevar una dieta saludable y equilibrada . Diseñar un menú con productos de proximidad y de temporada y tener los ingredientes necesarios te ayuda e impide improvisaciones que , en muchos casos , hacen que se recurra a comida basura ” , añade . Entre consejos de cómo colocar los cubiertos o a los invitados y un capítulo dedicado al vino , Cocina sana y sencilla —con cubierta de Manuel Estrada , Premio Nacional de Diseño 2017— reúne 350 recetas en 650 páginas . Las autoras de este recetario-guía para una mesa saludable han escogido sus favoritos . Crema fría de zanahorias con hinojo y espirulina ; espaguetis de cúrcuma —con leche de coco y cacahuetes— y Cookies de avena son los elegidos por Marina Rivas . Inés Ortega , por su parte , apuesta por comenzar por un postre . “ Soy muy golosa ” , dice , y elige : compota de manzanas con lavanda ; cola de rape asada con arroz basmati al jerez y arroz caldoso a la marinera . Buen provecho .</t>
  </si>
  <si>
    <t>Inés , hija de la conocida autora Simone Ortega , celebra el aniversario del exitoso libro con un nuevo volumen dedicado a la gastronomía sana y sencilla</t>
  </si>
  <si>
    <t>Inés Ortega, gastrónoma e hija de la célebre Simone Ortega, acaba de publicar el libro "Cocina sana y sencilla" junto a su nuera Marina Rivas, quien está especializada en pastelería francesa. Además de recetas, el libro incluye recomendaciones nutricionales, material de cocina necesario e incluso un capítulo dedicado al vino. Como resultado, con sus 350 recetas en 650 páginas, las autoras buscan ofrecer menús con productos de proximidad y de temporada con el fin de favorecer una dieta saludable y equilibrada, y evitar así la comida basura.</t>
  </si>
  <si>
    <t>http://elpais.com/internacional/2019/08/06/mexico/1565054211_863699.html</t>
  </si>
  <si>
    <t>Marcelo Ebrard , durante su conferencia en El Paso . FOTO : AP VIDEO : REUTERS La matanza racista del sábado en El Paso ha llevado al Gobierno mexicano a desplegar una ofensiva diplomática y legal con consecuencias inesperadas . Marcelo Ebrard , el canciller del presidente Andrés Manuel López Obrador , ha viajado este lunes a Texas para reunirse con los familiares de los ocho mexicanos asesinados y seis heridos en los hechos de odio cometidos por un hombre blanco de 21 años en un supermercado . El viaje , sin embargo , es solo la primera muestra de una ambición mayor : el litigio por terrorismo en contra del “ lobo solitario ” que cazó a 22 personas en una comunidad donde ocho de cada diez personas son hispanas . López Obrador ha recordado este lunes que su Administración presentará una denuncia en contra del asesino , Patrick Crusius . “ Si es procedente , se va a hacer la acusación sobre prácticas terroristas al Gobierno de Estados Unidos para que actúe de conformidad con su legislación ” , afirmó en la conferencia de prensa matutina . Por la tarde , Ebrard subrayó desde El Paso su duro mensaje del domingo , donde avanzó la estrategia del ejecutivo mexicano . “ Este es un acto de terrorismo en contra de mexicanos… México definitivamente va a participar en el juicio , ahora en la investigación y en reunir la información ” , dijo el canciller en una conferencia de prensa desde el consulado mexicano de la ciudad fronteriza . Alejandro Gertz , el fiscal general de México , será quien deba hacer oficialmente la petición de extradición de Crusius por el asesinato de Juan de Dios Velázquez Chairez , Sara Esther Regalado , Adolfo Cerros Hernández , Jorge Calvillo García , Elsa Mendoza de la Mora , Gloria Irma Márquez Juárez , María Eugenia Legarreta Rothe , Iván Filiberto Manzano y Juan de Dios Velázquez Chairez . Ebrard se reunirá este martes con el fiscal Gertz para comunicarle los avances de la investigación de las autoridades estadounidenses y para sumar algunos elementos a la carpeta de investigación que la Fiscalía abrirá en México por el crimen . El canciller reconoció el mensaje que Donald Trump , el presidente de Estados Unidos , lanzó el lunes desde Washington . “ Coincidimos en que en este posicionamiento haya aparecido el racismo y la supremacía blanca como problemas serios en Estados Unidos ” , ha asegurado . El terrorismo no es un delito internacional . No es uno de los crímenes que son perseguidos en tribunales internacionales como el genocidio o delitos de lesa humanidad . En cambio , se trata de un delito trasnacional que permite a los países perseguirlos siempre y cuando tengan vínculos con los hechos y que las naciones lo contemplen en sus códigos penales , lo que se conoce como doble criminalidad . Este es el caso , lo que da a México las condiciones para solicitar a Estados Unidos la extradición del tirador . `` Jurídicamente , existen las bases '' , considera Sandra Hernández , quien litigó por más de 20 años en la Secretaría de Relaciones Exteriores . Ebrard ha reiterado que esta es la primera vez que México inicia una ofensiva como esta . Eso puede atribuirse a una regla no escrita en la ley internacional , donde los delitos de terrorismo suelen llevarse por el país donde sucedieron los hechos . Es una medida pragmática , pues las autoridades locales tienen acceso directo a los lugares de los hechos , a los testimonios de las víctimas y a las pruebas . Este será un caso judicial donde la política desempeñará un papel determinante . `` Otorgarla sería un giro en la política de extradición de Estados Unidos . Es muy difícil para un país renunciar a su jurisdicción , es una potestad de los Estados '' , añade Hernández . Otras expertas aprecian el gesto como una medida retórica . “ Jurídicamente no tiene mucho sentido ” , considera Ximena Medellín , investigadora de la división de estudios jurídicos del Centro de Investigación y Docencia Económica ( CIDE ) . La académica asegura que los procesos de extradición suelen solicitarse cuando no hay avances sustantivos en la investigación o cuando el país que juzgará el delito tiene debilidades estructurales o institucionales . Las señales de los últimos días provenientes de Estados Unidos , sin embargo , van en sentido contrario . Dejan ver que existirá una acusación robusta por los 22 homicidios que podría incluir la petición de la pena de muerte para Crusius , pues Texas es uno de los 29 Estados que continúan las ejecuciones . Una extradición obligaría a los fiscales estadounidenses a renunciar a esta pena , que no existe al sur de la frontera . “ No encuentro la ganancia para lograr la extradición . México se va a enfrentar a un no rotundo que podría desgastar la relación bilateral ” , añade Medellín . Estados Unidos tiene derecho a decir que no , señala Hernández . Es una palabra muy repetida en la relación bilateral . Los mexicanos suelen escucharla cuando han intentado extraditar para enjuiciar , por ejemplo , a agentes de la patrulla fronteriza que han dado muerte a migrantes que cruzan la frontera ilegalmente . El departamento de Justicia prefiere desahogar el proceso en sus cortes locales . Este es un caso diferente . `` Puede suceder , pero sería un gesto con el Gobierno mexicano '' , señala Hernández , quien recuerda que México tuvo un gesto similar en el año 2000 , cuando el Supremo permitió extraditar a España a Ricardo Miguel Cavallo , un torturador acusado de genocidio , por delitos cometidos en Argentina . Contra las armas A pesar de que el esfuerzo por litigar pueda ser considerado un golpe de efecto del Gobierno de López Obrador , los hechos de El Paso han servido para agitar una vieja polémica entre los vecinos norteamericanos : la posesión de armas de fuego protegida en la segunda enmienda de la Constitución de Estados Unidos . Con cautela , el presidente mexicano dijo el lunes que los republicanos y demócratas han puesto “ poca atención ” en la regulación de armamento . “ Estos lamentables hechos deben llevar a la reflexión , al análisis y a la decisión de controlar la venta indiscriminada de armas '' , afirmó el mandatario . “ Definitivamente vamos a presentar un caso en contra de la venta y distribución de armas , como el arma de asalto que segó la vida de ocho mexicanos y 14 estadounidenses ” , dijo Ebrard en Texas . Estados Unidos tiene el 42 % de las armas del planeta a pesar de tener solo el 4 % de la población . No es la primera vez que funcionarios mexicanos se quejan ante Washington por las laxas leyes que permiten la venta y tráfico de armas a México , donde se estima que entran más de 200.000 pistolas y rifles ilegales cada año . En febrero de 2012 , el presidente Felipe Calderón develó en Ciudad Juárez un gigantesco cartel con la leyenda : No more weapons ! ( No más armas ) para que pudiera ser leído desde Estados Unidos . Aquel esfuerzo simbólico se hizo a pocos kilómetros de donde Ebrard anunció hoy la ofensiva legal para reducir el mercado de armamento en Estados Unidos , una tarea en la que han fracasado cientos de políticos locales durante décadas .</t>
  </si>
  <si>
    <t>El Gobierno de López Obrador debe convencer al Departamento de Justicia de renunciar a su potestad de enjuiciar al asesino de 22 personas en Texas</t>
  </si>
  <si>
    <t>Tras la matanza en El Paso, Texas, donde murieron 22 personas, entre ellas 8 mexicanos, a manos de un joven blanco de 21 años, Patrick Crusius, el gobierno de México liderado por Andrés Manuel López Obrador respondió con una ofensiva diplomática y legal. A raíz de este hecho, el canciller Marcelo Ebrard viajó el lunes a Texas para reunirse con las familias de las víctimas y anunció que México solicitará la extradición de Crusius por terrorismo. No obstante, expertos en derecho internacional consideran la solicitud más bien simbólica que viable. Además, México también presentará un caso contra la venta de armas en EE.UU., pues la falta de su regulación contribuye a sucesos como la de El Paso.</t>
  </si>
  <si>
    <t>http://elpais.com/elpais/2019/07/17/ciencia/1563370426_198967.html</t>
  </si>
  <si>
    <t>Cierre los ojos unos segundos . Imagine un bosque lleno de vida . Los distintos animales bailan en cortejos en los que muestran sus mejores atributos , con el objetivo de reproducirse . De fondo , hay algo invisible , olores que provocan la atracción entre machos y hembras . Para asegurar la pervivencia de la especie hay un sentido que es clave : el olfato . ¿Qué sabemos sobre cómo los sentidos reciben los estímulos , o cómo los órganos asociados los captan ? Y ¿cómo , por medio del sistema nervioso , estos son conducidos y transformados en impulsos nerviosos hasta el cerebro donde son interpretados ? Lo cierto es que , las ciencias matemáticas han invertido relativamente poco esfuerzo en establecer modelos de los sentidos , que permitan entender mejor su funcionamiento . Quizás , encantados por la magia que percibimos detrás del don de los sentidos , preferimos limitar nuestra curiosidad y no arriesgarnos a romper el hechizo . Sin embargo , recientemente se están realizando los primeros avances . En su evolución , el cerebro de los seres vivos ha desarrollado habilidades que les permiten beneficiarse al máximo del entorno , solucionando los problemas de supervivencia y reproducción en el ancestral ambiente cazador-recolector . Los sentidos son la herramienta básica con que recibimos los estímulos provenientes del medio ambiente . Y son también responsables de nuestra percepción de la belleza del mundo , circunstancia que explica la aparición del arte . La dinámica detrás de esta dualidad estímulo-sentido es virtuosa , principalmente , a muy temprana edad : en el seno materno se comienzan a construir los circuitos neuronales y estos van disminuyendo hacia los 8-10 años ; y a partir de los 10 , no se desarrollan prácticamente nuevas conexiones , sino que se desarrollan nuevas habilidades , utilizando las conexiones ya establecidas en los primeros años . La relación estímulo-sentido influye enormemente en el desarrollo neuronal , estableciendo conexiones y sinapsis neuronales . Estas , a su vez , dan lugar a estructuras funcionales en el cerebro que permitirán configurar las condiciones para el aprendizaje futuro , aumentar la sensibilidad estética y desarrollar la creatividad . En particular , el sistema olfativo ­–formado esencialmente por redes de neuronas–recibe en la mucosa nasal las feromonas , pequeñas moléculas con las características químicas de un olor , que ponen en marcha los procesos físico-químicos que terminan generando una leve corriente eléctrica , el impulso nervioso , que llega al cerebro a través de los axones neuronales . Esta corriente es la que genera la información en nuestro cerebro de percepción de un olor concreto . Todo estudio de sistemas biológicos debe comenzar por comprender la fisiología subyacente , y los modelos matemáticos permiten ver más allá de lo que alcanzan los microscopios electrónicos a día de hoy . Con ellos se logra un mejor conocimiento de la microestructura física y fisiológica que gobierna , en el caso del olfato , la conversión de información química sobre olores en un impulso nervioso . En particular , se ha conseguido entender el rol de los llamados cilios olfatorios , que pueblan el extremo más lejano de los axones que alcanzan la mucosa nasal . El matemático Carlos Conca . Para construir estos modelos son fundamentales las técnicas matemáticas de problemas inversos . Estos se caracterizan por el hecho de que los parámetros centrales del modelo son obtenidos a partir de los datos observados . Un ejemplo típico es una ecografía , donde se conoce cómo un chasquido de ondas de ultra sonido rebota en los tejidos corporales y a partir de ello se desea determinar la composición y forma de los mismos . Pero , por el momento , el proceso de procesamiento del impulso nervioso generado es un gran misterio . Intuitivamente , podríamos decir que experimentamos una emoción que afecta nuestro comportamiento : podemos sentir desagrado , excitación , recuperar un recuerdo ... Pero no sabemos cómo se provoca ese mecanismo . Por supuesto , el funcionamiento de los cuatro sentidos restantes ­–visión , oído , tacto y gusto– encierra preguntas y desafíos similares : ¿cómo procesa nuestra conciencia los estímulos externos una vez reducidos a impulsos nerviosos ? Y , después , ¿cómo este mecanismo nos lleva a convertirnos en quiénes somos ? ¿Cómo podemos abordar estos desafíos desde la matemática ? ¿Es posible proporcionar a fenómenos de tal alcance una representación matemática que nos permita comprender y actuar ? Las respuestas a muchas de estas grandes preguntas serán tarea para la ciencia del futuro . Carlos Conca es profesor en el Departamento de Ingeniería Matemática e investigador del Centro de Modelamiento Matemático de la Universidad de Chile . Impartió la conferencia “ Modelling our sense of smell ” en el congreso ICIAM 2019 .</t>
  </si>
  <si>
    <t>Los modelos matemáticos permiten ver más allá de lo que alcanzan los microscopios electrónicos a día de hoy , ofreciendo un mejor conocimiento de la microestructura física y fisiológica que gobierna el olfato</t>
  </si>
  <si>
    <t>El artículo analiza la conexión entre los sentidos y el cerebro, centrándose en el olfato. En este sentido, se explica cómo el sistema olfativo convierte las feromonas que recibe en impulsos nerviosos que llegan al cerebro. Para entender estos procesos, son fundamentales las técnicas matemáticas; sin embargo, aún hay dudas y desafíos en este campo. Finalmente, en el artículo se hace referencia al matemático Carlos Conca, profesor en el Departamento de Ingeniería Matemática e investigador del Centro de Modelamiento Matemático de la Universidad de Chile, quien impartió una conferencia al respecto en el congreso ICIAM 2019.</t>
  </si>
  <si>
    <t>http://elpais.com/ccaa/2019/07/02/madrid/1562051236_216739.html</t>
  </si>
  <si>
    <t>Fernando Navarro ( 76 años , Madrid ) va por la calle con una copia de La educación de las hadas , que protagoniza Ricardo Darín : “ Se la prometí a la odontóloga , una película maravillosa ” . En Vallecas , regentó durante 38 años uno de los videoclubes más antiguos de Madrid , Import Vídeo , y ahora se jubila . Antes , las pilas de filmes llegaban hasta el techo , un local entero tapizado por cajas rectangulares de plástico . Ahora , solo quedan algunos VHS en una esquina y estuches vacíos . La colección , de más de 50.000 unidades , según Navarro , la vendió a una empresa catalana que comercializa filmes por Amazon . El dueño de Import Vídeo se ubica detrás del mostrador para la entrevista . Es la costumbre , dice : “ Años y años y años , y días y días , todos los días , se crea un hábito ” . Dos jóvenes interrumpen al ver la puerta abierta . -- Está cerrado , señores , aquí ya no hay películas . Se cerró y se liquidó . -- Pues lo sentimos . Una pena , macho , que cierren así videoclubes . Se jubila ... Respuesta . Me jubilo ya , sí . Por la edad , que es avanzada , y porque el alquiler estaba decreciendo cada vez más . No me habría gustado ser una tienda solo de venta de películas usadas . ¿Por qué ? A largo plazo iba en contra de todo en lo que yo he trabajado , que era traer todas las películas . Aquí estaban todas . El Corte Inglés y Fnac no tienen el fondo de películas que yo tenía . ¿Cómo recuerda los primeros años al frente del local ? Eran unos años en los que en España circulaba el dinero . Y claro , España ha sido siempre un país con mucha afición cinematográfica y producción . En distintos barrios , en distintos círculos sociales , en todos funcionaba mucho . En comparación , ¿cómo fueron los últimos años ? No son comparables . Los clientes habituales ya dejaban de venir . Uno quizás venía una vez al mes o una vez al trimestre o una vez al año . ¿Quién venía ? Pues , quizás uno que tenía el capricho ... Pero eso no era rentable . ¿Cuáles han sido las películas más memorables ? Ha habido tantísimas en el transcurso de 38 años . Mujeres al borde de un ataque de nervios , la de [ Pedro ] Almodóvar , arrolló . Tuve que pedir más copias . En total , tenía 12 , pero no se crea que eran muchas para esa película . Durante un mes o más se alquilaron todos los días . Fue un momento en el que Almodóvar pegó muy fuerte en España , de lo cual me alegré , yo siempre he defendido nuestro cine . Últimamente , Campeones tuvo mucho éxito . Por la película y por la humanidad que despega . También tuve que repetir pedido con esa , pero muy poca repetición : de una pasé a tres . ¿Conserva algunas ? Muchas menos de las que hubiera querido , porque a veces por el trabajo no realizas el placer . Por ejemplo , la segunda versión de Blade Runner , de Denis Villeneuve , no la tengo ni la he visto . ¿Vida real o vida de película ? Es muy difícil responder . Si la de las películas es como en Ladrón de bicicleta , de Vittorio De Sica , prefiero la real ; pero si es como en El gran Gatsby , casi prefiero la de las películas . Ahí depende , pero vamos , yo creo que siempre es mejor la vida real . ¿Qué elige : VHS , DVD , plataformas ... ? El VHS y el DVD no son comparables : 100 veces antes el DVD por la calidad y la comodidad . Plataforma , no . Porque la película quiero tenerla yo y escogerla yo , no la que me dé la plataforma y depender de eso . De niño leía mucho y tenía mis libritos en mi estantería . Yo me crie en eso y soy de ese criterio . Una plataforma es cómoda , eso es indiscutible . Si tienes mucho trabajo , no tienes tiempo , no sabes mucho de cine , ponte la plataforma , pues si no te gusta esa película vas a próxima y tienes varias , pero es otra forma de ver cine . ¿No tiene Netflix ? No , pero no digo que no lo vaya a tener . Hay personas que nunca han pisado un videoclub , ¿qué se pierden ? Se han perdido tener las películas , escogerlas y tener su criterio . Ahora tendrán que elegir por lo que les dé un tercero . Ojalá el Corte Inglés y Fnac sigan vendiendo películas , pero claro , ¿cómo van a comprar películas a 20 euros las nuevas generaciones de jóvenes ? Es triste que yo me haya jubilado con el IVA al 21 % en el vídeo . Si las películas nuevas valieran cinco euros , mucha más gente las compraría y en el usado valdrían la mitad . Y eso está al acceso del joven . Hay que hacerlo por el cine . Para crear de nuevo afición fuerte al cine . ¿Por qué ? Culturalmente es importante . Si no se hace , va en detrimento de la cultura del pueblo . Películas prestadas a 10.000 vecinos Fernando Navarro llegó a tener cinco locales de alquiler y venta de películas en Madrid . El dueño de Import Vídeo recuerda bien que uno de los primeros filmes que tuvo fue Conan , el bárbaro y también sabe de memoria que el último socio que se registró fue el 10.618 . Sigue con nosotros la actualidad de Madrid en Facebook , en Twitter y en nuestro Patio de Vecinos en Instagram</t>
  </si>
  <si>
    <t>Fernando Navarro regentó durante 38 años uno de los videoclubes más antiguos de Madrid antes de jubilarse este año</t>
  </si>
  <si>
    <t>Fernando Navarro, regente de uno de los videoclubes más antiguos de Madrid, Import Vídeo, se jubila tras 38 años de transcurso, cinco locales de alquiler y venta de películas en Madrid y más de 10.600 socios. En cuanto a su colección de más de 50.000 unidades, la vendió a una empresa catalana que comercializa filmes por Amazon. Fernando rememora las películas más demandadas, como la de "Mujeres al borde de un ataque de nervios", de Pedro Almodóvar y reflexiona acerca de las plataformas y los videoclubes y cómo las segundas te anulan el criterio a escoger las películas de forma independiente.</t>
  </si>
  <si>
    <t>http://elpais.com/economia/2019/09/04/actualidad/1567623137_247012.html</t>
  </si>
  <si>
    <t>Tal como reconoce Ginés Clemente , fundador y consejero delegado de Aciturri , fabricante de componentes aeronáuticos de Miranda de Ebro ( Burgos ) que acaba de adquirir Alestis , su empresa no tenía más opción que crecer . “ Había que ganar tamaño para reducir costes , ser más competitivos y estar en línea con otras Tier 1 [ proveedores de primera línea ] de Airbus , más grandes que Aciturri ” , explica . Así que , descartada la adquisición de un fabricante similar en el exterior , Alestis era “ la única alternativa disponible ” . Solo esta empresa , con sede en Sevilla , tiene la talla para que , unida a Aciturri , conforme un grupo de cierto tamaño : entre las dos facturaron 585 millones de euros en 2018 y reúnen 18 plantas con 3.100 trabajadores . Además , la sevillana le iba como anillo al dedo . Son dos empresas bastante complementarias , ya que trabajan en la misma línea de componentes aeronáuticos . “ Entre las dos tenemos todas las tecnologías para hacer el cono trasero de cualquier avión ” , explica Clemente . El hecho de que Alestis , a resultas de sus problemas , estuviera a la venta facilitaba la unión . Después de unos meses de retraso , la operación se firmó el 30 de julio . Aciturri se hizo con el 75,94 % de la empresa mientras la SEPI mantiene su 24,06 % . Los vendedores fueron Airbus , que llevaba cinco años al frente de la compañía y cedió su 60,64 % ; y Unicaja , que vendió su 14 % . Aun cuando la compra ha creado un grupo dos veces más grande , el objetivo del empresario es volver a doblarlo hasta los 1.000 millones de euros de facturación , “ en línea con nuestros competidores europeos ” . A pesar de que Aciturri no ha parado de multiplicarse en los últimos años , su consejero delegado insiste en que necesitaba más tamaño para asegurarse el futuro . “ Si quieres mantener la posición de Tier 1 tienes que tener talla ” , afirma . Y 300 millones de euros de facturación era una cifra pequeña teniendo en cuenta que buena parte de las Tier 2 de Europa que trabajan para Airbus facturan más de mil millones . Los últimos años ha habido una fuerte concentración entre los grandes proveedores de componentes , empujada por Boeing y Airbus , que quieren reducir su cifra y elevar su eficiencia . El tamaño del nuevo grupo ayudará también a Clemente en sus planes de diversificación . Uno de los objetivos es reducir su actual dependencia de Airbus , que aporta cerca del 70 % de la facturación . La idea es conseguir mayor carga de trabajo en Norteamérica , donde ya tiene como cliente a Boeing ( con el 20 % de la facturación ) y busca trabajar para los demás constructores aeronáuticos del país . “ América es nuestro primer objetivo de internacionalización ” , dice . De conseguir nuevos contratos , la empresa podría construir alguna planta ahí . Tampoco descarta instalarse en Asia , junto a alguna de las factorías de Airbus en la región . División de motores Otro de los puntales de la diversificación es su emergente división de motores , Aciturri Aeroengines , impulsada en 2016 y llamada a crecer frente a la tradicional Aciturri Aerostructures , dedicada a los conjuntos de ala , fuselaje o empenaje . Aeroengines ya cuenta con clientes como Safran , Rolls Royce , GE e ITP y factura el 8 % del total de la empresa , con el objetivo de alcanzar el 18 % en 2020 . “ Queremos que los motores lleguen a tener un peso del 30 % ” , indica Clemente . Aunque Aciturri y Alestis estaban condenadas a juntarse , la operación no fue fácil . Fueron necesarios dos años de negociaciones para clarificar cuestiones como la gigantesca deuda de Alestis , de 285 millones de euros . La empresa sevillana , que entró en concurso de acreedores en 2012 y salió en el 2014 , logró un aplazamiento de siete años para empezar a pagarla en un proceso que se alargará hasta 2034 . Aciturri trató también de conseguir garantías de Airbus para elevar los pedidos a Alestis ( de entre 80 y 90 millones de euros ) . Pero no logró compromisos cuantificados : “ No nos han garantizado más carga de trabajo , sino que , si hacemos las cosas bien , en precio , servicio y prestaciones , habrá más pedidos ” , explica . Alestis tiene un exceso de capacidad del 30 % con lo que , para cubrirlo “ necesita entre 70 u 80 millones de carga adicional ” , aclara . De no recibir esos pedidos , la sevillana tendría que reducir capacidad , cerrar fábricas y eliminar empleo , una posibilidad que Clemente ni siquiera contempla , aunque reconoce que , pese al fuerte crecimiento de Airbus , las condiciones se están endureciendo . “ Hay más proveedores que hace años ya que han llegado programas nuevos , y cierta sobrecapacidad debido al cese del A380 ” , a lo que habría que añadir que Airbus está aportando más carga de trabajo a proveedores locales , situados en sus principales mercados , América y Asia . Es posible que el empresario haya vuelto a lanzarse a la piscina . Es su cuarta adquisición después de Grupo Aries ( 2008 ) , Aeronáutica del Sur ( 2010 ) y Acatec Aeroassembling ( 2019 ) , pero Alestis es una empresa tan grande como Aciturri y su situación sigue sin ser boyante . De hecho , los nuevos propietarios inyectaron urgentemente 80 millones de euros para darle liquidez . Aun cuando ha mejorado su eficiencia y empieza a mostrar signos de rentabilidad , necesita una reconversión que corrija los errores del pasado , una pertinente falta de recursos financieros , una plantilla inflada y la puesta en marcha de programas no rentables . Para evitar la contaminación entre ambas , Clemente ha decidido que caminen por separado , al menos hasta que se solucionen los problemas de Alestis . De momento , Aciturri va como una moto , bate récords de entregas y tiene un objetivo de facturación de 400 millones de euros en 2020 , un 30 % más que en 2018 . La fecha decisiva será 2024 , cuando se hayan liquidado los dos primeros pagos del plan de amortización de deuda , una parte muy importante de los 285 millones . Si Alestis logra la rentabilidad para hacer esos pagos , se abre entonces el camino a la fusión de las dos . Pese a las dimensiones del desafío que le espera , el directivo cree que se dan las condiciones para culminar con éxito su proyecto , impulsado por un sector que crece a velocidad de crucero en número de aviones , “ al 4 % o 5 % anual ” , y que “ necesita 35.000 nuevas aeronaves en los próximos 20 años ” .</t>
  </si>
  <si>
    <t>La compra de Alestis le permite reforzarse como proveedor de componentes en una industria cada vez más competitiva</t>
  </si>
  <si>
    <t>Ginés Clemente, fundador de Aciturri, fabricante de componentes aeronáuticos en Burgos, ha adquirido la empresa sevillana Alestis para ganar tamaño y reducir costes, y ser así más competitivos en el sector. Con esta unión, el grupo busca reducir su actual dependencia de Airbus, uno de los venderos junto a Unicaja, y conseguir mayor carga de trabajo en Norteamérica. Ambas empresas son complementarias y trabajan en la misma línea, pero han tenido que hacer frente a algunos desafíos, como la deuda de Alestis. Aún así, Aciturri bate récords de entregas y el directivo confía en que el proyecto culminará con éxito.</t>
  </si>
  <si>
    <t>http://elpais.com/economia/2019/08/01/actualidad/1564646483_824043.html</t>
  </si>
  <si>
    <t>El verano comenzó con una subida media en la llegada de visitantes internacionales a España , pero el entusiasmo se esfuma en algunas zonas costeras . En total , llegaron en junio 8,8 millones de turistas extranjeros , un 3,2 % más que en el mismo mes de 2018 . Cataluña se mantiene como la comunidad más visitada ese mes ( 2,15 millones de turistas ) , y crece un 2,2 % . Las llegadas a Madrid se disparan un 14,9 % ( hasta los 693.021 turistas ) y hacia Andalucía , un 6,4 % ( hasta 1,24 millones ) . Sin embargo , las nubes se posan sobre las islas . Baleares recibió 2,06 millones de visitantes , un 2,6 % menos que en 2018 ; Canarias , la región que más se desinfla este año , pierde un 7 % interanual , y registra 931.810 visitantes . España sigue de moda entre los turistas europeos , en especial , entre británicos , franceses y alemanes , los tradicionales nichos de turistas . Sin embargo , la inestabilidad política , la debilidad de la libra y la competencia de destinos de sol y playa más baratos están haciendo que las llegadas desde el Reino Unido caigan , al menos , en junio . En total , llegaron 2,1 millones de turistas británicos , lo que representa el 23,3 % del total y un descenso del 5,3 % respecto a junio del año pasado . La caída de británicos , eso sí , se vio compensada por Alemania y Francia , los siguientes países con más turistas que visitan España . Alemania aportó 1,3 millones ( un 8,4 % más en tasa anual ) y Francia casi un millón ( un 8 % más ) . Entre el resto de países de procedencia cabe destacar los crecimientos anuales de los turistas procedentes de Suiza ( 20,1 % ) , Portugal ( 17,9 % ) y Estados Unidos ( 9,4 % ) . Destacan las bajadas de los países nórdicos ( el 9,2 % menos ) e Italia ( 3,1 % menos ) . Más tren y menos barco La vía aeroportuaria es la que sirve de entrada al mayor número de turistas en junio , con más de 7,5 millones , lo que supone un aumento anual del 3,6 % . Por carretera llega un 2,9 % más de turistas y por ferrocarril un 27,6 % más . Por el contrario , por puerto accede un 17 % menos . La duración de la estancia mayoritaria entre los turistas en junio es la de cuatro a siete noches , con más de 4,3 millones de turistas y un incremento anual del 1,6 % . Lo que más crece son las `` escapadas '' , viajes de dos a tres noches , que realizan 1,79 millones de visitantes , el 22,2 % más . Por tipo de estancia , el número de turistas que utiliza el alojamiento de mercado ( es decir , de pago ) aumenta un 3,5 % en tasa anual , y es el mayoritario , con 7,44 millones de turistas extranjeros . Dentro de este tipo , el alojamiento hotelero crece un 4,2 % , mientras que la vivienda en alquiler desciende un 2 % . Por su parte , el alojamiento de no mercado ( no incluye un pago reglado ) se incrementa un 1,5 % , hasta 1,38 millones de usuarios . Los turistas alojados en vivienda de familiares o amigos bajan un 4,1 % , mientras que los hospedados en vivienda en propiedad ( generalmente , segundas residencias ) suben un 16,4 % . Un semestre todavía de buenas cifras Si se amplía la foto de la llegada de visitantes a todo el semestre , España todavía registra crecimiento en casi todas las regiones . Entre enero y junio , el número de turistas creció el 2,8 % y roza los 38,2 millones . Los principales países emisores en lo que va de año también son el Reino Unido ( 8,3 millones de turistas , el 1,4 % menos ) , Alemania ( 5,3 millones , un 3,4 % más ) y Francia ( 4,7 millones , 2,2 % menos ) . A Cataluña llegan cerca de 8,9 millones de turistas en el primer semestre , un 2,5 % más que el año pasado . A Andalucía viaja un 6,3 % más de turistas , hasta 5,6 millones . Canarias vuelve a ser el farolillo rojo en las cifras del semestre : las llegadas disminuyen el 2,8 % , hasta 6,6 millones . Baleares , si se analiza el semestre , todavía aguanta con cifras positivas , al crecer el 1,9 % con respecto a 2018 .</t>
  </si>
  <si>
    <t>España recibió en junio 8,8 millones de turistas internacionales , un 3,2 % más , pero caen las llegadas de visitantes en las islas</t>
  </si>
  <si>
    <t>En junio llegaron a España 8,8 de turistas extranjeros, un 3,2% más que en el mismo mes de 2018, país de moda entre los turistas europeos, en especial, entre británicos, franceses y alemanes. Cataluña sigue siendo la comunidad más visitada y experimenta una crecida de turistas, al igual que Madrid y Andalucía. No obstante, las islas, Baleares y Canarias, pierden turistas. Algunas de las causas que están haciendo que caigan las visitas, especialmente de Reino Unido, son la inestabilidad política, la debilidad de la libra y la competencia de destinos de sol y playa más baratos. No obstante, esta caída se ve compensada por Alemania y Francia, así como por turistas procedentes de Suiza, Portugal y Estados Unidos. Con vistas a todo el semestre, España registra crecimiento en casi todas las regiones y algunas de las islas, como Baleares, se mantiene con cifras positivas.</t>
  </si>
  <si>
    <t>http://elpais.com/elpais/2019/09/10/icon/1568113526_178108.html</t>
  </si>
  <si>
    <t>Sarah Palin ha vuelto a la actualidad en las páginas de sociedad ( las de política , en su Estados Unidos natal , no las abandonó del todo nunca ) debido a la noticia de su divorcio . Tras 31 años de matrimonio , Todd Palin ha pedido el divorcio a la exgobernadora de Alaska y candidata a vicepresidenta en 2008 por “ incompatibilidad de temperamento ” . Lisa Ann respondió a una oferta de trabajo donde se requería a una actriz de cine para adultos que se pareciese a Sarah Palin para interpretarla en una película por la que cobraría 3.000 dólares ( unos 2.717 euros ) , una cifra bastante elevada para un trabajo que iba a llevar dos días Sarah Palin ( Idaho , Estados Unidos , 1964 ) fue un fenómeno sin precedentes en la política estadounidense . Hoy puede sonar ya casi costumbrista en plena era de Donald Trump y Boris Johnson , pero por aquel entonces la presencia de una candidata ( del partido Republicano ) a la vicepresidencia del país que domina el mundo con un currículum dudoso , soflamas populistas y una manifiesta ignorancia en temas claves para la política internacional la convirtió en una estrella mediática y objeto de fascinación para todo tipo de espectadores . Eso se tradujo en memes , merchandising , infinidad de parodias en televisión , una fantástica película de HBO donde le dio vida Julianne Moore ( Game change , de 2012 , que ganó tres Globos de Oro y cuatro Emmys ) y otras seis películas donde le dio vida Lisa Ann ( Easton , Pensilvania , 1972 ) . Estas seis películas no tienen nada que ver con Game change : su público potencial es otro y se rodaron en apenas días . Eran películas porno . Palin , ex Miss Alaska y una extraña fantasía erótica para infinidad de estadounidenses , saltaba al cine prohibido . Póster de 'Obama is nailin ' Palin ' . una de las seis películas que la actriz pornográfica Lisa Ann hizo interpretando a una parodia de la exgobernadora de Alaska y candidata a la vicepresidencia estadounidense en 2008 , Sarah Palin . La primera , de título Who ’ s nailing Paylin ? ( `` ¿Quién se la está clavando a Paylin ? '' ) se estrenó el día de las elecciones generales de 2008 en Estados Unidos . Sus secuelas tienen títulos igual de directos : Obama se la clava a Palin , Letterman se la clava a Palin , Tú se la clavas a Palin , Hollywood se la clava a Palin y ¿Quién se la está clavando a Palin ? 2 . Todas ellas están producidas por Hustler , propiedad del rey del porno Larry Flint , que a su modo era otro agente del cine para adultos convertido en figura política en 1983 cuando se presentó como candidato por el partido republicano . Lisa Ann se pronunciaba políticamente : la que hacía de versión porno de Sarah Palin apoyó abiertamente a su rival Barack Obama tanto en 2008 como en 2012 Lo que Lisa Ann no se esperaba era que esa serie de productos porno hechos a modo de parodia resucitasen su carrera . Había sido una estrella en los años noventa , una década en la que estuvo en activo desde 1994 hasta 1997 . Después decidió actuar únicamente en clubes de strip-tease hasta que volvió a rodar películas pornográficas en 2006 . Dos años después respondió a una oferta de trabajo en la plataforma Craiglist ( una web de anuncios por palabras enormemente popular en Estados Unidos ) donde se requería a una actriz de cine para adultos que se pareciese a Sarah Palin para interpretarla en una película por la que cobraría 3.000 dólares ( unos 2.717 euros ) . Una cifra bastante elevada para un trabajo que iba a llevar dos días . En esta película su nombre era Serra Paylin y mantenía sexo con otras intérpretes que hacían de Hillary Clinton o Condoleezza Rice . La popularidad de la cinta fue tal que la actriz dio entrevistas a revistas femeninas como Marie Claire o programas generalistas como Entertainment Tonight , algo impensable para una película de estas características . Who 's nailing Paylin ? fue objeto de debate político en la cadena Fox ( de ideales republicanos ) , masacrada por la crítica , adorada por el público y , sobre todo , convirtió a Lisa Ann en una de las actrices porno más famosas del mundo . Una actriz , además , que se pronunciaba políticamente : la que hacía de versión porno de Palin apoyó abiertamente a Barack Obama tanto en 2008 como en 2012 . El vídeo de 'We made you ' , de Eminam , en el que Lisa Ann aparecía entre otras estrellas del cine para adultos . En 2009 , el rapero Eminem la llamó para interpretar de nuevo a Sarah Palin en el videoclip de We made you , que llegó al top 10 de la lista de sencillos estadounidense más vendidos y acumula más de 200 millones de visionados en YouTube . En 2014 , el informe anual de Pornhub , la web porno más popular del mundo , la situó en el número uno de las listas de las más buscadas . Ese mismo año anunció su retirada del mundo del porno para centrarse en sus negocios , en su propia web ( donde seguía haciendo shows a través de webcam ) y , sobre todo , en su nuevo papel como gurú del fantasy , un tipo de juego futbolístico online en el que se pueden crear equipos ficticios con jugadores reales y competir contra amigos y familia . Esta reconversión de estrella porno a gurú de un negocio en auge llamó la atención de medios como The Guardian , que le dedicó un largo artículo . Al año siguiente , Ann publicaba sus memorias . Hoy , Lisa Ann ha vuelto al porno , pero como vuelven las grandes estrellas del género que se lo pueden permitir : eligiendo los proyectos y a sus compañeros de escena . Además , pretende cambiar desde dentro una industria en la que aún sigue habiendo conflictos raciales contra los que lucha activamente y también crear una infraestructura que proteja a los intérpretes porno que se jubilan . A su modo , la actriz porno que se hizo famosa por interpretar a una política ha acabado haciendo política de verdad . Por si alguien se lo pregunta : sí , existe también una cinta pornográfica que parodia a Donald Trump . Otra cosa es si alguien tiene tantas ganas de ver eso como tenían todos los que , en secreto , deseaban a Sarah Palin . Puedes seguir ICON en Facebook , Twitter , Instagram , o suscribirte aquí a la Newsletter .</t>
  </si>
  <si>
    <t>La noticia del divorcio de la que fue candidata a la vicepresencia de Estados Unidos en 2008 devuelve su nombre a la prensa de sociedad y también el recuerdo de Lisa Ann , la estrella para adultos que la interpretó en seis películas</t>
  </si>
  <si>
    <t>Lisa Ann es la actriz pornográfica conocida por interpretar a Sarah Palin, exgobernadora de Alaska y candidata a vicepresidenta en 2008, en varias películas paródicas. A raíz del acontecimiento del divorcio de Sarah Palin con Todd Palin, se relata la trayectoria de Liss Ann quien, tras seis películas interpretando a Palin y una pausa en su carrera exitosa, ha retomado su carrera en el cine para adultos de manera selectiva.</t>
  </si>
  <si>
    <t>Resumen:
Joel Joan y Hèctor Claramunt escribieron una obra de teatro titulada "El pare de la núvia" para el actor Joan Pera. La comedia gira en torno a la boda de la hija de Francesc Ramon (interpretado por Pera), que da un giro inesperado cuando descubre que la madre del novio fue su antigua amante y posiblemente el padre biológico del novio.
La obra, dividida en cinco actos, fue estrenada en el Teatre Condal de Barcelona. Joan Joan la define como una comedia romántica con diálogos similares a la telecomedia "Plats bruts". El protagonista, Pera, interpreta a un maestro galletero millonario que planea una boda espectacular, pero el descubrimiento de una posible relación incestuosa genera el conflicto principal.
El reparto incluye a Sergi Vallès, Marc Rius, Anna Carreño, Pep Sais y Maife Gil. Pera, conocido por doblar a Woody Allen, expresa su satisfacción de trabajar con actores jóvenes y su pasión por el teatro.</t>
  </si>
  <si>
    <t>Resumen de los contenidos más relevantes:
Joel Joan y Hèctor Claramunt escribieron una comedia teatral titulada "El pare de la núvia" para el actor Joan Pera. La obra gira en torno a una boda que se complica cuando el padre de la novia descubre que la madre de su futuro yerno fue su antigua amante, temiendo que los novios sean hermanos. Es una comedia romántica con un estilo similar a la telecomedia "Plats bruts", dividida en cinco actos. Joan Pera interpreta a Francesc Ramon, un maestro galletero millonario que organiza una boda extravagante, y el reparto incluye a otros actores como Sergi Vallès, Marc Rius, Anna Carreño, Pep Sais y Maife Gil.</t>
  </si>
  <si>
    <t>Aquí tienes el resumen usando el método 5W1H:
**QUÉ**: Una comedia teatral titulada "El pare de la núvia" con una trama sobre una boda que da un giro inesperado.
**QUIÉN**: 
- Autores: Joel Joan y Hèctor Claramunt
- Protagonista: Joan Pera (interpreta a Francesc Ramon)
- Otros actores: Sergi Vallès, Marc Rius, Anna Carreño, Pep Sais y Maife Gil
**CUÁNDO**: Estrenada el sábado en el Teatre Condal de Barcelona
**DÓNDE**: Teatre Condal de Barcelona
**POR QUÉ**: 
- Encargo de unos productores para escribir una obra con un título predeterminado
- Reto creativo de los autores
- Crear una comedia romántica cercana al público
**CÓMO**:
- Estructura clásica dividida en cinco actos
- Trama basada en un padre que descubre que la madre de su futuro yerno fue su amante
- Comedia con diálogos inspirados en la telecomedia "Plats bruts"
- Incluye elementos espectaculares como compañía de circo, orquesta sinfónica y pirotecnia</t>
  </si>
  <si>
    <t>TLDR: Joel Joan y Hèctor Claramunt escribieron una comedia teatral titulada "El pare de la núvia" para Joan Pera, con un argumento original: un padre descubre que la madre de su futuro yerno fue su amante, temiendo que los novios sean hermanos. La obra se estrenó en el Teatre Condal de Barcelona, con un estilo de comedia inspirado en la telecomedia "Plats bruts". Pera interpreta a Francesc Ramon, un maestro galletero millonario que organiza una boda elaborada. El reparto incluye a Sergi Vallès, Marc Rius, Anna Carreño, Pep Sais y Maife Gil.</t>
  </si>
  <si>
    <t>Resumen de "The King":
La película, dirigida por David Michôd y protagonizada por Timothée Chalamet, es una adaptación de obras de Shakespeare sobre Enrique V, que va más allá de una simple versión "millennial". La cinta mantiene la esencia shakespeariana en diálogos, interpretaciones y profundidad temática.
Basada en las obras "Enrique IV" y "Enrique V", la película destaca por su tratamiento histórico y poético, con frases que revelan complejidad emocional. Se compara con adaptaciones cinematográficas previas como las de Olivier, Welles y Branagh.
Chalamet interpreta a Enrique como un personaje paradójicamente firme pero de apariencia enfermiza, mientras que Joel Edgerton ofrece una versión contenida de Falstaff. La banda sonora de Nicholas Brittell complementa la narrativa.
La película, distribuida por Netflix, logra ser una adaptación sólida de Shakespeare, aunque sin marcar un hito definitivo en el género. Se estrena en cines y plataforma en noviembre de 2019.</t>
  </si>
  <si>
    <t>Resumen conciso del texto:
La película "The King" de David Michôd, protagonizada por Timothée Chalamet, es una adaptación shakespeariana de las obras Enrique IV y Enrique V. A pesar de ser etiquetada como un "Shakespeare para millennials", la película ofrece una profunda interpretación histórica con diálogos líricos y complejidad épica. 
Puntos clave:
- Adaptación cinematográfica de obras de Shakespeare
- Protagonizada por Timothée Chalamet como Enrique V
- Interpretación sólida y no superficial de la historia
- Mantiene el espíritu shakespeariano en escenarios, diálogos y subtextos
La película se distingue por su tratamiento serio del material histórico, rechazando la idea de ser una versión ligera para una generación supuestamente poco preparada.</t>
  </si>
  <si>
    <t>Aquí está el resumen usando el método 5W1H:
**QUÉ**: The King, película inspirada en obras de Shakespeare sobre el rey Enrique V, una adaptación cinematográfica con profundidad lírica y épica.
**QUIÉN**: 
- Dirección: David Michôd
- Protagonistas principales: Timothée Chalamet (como Enrique), Joel Edgerton (como Falstaff), Robert Pattinson
**CUÁNDO**: 
- Estrenada en el festival de Venecia
- En cines el 18 de noviembre
- En Netflix el 1 de noviembre de 2019
**DÓNDE**: 
- Producción australiana 
- Contexto histórico: Inglaterra medieval, guerra civil con escoceses y galeses
**POR QUÉ**: 
- Reinterpretar obras de Shakespeare
- Explorar la transformación de un príncipe joven en un estratega político
- Mostrar la complejidad de las pasiones y el poder real
**CÓMO**: 
- Adaptación libre de Enrique IV y Enrique V
- Con diálogos poéticos y profundos
- Interpretaciones que rompen estereotipos de representaciones anteriores
- Banda sonora envolvente de Nicholas Brittell</t>
  </si>
  <si>
    <t>Here's a concise summary of the review for "The King":
Key Points:
- Netflix-distributed film directed by David Michôd, based on Shakespeare's Henry IV and Henry V
- Contrary to "Shakespeare for millennials" label, the film is deeply nuanced and poetic
- Timothée Chalamet plays Henry V as a paradoxical character: seemingly frail but resolute
- Joel Edgerton portrays Falstaff with a more subdued interpretation
- Features excellent cinematography and a compelling Nicholas Brittell soundtrack
- Follows Henry V's early struggles with civil wars and court dynamics
- Compares favorably to previous film adaptations like Olivier's and Branagh's versions
Critical Assessment:
- Solid adaptation that transcends generational stereotypes
- Maintains Shakespearean depth in dialogue, themes, and character complexity
- Notable for its poetic lines and subtle character developments
- Ultimately a respectable Shakespeare interpretation, though not groundbreaking
Verdict: A serious, thoughtful historical drama that shouldn't be dismissed as merely a millennial-targeted film.</t>
  </si>
  <si>
    <t>Resumen:
En 2018, la Comunidad de Madrid superó los límites anuales de dióxido de nitrógeno (NO₂) y ozono (O₃). Las principales causas son:
1. Tráfico vehicular: Principal fuente de NO₂, especialmente en vías principales.
2. Ozono troposférico: Generado por precursores como óxidos de nitrógeno y compuestos orgánicos volátiles, intensificado por radiación solar.
Zonas más afectadas:
- Corredor del Henares
- Estación de Coslada
- Municipio de Madrid (especialmente Ramón y Cajal y Plaza Elíptica)
La Comisión Europea, a través del comisario Karmenu Vella, manifestó preocupación y solicitó reforzar las medidas de calidad del aire, particularmente en Madrid y el área metropolitana de Barcelona, por incumplir los límites normativos europeos.</t>
  </si>
  <si>
    <t>Resumen de los puntos más relevantes:
La Comunidad de Madrid superó en 2018 los límites anuales de contaminación por dióxido de nitrógeno (NO2) y ozono (O3). Las principales causas son:
1. Tráfico de vehículos de combustión, especialmente en zonas como el Corredor del Henares y la Plaza Elíptica.
2. Emisiones cercanas a la capital.
3. Presencia de precursores como óxidos de nitrógeno y compuestos orgánicos volátiles bajo fuerte radiación solar.
La Comisión Europea mostró preocupación, enviando una carta a la ministra de Transición Ecológica para solicitar medidas de mejora de la calidad del aire, debido a las superaciones de NO2 en Madrid y Barcelona que vulneran los límites europeos.</t>
  </si>
  <si>
    <t>Aquí está el resumen utilizando el método 5W1H:
**QUÉ**: Superación de límites de contaminación por dióxido de nitrógeno (NO2) y ozono (O3) en la Comunidad de Madrid en 2018.
**QUIÉN**: 
- Comunidad de Madrid
- Ministerio de Transición Ecológica
- Comisario Karmenu Vella de la Comisión Europea
**CUÁNDO**: Año 2018, con seguimiento en 2019
**DÓNDE**: 
- Madrid
- Corredor del Henares
- Plaza Elíptica
- Estaciones de Ramón y Cajal y Coslada
**POR QUÉ**: 
- Tráfico intenso de vehículos de combustión
- Proximidad a vías principales 
- Emisiones de la capital
- Presencia de precursores atmosféricos
- Radiación solar
**CÓMO**: 
- Mediante mediciones en estaciones de control
- Superando los valores límite establecidos por normativa europea
- A través de emisiones de vehículos y procesos atmosféricos</t>
  </si>
  <si>
    <t>TLDR: Madrid's air quality report shows:
1. Exceeded pollution limits in 2018 for nitrogen dioxide (NO2) and ozone (O3)
2. Main pollution sources:
   - Vehicle traffic (primary NO2 source)
   - Urban emissions
   - Regional transport of pollutants
3. Most affected areas:
   - Henares Corridor
   - Ramón y Cajal and Plaza Elíptica stations
   - Plaza Fernández Ladreda
4. European Commission expressed concern, requesting stronger air quality measures, particularly in Madrid and Barcelona metropolitan areas.
The report highlights significant urban air pollution challenges, primarily driven by transportation and urban activities.</t>
  </si>
  <si>
    <t>El texto trata sobre la publicación del libro "Cocina sana y sencilla" por Inés Ortega y Marina Rivas, que continúa el legado de Simone Ortega, autora del famoso libro "1080 recetas de cocina" de 1972.
Puntos principales:
1. Inés Ortega señala que muchas personas desconocen la temporalidad de frutas y verduras, comprando sin considerar las estaciones.
2. El nuevo libro es más que un recetario: incluye información sobre temporadas de productos, recomendaciones nutricionales para diferentes necesidades (deportistas, diabéticos, hipertensos) y recetas rápidas.
3. Marina Rivas, nuera de Inés y formada en Le Cordon Bleu, se une a la tradición familiar tras dejar su carrera en banca para dedicarse a la pastelería francesa.
4. El libro contiene 350 recetas en 650 páginas, incluyendo:
   - Consejos sobre material de cocina
   - Información sobre colocación de cubiertos
   - Un capítulo dedicado al vino
   - Énfasis en la planificación y uso de productos de temporada
5. Continúa la filosofía de Simone Ortega de hacer la cocina accesible para todos, incluso para principiantes.</t>
  </si>
  <si>
    <t>Aquí está el resumen con el contenido más relevante del texto:
El artículo trata sobre la publicación del libro "Cocina sana y sencilla" por Inés Ortega y Marina Rivas. Inés Ortega, autora de más de 40 libros de cocina, es hija de Simone Ortega, quien escribió el influyente libro "1080 recetas de cocina" (1972), que ha vendido más de tres millones de ejemplares. Marina Rivas, nuera de Inés, se formó en Le Cordon Bleu y es especialista en pastelería francesa.
El nuevo libro no es solo un recetario, sino una guía que incluye información sobre temporadas de productos, recomendaciones nutricionales para diferentes necesidades (deportistas, diabéticos, hipertensos) y recetas rápidas. La obra, que contiene 350 recetas en 650 páginas, mantiene la filosofía accesible del libro original de Simone Ortega, incluyendo instrucciones básicas sobre utensilios de cocina y técnicas fundamentales.
Las autoras enfatizan la importancia de conocer y consumir productos de temporada, ya que muchas personas desconocen cuándo están las frutas y verduras en su mejor momento, lo que afecta a una alimentación saludable y equilibrada.</t>
  </si>
  <si>
    <t>Te presento el resumen usando el método 5W1H:
QUÉ: Publicación del libro "Cocina sana y sencilla", un recetario-guía que incluye 350 recetas, recomendaciones nutricionales, información sobre productos de temporada y consejos básicos de cocina en 650 páginas.
QUIÉN: Inés Ortega (gastrónoma y autora de más de 40 libros) junto con su nuera Marina Rivas (formada en Le Cordon Bleu y especializada en pastelería francesa). El libro se conecta con el legado de Simone Ortega, autora del famoso "1080 recetas de cocina".
CUÁNDO: La presentación del libro se realizó recientemente en Madrid, coincidiendo con el centenario del nacimiento de Simone Ortega (1919-2008).
DÓNDE: El libro se presentó en Madrid y está publicado por Alianza Editorial bajo el sello 1080 Nuevas Ideas de Cocina.
POR QUÉ: Para ayudar a las personas a conocer mejor los productos de temporada y planificar una alimentación saludable, ya que muchas personas desconocen cuándo es la mejor época para consumir frutas y verduras específicas.
CÓMO: El libro está estructurado de manera didáctica, incluyendo capítulos sobre utensilios básicos de cocina, consejos de planificación, recetas adaptadas para diferentes necesidades (deportistas, diabéticos, hipertensos), y explicaciones sencillas pensadas incluso para personas sin experiencia en la cocina.</t>
  </si>
  <si>
    <t>Let me provide a summary of this Spanish article about cooking and cookbooks:
The article discusses a new cookbook "Cocina sana y sencilla" (Healthy and Simple Cooking) by Inés Ortega and her daughter-in-law Marina Rivas. Key points:
1. Inés Ortega, a gastronome and author of over 40 cookbooks, notes that many people don't know which fruits and vegetables are in season.
2. Marina Rivas, trained at Le Cordon Bleu and specialized in French pastry, collaborated on the book. She left a career in private banking to pursue her culinary passion.
3. The book is more than just recipes - it includes:
- Nutritional recommendations for athletes, diabetics, and people with hypertension
- Quick-preparation recipes
- Information about seasonal products
- Basic kitchen equipment guidance
4. The book continues the legacy of Simone Ortega (Inés's mother), who wrote the iconic "1080 recetas de cocina" (1080 Cooking Recipes) in 1972, which sold over 3 million copies.
5. "Cocina sana y sencilla" contains 350 recipes in 650 pages and emphasizes healthy, balanced eating with seasonal and local products.
6. Both authors share their favorite recipes from the book, with Marina favoring dishes like cold carrot cream with fennel and spirulina, while Inés prefers items like apple compote with lavender.
The article highlights how this new cookbook maintains the accessible, innovative approach to cooking that made Simone Ortega's original work so successful while adapting to modern nutritional needs and preferences.</t>
  </si>
  <si>
    <t>Aquí un resumen del texto:
El artículo trata sobre la respuesta del gobierno mexicano al tiroteo masivo ocurrido en El Paso, Texas, donde un hombre blanco de 21 años asesinó a 22 personas, incluyendo 8 mexicanos, en un supermercado de una comunidad mayoritariamente hispana.
El canciller mexicano Marcelo Ebrard viajó a Texas para reunirse con las familias de las víctimas y anunció que México presentaría una denuncia por terrorismo contra el perpetrador, Patrick Crusius, buscando su extradición. El presidente López Obrador respaldó esta iniciativa.
Sin embargo, expertos legales señalan que la solicitud de extradición enfrenta varios obstáculos:
- El terrorismo es un delito transnacional, no internacional
- Estados Unidos raramente renuncia a su jurisdicción en estos casos
- Texas podría buscar la pena de muerte, que no existe en México
Además, el incidente ha reavivado el debate sobre el control de armas entre ambos países. México criticó las laxas leyes estadounidenses sobre armas, señalando que aproximadamente 200,000 armas ilegales entran a México anualmente desde Estados Unidos. Ebrard anunció que México también presentará un caso contra la venta y distribución de armas de asalto.</t>
  </si>
  <si>
    <t>Analizaré los puntos más relevantes del texto, que trata sobre la respuesta del gobierno mexicano al tiroteo masivo en El Paso, Texas, en 2019:
Puntos principales:
1. El gobierno mexicano, a través del canciller Marcelo Ebrard, inició una ofensiva diplomática y legal tras el tiroteo racista en El Paso donde murieron 8 mexicanos y 14 estadounidenses.
2. México buscó presentar cargos por terrorismo contra el atacante Patrick Crusius y solicitó su extradición, siendo la primera vez que México toma una acción legal de este tipo.
3. Expertos legales señalaron que aunque jurídicamente existen bases para solicitar la extradición, sería difícil que Estados Unidos accediera, ya que:
   - El crimen ocurrió en territorio estadounidense
   - Texas podría buscar la pena de muerte (que no existe en México)
   - EE.UU. raramente renuncia a su jurisdicción en estos casos
4. El gobierno mexicano también aprovechó el incidente para criticar las leyes de armas en Estados Unidos, anunciando que presentaría un caso contra la venta y distribución de armas de asalto, destacando que EE.UU. tiene el 42% de las armas del planeta con solo el 4% de la población mundial.
Este caso destacó las tensiones diplomáticas entre ambos países en temas de violencia armada y terrorismo doméstico dirigido contra mexicanos en Estados Unidos.</t>
  </si>
  <si>
    <t>Aquí está el resumen usando el método 5W1H:
QUÉ (WHAT): El Gobierno mexicano inició una ofensiva diplomática y legal contra el tirador de El Paso, buscando su extradición por terrorismo, y anunció acciones legales contra la venta de armas en Estados Unidos.
QUIÉN (WHO): 
- Marcelo Ebrard (Canciller mexicano)
- Andrés Manuel López Obrador (Presidente de México)
- Patrick Crusius (el atacante)
- Las víctimas: 8 mexicanos muertos y 6 heridos
CUÁNDO (WHEN): 
- La matanza ocurrió un sábado
- Ebrard viajó el lunes siguiente para reunirse con familiares de las víctimas
DÓNDE (WHERE): 
- En El Paso, Texas
- En un supermercado ubicado en una comunidad donde el 80% son hispanos
POR QUÉ (WHY):
- El ataque fue considerado un acto de terrorismo racista contra mexicanos
- El gobierno mexicano busca justicia para las víctimas y sus familias
- También pretende abordar el problema de la venta indiscriminada de armas en EE.UU.
CÓMO (HOW):
- A través de una solicitud formal de extradición por terrorismo
- Mediante la participación de la Fiscalía General de México en la investigación
- Presentando un caso legal contra la venta y distribución de armas de asalto
- Sin embargo, expertos señalan que la extradición será difícil de conseguir, ya que EE.UU. raramente renuncia a su jurisdicción en casos similares</t>
  </si>
  <si>
    <t>Here's a summary of the key points from the Spanish article about the 2019 El Paso shooting:
1. After the racially motivated shooting at a Walmart in El Paso that killed 22 people (including 8 Mexican nationals), Mexico's government launched diplomatic and legal actions.
2. Foreign Minister Marcelo Ebrard traveled to Texas to meet with victims' families and announced Mexico would:
   - Seek terrorism charges against the shooter, Patrick Crusius
   - Request his extradition to Mexico
   - Take legal action regarding U.S. gun sales and distribution
3. The article discusses the legal complexities of the extradition request:
   - While technically possible, experts noted it would be unprecedented
   - The U.S. would likely refuse, preferring to prosecute domestically
   - Texas has the death penalty while Mexico doesn't, complicating matters
4. The incident renewed debate about U.S. gun control:
   - Mexico estimates 200,000 illegal weapons enter from the U.S. annually
   - Mexican officials criticized U.S. gun laws as too permissive
   - The U.S. has 42% of the world's guns despite having only 4% of global population
The article frames this as both a hate crime against the Hispanic community and an international incident that strained U.S.-Mexico relations.</t>
  </si>
  <si>
    <t>Te proporciono un resumen del texto:
El artículo discute la importancia de los sentidos, particularmente el olfato, y cómo las matemáticas están comenzando a estudiar su funcionamiento. El texto explica que, aunque históricamente las ciencias matemáticas han dedicado poco esfuerzo a modelar los sentidos, recientemente se están realizando avances significativos.
Destaca varios puntos clave:
1. El desarrollo neuronal y los sentidos son especialmente importantes en las primeras etapas de la vida, con la mayoría de las conexiones neuronales formándose antes de los 8-10 años.
2. Se enfoca específicamente en el sistema olfativo, explicando cómo las feromonas son captadas en la mucosa nasal y transformadas en impulsos nerviosos que llegan al cerebro.
3. Los modelos matemáticos están ayudando a comprender mejor la microestructura física y fisiológica del olfato, especialmente el papel de los cilios olfatorios.
4. Menciona la importancia de las técnicas matemáticas de problemas inversos para construir estos modelos.
El texto concluye planteando preguntas fundamentales sobre cómo procesamos los estímulos externos y cómo esto influye en quiénes somos, señalando que muchas de estas preguntas quedan pendientes para la ciencia del futuro.
El artículo está basado en una conferencia titulada "Modelling our sense of smell" impartida por Carlos Conca, profesor de la Universidad de Chile, en el congreso ICIAM 2019.</t>
  </si>
  <si>
    <t>Analizaré el texto y extraeré los puntos más relevantes para crear un resumen coherente.
Este texto trata principalmente sobre el estudio científico de los sentidos, con especial énfasis en el olfato, y el papel de las matemáticas en su comprensión. Aquí está el resumen con los puntos más importantes:
Los sentidos son herramientas fundamentales que permiten a los seres vivos recibir estímulos del medio ambiente y son esenciales para la supervivencia y reproducción. El desarrollo de las conexiones neuronales relacionadas con los sentidos es especialmente crucial en las primeras etapas de la vida: comienza en el útero materno y disminuye significativamente alrededor de los 8-10 años.
El texto se centra particularmente en el sistema olfativo, explicando cómo las feromonas son detectadas en la mucosa nasal y convertidas en impulsos nerviosos que el cerebro interpreta. Sin embargo, aunque se comprende este proceso inicial, el procesamiento posterior del impulso nervioso sigue siendo un misterio.
Un aspecto significativo es cómo las matemáticas están comenzando a contribuir a la comprensión de estos procesos mediante modelos y técnicas de problemas inversos. Estos modelos permiten comprender mejor la microestructura física y fisiológica de los sentidos, yendo más allá de lo que pueden mostrar los microscopios electrónicos.
El texto concluye planteando importantes preguntas sin resolver sobre cómo nuestra conciencia procesa los estímulos externos y cómo esto influye en quiénes somos, señalando que estas respuestas serán tarea para la ciencia del futuro.</t>
  </si>
  <si>
    <t>Te presento un resumen del texto usando el método 5W1H:
**¿QUÉ?** (What?)
El texto discute la investigación y modelación matemática de los sentidos, particularmente el olfato, y cómo estos procesan los estímulos externos convirtiéndolos en impulsos nerviosos que el cerebro interpreta.
**¿QUIÉN?** (Who?)
Carlos Conca, profesor del Departamento de Ingeniería Matemática e investigador del Centro de Modelamiento Matemático de la Universidad de Chile, quien presentó una conferencia sobre la modelación del sentido del olfato.
**¿CUÁNDO?** (When?)
La conferencia fue presentada en el congreso ICIAM 2019. El texto también menciona períodos importantes en el desarrollo neuronal: desde el seno materno hasta los 8-10 años se construyen los circuitos neuronales principales.
**¿DÓNDE?** (Where?)
El proceso descrito ocurre principalmente en:
- La mucosa nasal, donde se reciben las feromonas
- Los cilios olfatorios en los extremos de los axones
- El cerebro, donde se interpretan los impulsos nerviosos
**¿POR QUÉ?** (Why?)
Porque es importante entender cómo funcionan los sentidos, ya que:
- Son fundamentales para la supervivencia y reproducción
- Influyen en el desarrollo neuronal
- Afectan nuestra percepción de la belleza y el desarrollo del arte
- Su comprensión podría ayudar a entender mejor el comportamiento humano
**¿CÓMO?** (How?)
A través de:
- Modelos matemáticos que permiten ver más allá de los microscopios electrónicos
- Técnicas matemáticas de problemas inversos
- Estudio de la conversión de información química (olores) en impulsos nerviosos
- Investigación de la fisiología subyacente en los sistemas biológicos</t>
  </si>
  <si>
    <t>This Spanish text discusses the mathematics and science of sensory perception, particularly focusing on the sense of smell. Here's the key points:
1. The article starts by describing how animals use senses, particularly smell (through pheromones), for survival and reproduction.
2. Mathematical sciences have historically invested relatively little effort in modeling sensory systems, though recent advances are being made.
3. Key developmental insights:
- Neural circuits begin forming in the womb
- Major neural connections develop until ages 8-10
- After age 10, new skills develop using existing connections rather than forming new ones
4. The olfactory system specifically:
- Receives pheromones through nasal mucosa
- Converts chemical information into electrical signals (nerve impulses)
- Uses olfactory cilia to process smell information
5. The article notes that while we can model how smells are converted to nerve impulses, how the brain processes and interprets these signals remains largely mysterious.
The article is authored by Carlos Conca, a professor at the University of Chile's Department of Mathematical Engineering, who presented on this topic at ICIAM 2019.</t>
  </si>
  <si>
    <t>Aquí tienes un resumen del artículo:
Fernando Navarro, de 76 años, cierra Import Vídeo, uno de los videoclubes más antiguos de Madrid, tras 38 años de servicio. Durante su apogeo, el local llegó a albergar más de 50.000 películas, una colección que finalmente vendió a una empresa catalana que vende películas en Amazon. 
Navarro recuerda cómo en los primeros años el negocio prosperaba debido a la fuerte afición cinematográfica en España. Menciona éxitos memorables como "Mujeres al borde de un ataque de nervios" de Almodóvar, que requirió hasta 12 copias por su alta demanda, y más recientemente "Campeones".
El veterano videoclubista expresa su preferencia por el DVD sobre el VHS y muestra cierto escepticismo hacia las plataformas de streaming, valorando la capacidad de elección personal y posesión física de las películas. Le preocupa que las nuevas generaciones pierdan la capacidad de desarrollar un criterio propio al depender de las selecciones de las plataformas.
Navarro, quien llegó a tener cinco locales en Madrid y más de 10.600 socios registrados, cierra su negocio debido a su edad avanzada y la disminución progresiva del alquiler. Considera que el alto IVA (21%) en los productos audiovisuales dificulta el acceso de los jóvenes al cine, lo que ve como un detrimento para la cultura popular.</t>
  </si>
  <si>
    <t>Aquí está el resumen de los aspectos más relevantes del texto:
Fernando Navarro, de 76 años, cierra Import Vídeo, uno de los videoclubes más antiguos de Madrid, tras 38 años de servicio. El establecimiento, ubicado en Vallecas, llegó a albergar una colección de más de 50,000 películas, que finalmente fue vendida a una empresa catalana que vende películas por Amazon.
Durante sus años de mayor éxito, el videoclub reflejaba la fuerte cultura cinematográfica española, con películas como "Mujeres al borde de un ataque de nervios" de Almodóvar siendo particularmente populares - llegando a necesitar 12 copias que se alquilaban diariamente. Sin embargo, en los últimos años, el negocio decayó significativamente, con clientes habituales visitando cada vez con menos frecuencia.
Navarro se muestra crítico con las plataformas de streaming actuales, defendiendo la importancia de tener un criterio propio en la selección de películas y expresando preocupación por el futuro de la cultura cinematográfica. Considera que el alto precio de las películas (con un IVA del 21%) y la dependencia de las plataformas pueden ir "en detrimento de la cultura del pueblo".
A lo largo de su trayectoria, el negocio llegó a tener cinco locales en Madrid y acumuló 10,618 socios registrados.</t>
  </si>
  <si>
    <t>Aquí está el resumen del texto usando el método 5W1H:
**Qué (What):**
El cierre definitivo de Import Vídeo, uno de los videoclubes más antiguos de Madrid, con una colección de más de 50,000 películas que fue vendida a una empresa catalana que vende por Amazon.
**Quién (Who):**
Fernando Navarro, un madrileño de 76 años, propietario del videoclub que llegó a tener cinco locales en Madrid y registró 10,618 socios.
**Cuándo (When):**
2024, después de 38 años de operación (aunque el año exacto no está especificado en el texto).
**Dónde (Where):**
En el barrio de Vallecas, Madrid, España.
**Por qué (Why):**
- La edad avanzada del propietario (jubilación)
- La disminución progresiva del alquiler de películas
- El deseo de mantener la integridad del negocio sin convertirlo solo en una tienda de películas usadas
**Cómo (How):**
- Vendió su colección a una empresa catalana
- Mantuvo el negocio hasta el final ofreciendo una amplia selección de películas
- Durante sus mejores años, llegó a tener hasta 12 copias de películas populares como "Mujeres al borde de un ataque de nervios"
- Se adaptó a los cambios tecnológicos (de VHS a DVD) pero decidió no transicionar a las plataformas de streaming</t>
  </si>
  <si>
    <t>Here's a summary of the article:
Fernando Navarro, a 76-year-old from Madrid, is retiring after running Import Video, one of Madrid's oldest video rental stores, for 38 years. He recently sold his collection of over 50,000 films to a Catalan company that sells movies on Amazon. 
The article contrasts the store's heyday, when stacks of films reached the ceiling, with its current state of just a few VHS tapes in a corner. Navarro discusses how business declined in recent years as regular customers visited less frequently. He recalls successful films like Almodóvar's "Women on the Verge of a Nervous Breakdown," which required him to stock 12 copies to meet demand.
Navarro prefers physical media (especially DVD) over streaming platforms, valuing the ability to personally choose and own films. He expresses concern about the cultural impact of declining physical media sales, particularly given high prices (new films at €20) and high VAT rates (21%) that make movies less accessible to young people.
Over his career, Navarro expanded to five locations in Madrid and registered over 10,000 customers (specifically 10,618 members). He believes video stores offered something valuable that streaming can't replicate: the ability to browse and develop one's own film criteria rather than relying on a platform's suggestions.</t>
  </si>
  <si>
    <t>Aquí te presento un resumen del texto:
El artículo describe la adquisición de Alestis por parte de Aciturri, dos fabricantes españoles de componentes aeronáuticos. Ginés Clemente, fundador y CEO de Aciturri, explica que la compra era necesaria para ganar tamaño y ser más competitivos como proveedores de primera línea (Tier 1) de Airbus.
Puntos principales:
- La fusión creó un grupo que facturó 585 millones de euros en 2018, con 18 plantas y 3,100 trabajadores
- Aciturri adquirió el 75.94% de Alestis, mientras que SEPI mantiene el 24.06%
- El objetivo es alcanzar 1,000 millones de euros en facturación para estar en línea con competidores europeos
- Buscan reducir su dependencia de Airbus (que representa 70% de la facturación) y expandirse en Norteamérica
- Alestis tiene una deuda de 285 millones de euros que se pagará hasta 2034
- La división de motores de Aciturri (Aeroengines) se espera que crezca del 8% al 30% de la facturación total
- El sector aeronáutico crece 4-5% anual y se estima una demanda de 35,000 nuevas aeronaves en los próximos 20 años
La operación presenta desafíos, incluyendo el exceso de capacidad de Alestis y su deuda, pero Clemente se muestra optimista sobre el futuro del grupo combinado.</t>
  </si>
  <si>
    <t>Analizaré los puntos más relevantes del texto y elaboraré un resumen enfocado en la información principal:
La empresa aeronáutica Aciturri, fundada por Ginés Clemente, ha adquirido Alestis en una operación estratégica para ganar tamaño y competitividad en el sector. Los puntos clave son:
1. La adquisición: Aciturri compró el 75.94% de Alestis, mientras que SEPI mantiene el 24.06%. La operación se firmó el 30 de julio, comprando la participación de Airbus (60.64%) y Unicaja (14%).
2. Dimensión del nuevo grupo:
- Facturación combinada: 585 millones de euros (2018)
- 18 plantas de producción
- 3,100 trabajadores
- Objetivo: alcanzar 1,000 millones en facturación
3. Razones estratégicas:
- Necesidad de crecer para competir con otros proveedores Tier 1 de Airbus
- Complementariedad tecnológica entre ambas empresas
- Reducir la dependencia de Airbus (actualmente 70% de la facturación)
- Expansión en Norteamérica y potencial crecimiento en Asia
4. Desafíos principales:
- Gestión de la deuda de Alestis (285 millones de euros)
- Necesidad de más pedidos para Alestis (entre 70-80 millones adicionales)
- Las empresas operarán por separado inicialmente hasta resolver los problemas de Alestis
- 2024 será un año crucial para evaluar la viabilidad de la fusión completa
El sector aeronáutico muestra perspectivas positivas, con un crecimiento anual del 4-5% y una demanda estimada de 35,000 nuevas aeronaves en los próximos 20 años.</t>
  </si>
  <si>
    <t>Aquí está el resumen del texto usando el método 5W1H:
QUÉ: La adquisición de Alestis por parte de Aciturri, creando un grupo más grande de fabricación de componentes aeronáuticos que facturó 585 millones de euros en 2018.
QUIÉN: Ginés Clemente, fundador y consejero delegado de Aciturri, quien lideró la adquisición. Los vendedores fueron Airbus (60.64%) y Unicaja (14%), mientras que SEPI mantiene un 24.06%.
CUÁNDO: La operación se firmó el 30 de julio (presumiblemente de 2019, dado el contexto).
DÓNDE: Las empresas están ubicadas en España - Aciturri en Miranda de Ebro (Burgos) y Alestis en Sevilla. Entre ambas suman 18 plantas.
POR QUÉ: 
- Necesidad de ganar tamaño para reducir costes y ser más competitivos
- Complementariedad entre las empresas en tecnologías de componentes aeronáuticos
- Objetivo de diversificar clientes y reducir la dependencia de Airbus
- Necesidad de estar en línea con otros proveedores Tier 1 de Airbus
CÓMO:
- Aciturri adquirió el 75.94% de Alestis
- Se inyectaron 80 millones de euros para dar liquidez a Alestis
- Las empresas operarán por separado inicialmente hasta resolver los problemas de Alestis
- Se estableció un plan de amortización de la deuda de Alestis (285 millones) hasta 2034</t>
  </si>
  <si>
    <t>Here's a TLDR of the Spanish article:
Aciturri, an aeronautical components manufacturer, has acquired Alestis to become more competitive and match other Tier 1 Airbus suppliers. Key points:
- The combined companies generated €585M in revenue (2018) and have 18 plants with 3,100 workers
- Aciturri acquired 75.94% of Alestis, while SEPI maintains 24.06%
- Goal is to double revenue to €1B to match European competitors
- Currently 70% dependent on Airbus; aims to diversify with more Boeing work (currently 20%) and expand in North America
- Main challenge: Managing Alestis' €285M debt and excess production capacity
- Both companies will operate separately until Alestis' problems are resolved, with 2024 as a key year for debt payments
The acquisition is seen as necessary for growth in an industry where larger scale is increasingly important for competitiveness.</t>
  </si>
  <si>
    <t>El texto describe las tendencias turísticas en España durante junio y el primer semestre de 2019. En junio, España recibió 8,8 millones de turistas extranjeros, un 3,2% más que en 2018. Cataluña lideró como destino principal, seguida por incrementos significativos en Madrid y Andalucía, mientras que las islas (Baleares y Canarias) experimentaron descensos.
Aunque el Reino Unido siguió siendo el principal emisor de turistas, se registró una caída del 5,3% en visitantes británicos, compensada por aumentos en turistas alemanes y franceses. También destacaron los crecimientos desde Suiza, Portugal y Estados Unidos, mientras que disminuyeron las visitas desde países nórdicos e Italia.
La mayoría de turistas llegaron por vía aérea, con un aumento en viajes por tren y carretera, pero una disminución en llegadas por puerto. Las estancias de 4-7 noches fueron las más comunes, con un notable incremento en viajes cortos de 2-3 noches.
En el balance semestral (enero-junio), el turismo creció un 2,8% alcanzando casi 38,2 millones de visitantes, con resultados positivos en la mayoría de regiones excepto Canarias, que continuó su tendencia negativa.</t>
  </si>
  <si>
    <t>Aquí está el resumen con los puntos más relevantes del texto:
España recibió 8,8 millones de turistas extranjeros en junio de 2019, un 3,2% más que en 2018. Cataluña lideró las visitas con 2,15 millones de turistas, seguida por Baleares (2,06 millones) y Andalucía (1,24 millones). Sin embargo, algunas regiones experimentaron caídas, especialmente Canarias con un descenso del 7%.
Los principales países emisores fueron Reino Unido, Alemania y Francia. Destaca la caída de turistas británicos (-5,3%), compensada por el aumento de alemanes (+8,4%) y franceses (+8%). En el primer semestre del año, España alcanzó los 38,2 millones de turistas, un 2,8% más que el año anterior.
La mayoría de los visitantes llegaron por vía aérea y optaron por estancias de 4-7 noches en alojamientos de pago, principalmente hoteles. Es notable el incremento del 22,2% en viajes cortos de 2-3 noches.</t>
  </si>
  <si>
    <t>Aquí está el resumen usando el método 5W1H:
QUÉ: Análisis del turismo internacional en España durante junio 2019 y el primer semestre del año, mostrando un incremento general del 3.2% en junio (8.8 millones de turistas) y 2.8% en el semestre (38.2 millones).
QUIÉN: Los principales turistas provienen de:
- Reino Unido (2.1 millones en junio, -5.3%)
- Alemania (1.3 millones, +8.4%)
- Francia (1 millón, +8%)
DÓNDE: Las principales regiones receptoras son:
- Cataluña: 2.15 millones (+2.2%)
- Baleares: 2.06 millones (-2.6%)
- Andalucía: 1.24 millones (+6.4%)
- Madrid: 693,021 (+14.9%)
- Canarias: 931,810 (-7%)
CUÁNDO: Junio 2019, con datos comparativos respecto a junio 2018 y análisis del primer semestre del año.
POR QUÉ: Varios factores influyen en las variaciones:
- Inestabilidad política
- Debilidad de la libra (afectando turismo británico)
- Competencia de destinos más económicos
CÓMO: Los turistas llegan principalmente por:
- Vía aérea: 7.5 millones (+3.6%)
- Carretera: incremento del 2.9%
- Ferrocarril: aumento del 27.6%
- Puertos: descenso del 17%
La mayoría se aloja en establecimientos de pago (7.44 millones, +3.5%), principalmente hoteles (+4.2%).</t>
  </si>
  <si>
    <t>Aquí está el resumen de los puntos principales:
1. España recibió 8,8 millones de turistas extranjeros en junio 2019, un 3,2% más que en 2018.
2. Por regiones:
- Cataluña: líder con 2,15 millones (+2,2%)
- Madrid: gran aumento del 14,9%
- Andalucía: creció 6,4%
- Baleares: bajó 2,6%
- Canarias: mayor caída con -7%
3. Principales mercados emisores:
- Reino Unido: 2,1 millones (-5,3%)
- Alemania: 1,3 millones (+8,4%)
- Francia: casi 1 millón (+8%)
4. En el primer semestre del año:
- Total: 38,2 millones de turistas (+2,8%)
- Crecimiento positivo en la mayoría de regiones
- Canarias fue la única con resultados negativos significativos (-2,8%)
5. Tendencias en transporte y alojamiento:
- Aumentó el uso de avión (+3,6%) y tren (+27,6%)
- Cayó el acceso por puerto (-17%)
- Creció especialmente el turismo de corta duración (2-3 noches)
- El alojamiento hotelero aumentó mientras que el alquiler vacacional bajó</t>
  </si>
  <si>
    <t>Te proporciono un resumen del artículo sobre Sarah Palin y Lisa Ann:
El texto habla de cómo Sarah Palin, ex gobernadora de Alaska y candidata republicana a la vicepresidencia en 2008, se convirtió en un fenómeno mediático que inspiró diversos contenidos, desde la película de HBO "Game Change" (protagonizada por Julianne Moore) hasta una serie de películas para adultos.
Lisa Ann, una actriz de cine para adultos, interpretó a Palin en seis películas pornográficas producidas por Hustler. Todo comenzó cuando respondió a una oferta de trabajo por 3,000 dólares para interpretar a una versión de Palin. El éxito de estas películas revitalizó la carrera de Lisa Ann, llevándola a aparecer en medios convencionales y hasta en un videoclip de Eminem.
Irónicamente, mientras interpretaba a la republicana Palin, Lisa Ann apoyaba abiertamente a Barack Obama. Después de alcanzar el primer puesto como actriz más buscada en Pornhub en 2014, se retiró temporalmente para enfocarse en otros negocios, incluyendo el fantasy football. Actualmente, ha vuelto a la industria del cine para adultos de manera selectiva y trabaja para mejorar las condiciones en la industria pornográfica.
El artículo menciona al final que el texto surge a raíz del divorcio de Sarah Palin después de 31 años de matrimonio con Todd Palin por "incompatibilidad de temperamento".</t>
  </si>
  <si>
    <t>Aquí está un resumen del texto más relevante:
El artículo trata sobre Lisa Ann, una actriz pornográfica que ganó fama por interpretar parodias de Sarah Palin después de las elecciones presidenciales de 2008. Después de responder a un anuncio para interpretar a Palin en una película para adultos por 3.000 dólares, Lisa Ann protagonizó seis películas pornográficas parodiando a la exgobernadora de Alaska.
Puntos clave:
- Las películas fueron producidas por Hustler y tenían títulos como "Who's Nailing Paylin?" y "Obama se la clava a Palin"
- En 2009, apareció en el videoclip de Eminem "We made you"
- En 2014, fue la actriz más buscada en Pornhub
- Se retiró del porno para dedicarse al fantasy fútbol y luego regresó, eligiendo sus proyectos
- Paradójicamente, apoyó a Barack Obama en las elecciones de 2008 y 2012
El artículo destaca cómo Lisa Ann transformó una oportunidad de trabajo en un fenómeno mediático y cultural, aprovechando la popularidad de Sarah Palin en la época.</t>
  </si>
  <si>
    <t>Aquí tienes un resumen del texto utilizando el método de las 5W1H:
**QUÉ**: 
Una historia sobre Lisa Ann, una actriz de cine para adultos que se hizo famosa por interpretar versiones pornográficas paródicas de Sarah Palin, lo que impulsó su carrera y la llevó a aparecer en videoclips, documentales y convertirse en una celebridad mediática.
**QUIÉN**:
- Lisa Ann: Actriz de cine para adultos que interpretó parodias de Sarah Palin
- Sarah Palin: Exgobernadora de Alaska y candidata a vicepresidenta en 2008
- Todd Palin: Esposo de Sarah Palin, quien solicitó el divorcio tras 31 años de matrimonio
**CUÁNDO**:
- 2008: Primeras películas paródicas de Palin
- 2009: Aparición en el videoclip de Eminem
- 2014: Nombrada la más buscada en Pornhub y anuncio de su retiro inicial
- 2015: Publicación de sus memorias
**DÓNDE**:
Estados Unidos, principalmente en la industria del entretenimiento para adultos y la escena mediática y política.
**POR QUÉ**:
Lisa Ann aprovechó la popularidad y el fenómeno mediático de Sarah Palin para relanzar su carrera, creando parodias pornográficas que generaron gran atención y debate público.
**CÓMO**:
- Respondiendo a un anuncio en Craigslist para interpretar a Sarah Palin
- Produciendo películas paródicas con Hustler
- Apareciendo en videoclips y medios de comunicación
- Diversificando sus actividades hacia el fantasy football y creando su propia plataforma web</t>
  </si>
  <si>
    <t>Here's a summary of the Spanish text about Sarah Palin and Lisa Ann:
The article discusses how Lisa Ann, an adult film actress, became famous for creating pornographic parodies of Sarah Palin following her 2008 vice presidential campaign. After responding to a Craigslist ad seeking an actress who looked like Palin, Lisa Ann starred in several adult films with titles like "Who's Nailing Paylin?" These films were produced by Hustler and gained significant popularity.
Key points:
- The films were made in response to Palin's media prominence during the 2008 election
- Lisa Ann appeared in six pornographic parodies of Palin
- She was featured in Eminem's music video "We Made You" in 2009
- In 2014, she was the most searched performer on Pornhub
- She later retired from adult films to focus on fantasy football and has since returned to the industry on her own terms
Interestingly, despite portraying Palin in these films, Lisa Ann actually supported Barack Obama during the 2008 and 2012 elections. The article also mentions that Palin is currently in the news due to her divorce from Todd Palin after 31 years of marriage.</t>
  </si>
  <si>
    <t>Joel Joan y Hèctor Claramunt escribieron una obra de teatro titulada "El pare de la núvia" para el actor Joan Pera. La comedia gira en torno a una boda que toma un giro inesperado cuando el padre de la novia descubre que la madre de su futuro yerno fue su amante, lo que genera la posibilidad de que los novios sean hermanos. La obra se estrenó en el Teatre Condal de Barcelona y el director, Joel Joan, la describe como una comedia romántica con un tono similar a la serie "Plats bruts". Joan Pera interpreta al padre de la novia, Francesc Ramon, un millonario que organiza una boda extravagante. La obra presenta un conflicto cuando se revela la infidelidad y la posibilidad de que los novios sean hermanos, lo que da lugar a una función clásica dividida en cinco actos. Pera se muestra agradecido por trabajar con actores jóvenes y destaca su trayectoria en el teatro y en el doblaje, incluyendo su trabajo con Woody Allen. La obra cuenta con un reparto diverso y experimentado, y Pera afirma que el teatro es su pasión.</t>
  </si>
  <si>
    <t>La obra de teatro "El pare de la núvia", escrita por Joel Joan y Hèctor Claramunt, se estrenó en el Teatre Condal de Barcelona, con Joan Pera como protagonista. La comedia gira en torno a una boda y el descubrimiento de una relación pasada entre el padre de la novia y la madre de su futuro yerno, lo que lleva a un giro inesperado en la trama. El director, Joel Joan, destaca la originalidad de la obra y su tono similar a la telecomedia "Plats bruts". El espectáculo busca hacer reír al público y cuenta con un elenco de actores jóvenes y veteranos, incluyendo a Joan Pera, quien es elogiado por su talento y experiencia.</t>
  </si>
  <si>
    <t>Qué: Joel Joan y Hèctor Claramunt escribieron una obra de teatro titulada "El pare de la núvia" para el actor Joan Pera.
Quién: Los productores, Joel Joan, Hèctor Claramunt y Joan Pera.
Cuándo: La obra se estrenó el sábado.
Dónde: En el Teatre Condal de Barcelona.
Por qué: Porque los productores les encargaron escribir una obra con un título ya designado y una trama libre.
Cómo: La obra es una comedia romántica con un giro inesperado en la trama y una estructura clásica dividida en cinco actos. Los diálogos tienen un tono similar a la telecomedia "Plats bruts".</t>
  </si>
  <si>
    <t>"El pare de la núvia" es una comedia romántica escrita por Joel Joan y Hèctor Claramunt, y dirigida por Joel Joan. La obra se estrenó en el Teatre Condal de Barcelona y se centra en una boda que toma un giro inesperado cuando el padre de la novia descubre que la madre de su futuro yerno fue su amante, lo que los lleva a temer que los novios sean hermanos. El elenco incluye a Joan Pera como Francesc Ramon, un maestro galletero millonario, junto con otros actores como Sergi Vallès, Marc Rius, Anna Carreño, Pep Sais y Maife Gil. La obra es descrita como una comedia con referentes cercanos al público y se diferencia de las películas con el mismo título.</t>
  </si>
  <si>
    <t>La película "The King", dirigida por David Michôd y protagonizada por Timothée Chalamet, ha sido etiquetada como un "Shakespeare para millennials" debido a la participación de Netflix y la imagen juvenil de su elenco. Sin embargo, esta afirmación es injusta y errónea. "The King" es una adaptación de las obras de Shakespeare "Enrique IV" y "Enrique V", y aunque cambia algunos eventos y diálogos, mantiene la esencia shakespeariana en su tratamiento de los escenarios, interpretaciones, diálogos y subtextos. La película aborda las guerras civiles inglesas y la corte real, con un enfoque en el rey Enrique y su compañero Falstaff, interpretado por Joel Edgerton. A pesar de algunas críticas, "The King" es una obra sólida y bien realizada, que ofrece una visión diferente de las obras de Shakespeare, sin caer en la ligereza que se le atribuye.</t>
  </si>
  <si>
    <t>The King, una adaptación de las obras de Shakespeare "Segunda parte de Enrique IV" y "Enrique V", es una película que desafía los estereotipos sobre los millennials. Con un reparto encabezado por Timothée Chalamet, Joel Edgerton y Robert Pattinson, la película presenta una visión profunda y épica de la obra de Shakespeare, con diálogos cargados de lirismo y complejidad. A pesar de las comparaciones con otras adaptaciones cinematográficas, The King se erige como una obra sólida y consistente, capaz de trascender los prejuicios generacionales y ofrecer una experiencia cinematográfica única.</t>
  </si>
  <si>
    <t>Qué: Se resume la película "The King", una adaptación de las obras de Shakespeare "Enrique IV" y "Enrique V".
Quién: David Michôd, director australiano, y el reparto, encabezado por Timothée Chalamet, Joel Edgerton, Robert Pattinson y Sean Harris.
Cuándo: La película se estrenó en el Festival de Venecia y se lanzó en cines y Netflix en 2019.
Dónde: La acción se desarrolla en Inglaterra, durante las guerras civiles y la corte real.
Por qué: Se aborda la percepción de que la película es una versión "millennial" de Shakespeare, pero se argumenta que es una adaptación respetuosa y profunda.
Cómo: A través de un drama histórico, con un enfoque en los escenarios, interpretaciones, diálogos y subtextos shakesperianos. La película explora las guerras civiles, la corte real y la complejidad de los personajes, ofreciendo una visión épica y lírica.</t>
  </si>
  <si>
    <t>"The King", una película dirigida por David Michôd y protagonizada por Timothée Chalamet, es una adaptación de las obras de Shakespeare "Enrique IV" y "Enrique V". A pesar de que algunos medios la han etiquetado como un "Shakespeare para millennials", la película no es una versión ligera ni superficial. Es una adaptación fiel al espíritu de Shakespeare, con un tratamiento cuidadoso de los escenarios, interpretaciones destacadas y diálogos poéticos. La película aborda temas complejos y presenta personajes bien desarrollados, como el rey Enrique interpretado por Chalamet, que se aleja de las representaciones tradicionales. Con una banda sonora envolvente, "The King" ofrece una visión sólida y madura de la obra de Shakespeare, aunque no deja una marca indeleble como otras adaptaciones cinematográficas.</t>
  </si>
  <si>
    <t>La Comunidad de Madrid enfrenta problemas de contaminación del aire, especialmente en lo que respecta a los niveles de dióxido de nitrógeno (NO2) y ozono (O3). Según un informe del Ministerio de Transición Ecológica, las vías de acceso a Madrid, como el Corredor del Henares y la Plaza Elíptica, superaron los límites anuales de estos contaminantes en 2018. El tráfico de vehículos de combustión es la causa principal de la superación de los límites de NO2 en estas zonas. Además, la cercanía a la capital también contribuye a las emisiones. El ozono troposférico se ve afectado por la presencia de precursores como los óxidos de nitrógeno y compuestos orgánicos volátiles, junto con la radiación solar y el transporte regional. El Corredor del Henares es una de las áreas más afectadas, y en el municipio de Madrid también se han superado los límites anuales de NO2 y O3. La Comisión Europea ha expresado su preocupación y ha solicitado medidas más estrictas para mejorar la calidad del aire en Madrid, especialmente en la ciudad y el área metropolitana de Barcelona.</t>
  </si>
  <si>
    <t>La contaminación del aire en Madrid y su área metropolitana es un problema grave y persistente, superando los límites anuales de dióxido de nitrógeno (NO2) y ozono (O3). Las principales causas son el tráfico de vehículos de combustión y las emisiones cercanas a la capital. El Corredor del Henares y la Plaza Elíptica son las zonas más afectadas, con superaciones significativas de NO2. La Comisión Europea ha expresado su preocupación y ha solicitado medidas urgentes para mejorar la calidad del aire en la ciudad.</t>
  </si>
  <si>
    <t>Qué: Se ha superado el valor límite horario de polución para 2019 en Madrid, específicamente en la plaza Fernández Ladreda, debido a altos niveles de dióxido de nitrógeno (NO2) y ozono (O3).
Quién: La Comunidad de Madrid, el Ministerio de Transición Ecológica, el comisario de Medio Ambiente de la Comisión Europea (Karmenu Vella) y la ministra para la Transición Ecológica en funciones (Teresa Ribera) están involucrados en la evaluación y gestión de la calidad del aire.
Cuándo: En 2018, la Comunidad de Madrid superó los límites anuales de NO2 y O3. El 9 de julio, el comisario Vella envió una carta a la ministra Ribera expresando su preocupación.
Dónde: Las zonas más afectadas son el Corredor del Henares y la Plaza Elíptica, influenciadas por vías de tráfico principales. También se ven afectadas otras áreas de Madrid, como el municipio de Ramón y Cajal y la Plaza Elíptica.
Por qué: La principal causa de la superación de NO2 es el tráfico de vehículos de combustión, ya que estas zonas están cerca de vías de tráfico importantes. Las emisiones de la capital también contribuyen. En el caso del O3, los precursores como los óxidos de nitrógeno y los compuestos orgánicos volátiles, junto con la radiación solar y el transporte regional, son los responsables.
Cómo: Se realiza un informe de evaluación de la calidad del aire por parte del Ministerio de Transición Ecológica, que identifica las causas y zonas afectadas. El comisario Vella expresa su preocupación y solicita medidas para mejorar la calidad del aire, ya que se están vulnerando los límites establecidos por la normativa europea.</t>
  </si>
  <si>
    <t>La plaza Fernández Ladreda en Madrid ha superado el valor límite horario de polución para 2019 debido a la alta concentración de dióxido de nitrógeno (NO2) y ozono (O3). La Comunidad de Madrid también ha superado los límites anuales de estos contaminantes, con el Corredor del Henares y la Plaza Elíptica como zonas más afectadas. El tráfico de vehículos de combustión y las emisiones cercanas a la capital son las principales causas de la contaminación por NO2. Los altos índices de ozono troposférico se deben a la presencia de precursores y a la fuerte radiación solar. En el municipio de Madrid, las estaciones de Ramón y Cajal y Plaza Elíptica han registrado superaciones de NO2. La Comisión Europea ha expresado su preocupación y ha solicitado medidas más estrictas para mejorar la calidad del aire en la ciudad.</t>
  </si>
  <si>
    <t>El texto habla sobre la publicación del libro "Cocina sana y sencilla", escrito por Inés Ortega y su nuera, Marina Rivas. Inés, gastrónoma y autora de numerosos libros de cocina, destaca la importancia de consumir alimentos de temporada y de conocer las temporadas de los productos. Junto a Marina, quien está formada en la escuela Le Cordon Bleu y especializada en pastelería francesa, han creado una guía que incluye recomendaciones nutricionales y recetas rápidas.
El libro es una celebración del centenario del nacimiento de Simone Ortega, madre de Inés y autora de la famosa obra "1080 recetas de cocina". Inés mantiene la filosofía de su madre y asegura que sus nuevas recetas son accesibles para todos, incluso para los principiantes. Marina, por su parte, cuenta cómo dejó su trabajo en banca para perseguir su pasión por la cocina y estudiar en Le Cordon Bleu.
"Cocina sana y sencilla" ofrece una variedad de recetas saludables y consejos prácticos, incluyendo un capítulo sobre el vino y otro sobre el material de cocina necesario. Las autoras comparten sus platos favoritos, que van desde cremas frías y espaguetis hasta postres como la compota de manzanas con lavanda. El libro busca promover una dieta equilibrada y el uso de productos locales y de temporada.</t>
  </si>
  <si>
    <t>"Cocina sana y sencilla", un libro de recetas y guía nutricional, destaca la importancia de la estacionalidad en la cocina y la planificación de una dieta saludable. Escrito por Inés Ortega y su nuera, Marina Rivas, el libro ofrece recomendaciones para diferentes necesidades dietéticas y propone recetas rápidas y deliciosas. Con un enfoque en la cocina accesible y la celebración de la tradición familiar, las autoras animan a los lectores a aprovechar los productos de temporada y a planificar menús equilibrados para una alimentación saludable."</t>
  </si>
  <si>
    <t>Qué: Se publica el libro "Cocina sana y sencilla", una guía de cocina que incluye temporadas de productos, recomendaciones nutricionales y recetas rápidas.
Quién: Inés Ortega, gastrónoma y autora, junto a su nuera Marina Rivas, formada en Le Cordon Bleu. Simone Ortega, madre de Inés y autora de "1080 recetas de cocina".
Cuándo: En una fecha no especificada, pero se menciona el centenario del nacimiento de Simone Ortega (1919).
Dónde: En España, principalmente en Barcelona y Madrid.
Por qué: Para concienciar sobre la importancia de consumir alimentos de temporada, ofrecer una guía práctica y saludable, y celebrar el legado de Simone Ortega.
Cómo: A través de la publicación de este libro, que incluye información sobre temporadas, recomendaciones nutricionales y recetas sencillas. Inés y Marina comparten sus recetas favoritas y ofrecen consejos prácticos para una cocina saludable.</t>
  </si>
  <si>
    <t>Inés Ortega, a renowned gastronaut and author of over 40 cookbooks, has recently published "Cocina sana y sencilla" (Healthy and Simple Cooking) with her daughter-in-law, Marina Rivas. The book aims to guide readers towards a healthier and more sustainable approach to cooking, providing nutritional recommendations and quick, easy recipes. It also includes information on the seasons for different produce, encouraging readers to consider the best time to consume various foods.
Marina Rivas, a graduate of the prestigious Le Cordon Bleu school and a specialist in French pastry, brings her expertise to the book. She emphasizes the importance of planning and using seasonal, local ingredients to maintain a healthy and balanced diet.
The book celebrates the centenary of Simone Ortega, Inés' mother and the author of the iconic "1080 recetas de cocina" (1080 Cooking Recipes), which has sold over three million copies. Inés continues her mother's legacy, ensuring that the original cookbook remains relevant by updating it with new ingredients and healthy proposals.
Inés encourages Marina to pursue her passion for cooking, which led Marina to leave her job in private banking and asset management to study at Le Cordon Bleu and eventually open her own French pastry shop.
"Cocina sana y sencilla" offers a comprehensive guide to healthy cooking, covering everything from basic kitchen equipment to wine pairings. The authors have selected their favorite recipes from the book, including cold carrot and fennel soup with spirulina, turmeric spaghetti with coconut milk and peanuts, and oatmeal cookies. Inés also recommends a dessert-first approach, suggesting compote of apples with lavender, baked monkfish tail with Jerez basmati rice, and seafood rice with broth.</t>
  </si>
  <si>
    <t>El gobierno mexicano, liderado por el presidente Andrés Manuel López Obrador, ha respondido a la matanza racista en El Paso, Texas, con una ofensiva diplomática y legal. El canciller Marcelo Ebrard viajó a Texas para reunirse con las familias de las víctimas mexicanas y anunció que México presentará una denuncia por terrorismo contra el atacante, Patrick Crusius. El gobierno mexicano busca acusar a Estados Unidos de prácticas terroristas y solicitar la extradición de Crusius. Expertos legales debaten la viabilidad de esta estrategia, ya que el terrorismo no es un delito internacional, pero México tiene bases legales para hacerlo debido a la doble criminalidad. La solicitud de extradición podría enfrentar resistencia de Estados Unidos, ya que Texas, donde ocurrió la matanza, aún aplica la pena de muerte. A pesar de esto, el gobierno mexicano también planea presentar un caso contra la venta y distribución de armas en Estados Unidos, debido a la gran cantidad de armas que ingresan ilegalmente a México. Los hechos de El Paso han reavivado el debate sobre la posesión de armas en Estados Unidos, y el presidente López Obrador ha llamado a una mayor regulación.</t>
  </si>
  <si>
    <t>El Gobierno mexicano, encabezado por el presidente Andrés Manuel López Obrador, ha iniciado una ofensiva diplomática y legal tras la matanza racista en El Paso, Texas, donde ocho mexicanos fueron asesinados y seis resultaron heridos. El canciller Marcelo Ebrard ha viajado a Texas para reunirse con las familias de las víctimas y anunciar que México presentará una denuncia por terrorismo contra el asesino, Patrick Crusius. Esta acción busca llamar la atención sobre el racismo y la supremacía blanca en Estados Unidos y presionar para una regulación más estricta de la venta de armas. Expertos en derecho internacional debaten la viabilidad de la extradición del tirador, mientras que otros ven el gesto como una medida retórica. El caso judicial podría tener un impacto en la relación bilateral entre México y Estados Unidos.</t>
  </si>
  <si>
    <t>**Qué:** El Gobierno mexicano ha iniciado una ofensiva diplomática y legal tras la matanza racista en El Paso, Texas, donde un hombre blanco asesinó a 22 personas, incluyendo a ocho mexicanos.
**Quién:** El canciller mexicano, Marcelo Ebrard, junto con el presidente Andrés Manuel López Obrador, han liderado la respuesta diplomática. El fiscal general de México, Alejandro Gertz, será el encargado de solicitar la extradición del asesino.
**Cuándo:** La matanza ocurrió el sábado, y el lunes Ebrard viajó a Texas para reunirse con las familias de las víctimas. La ofensiva diplomática y legal se ha desarrollado a lo largo de varios días, con declaraciones y acciones por parte de las autoridades mexicanas.
**Dónde:** La matanza tuvo lugar en El Paso, Texas, una ciudad fronteriza con una gran población hispana. Las reuniones y conferencias de prensa se han llevado a cabo en El Paso y en la Ciudad de México.
**Por qué:** El Gobierno mexicano busca justicia para las víctimas mexicanas y busca responsabilizar al asesino por terrorismo. También busca llamar la atención sobre el problema de la posesión de armas en Estados Unidos y su impacto en México.
**Cómo:** El Gobierno mexicano ha decidido presentar una denuncia por terrorismo contra el asesino, Patrick Crusius, y solicitar su extradición. Esto se basa en la doble criminalidad, ya que el terrorismo no es un delito internacional. Además, México planea presentar un caso contra la venta y distribución de armas en Estados Unidos, especialmente las armas de asalto.</t>
  </si>
  <si>
    <t>El gobierno mexicano, liderado por el presidente Andrés Manuel López Obrador, ha respondido a la masacre racista en El Paso, Texas, con una ofensiva diplomática y legal. El canciller Marcelo Ebrard se reunió con las familias de las víctimas mexicanas y anunció que México presentará una denuncia por terrorismo contra el atacante, Patrick Crusius. El objetivo es solicitar su extradición a México para ser juzgado por el asesinato de ocho mexicanos. Este caso es único, ya que el terrorismo no es un delito internacional, pero México tiene bases legales para solicitar la extradición debido a la doble criminalidad. Expertos en derecho internacional difieren sobre la viabilidad de la extradición, pero coinciden en que sería un giro en la política de extradición de Estados Unidos. Además, México planea presentar un caso contra la venta y distribución de armas en Estados Unidos, debido a la facilidad con la que se pueden adquirir y traficar armas a México.</t>
  </si>
  <si>
    <t>El texto explora la importancia de los sentidos, en particular el olfato, en la supervivencia y percepción de la belleza en el mundo. Se destaca la falta de modelos matemáticos detallados para comprender el funcionamiento de los sentidos, a pesar de la magia que los rodea. Se menciona la evolución del cerebro y cómo los sentidos son la herramienta básica para recibir estímulos del entorno. La relación entre estímulos y sentidos influye en el desarrollo neuronal, creando conexiones y sinapsis que configuran el aprendizaje, la sensibilidad estética y la creatividad. El sistema olfativo, con sus cilios olfatorios, convierte la información química en impulsos nerviosos, pero el proceso de procesamiento de estos impulsos sigue siendo un misterio. Se plantea la necesidad de comprender la fisiología subyacente a través de modelos matemáticos para avanzar en el conocimiento de los sistemas biológicos. El texto concluye con una serie de preguntas y desafíos sobre cómo la matemática puede abordar estos fenómenos y proporcionar una comprensión más profunda de cómo los sentidos moldean nuestra conciencia y nuestra identidad.</t>
  </si>
  <si>
    <t>El texto explora la importancia y complejidad de los sentidos, en particular el olfato, y su papel crucial en la percepción del mundo y en el desarrollo neuronal. A pesar de su relevancia, las ciencias matemáticas han dedicado relativamente poco esfuerzo a modelar y entender el funcionamiento de los sentidos. Sin embargo, recientes avances en la comprensión del sistema olfativo, gracias a modelos matemáticos y técnicas de problemas inversos, han permitido revelar la fisiología subyacente y el rol de los cilios olfatorios. Aún queda mucho por descubrir sobre cómo el cerebro procesa los impulsos nerviosos y cómo estos influyen en nuestra conciencia y comportamiento. La matemática tiene un papel clave en la búsqueda de respuestas a estos misterios, y la ciencia del futuro se encargará de desvelar los secretos detrás de la percepción y la conciencia.</t>
  </si>
  <si>
    <t>Qué: Se explora la importancia de los sentidos, en particular el olfato, y cómo los estímulos externos son percibidos y procesados por el cerebro. Se destaca la falta de modelos matemáticos para entender mejor el funcionamiento de los sentidos y se resalta la necesidad de comprender la fisiología subyacente.
Quién: El matemático Carlos Conca, profesor e investigador en la Universidad de Chile, presenta sus ideas sobre la modelación del sentido del olfato y los desafíos en la comprensión de los sentidos.
Cuándo: La conferencia "Modelling our sense of smell" se llevó a cabo en el congreso ICIAM 2019.
Dónde: La conferencia tuvo lugar en un contexto académico, probablemente en un auditorio o sala de conferencias.
Por qué: Se busca comprender la dinámica estímulo-sentido y su impacto en el desarrollo neuronal, así como entender cómo los sentidos influyen en la percepción de la belleza y la aparición del arte. También se explora la curiosidad humana y su relación con la magia de los sentidos.
Cómo: A través de la modelación matemática, se intenta desentrañar los misterios del procesamiento de los impulsos nerviosos generados por los sentidos. Se destaca la importancia de las técnicas de problemas inversos y se sugiere que los modelos matemáticos pueden proporcionar una mejor comprensión de la microestructura física y fisiológica involucrada.</t>
  </si>
  <si>
    <t>**TL;DR:** La comprensión matemática de los sentidos, especialmente el olfato, es un campo en desarrollo que busca entender cómo los estímulos externos se convierten en impulsos nerviosos y cómo influyen en el desarrollo neuronal y la percepción de la belleza. Aunque se han realizado avances en el estudio del sistema olfativo, el proceso de procesamiento de los impulsos nerviosos y su impacto en la conciencia y la identidad personal aún son misterios que la ciencia futura deberá abordar.</t>
  </si>
  <si>
    <t>Fernando Navarro, de 76 años y residente en Madrid, se jubila después de regentar durante 38 años uno de los videoclubes más antiguos de la ciudad, Import Vídeo. Navarro vendió su colección de más de 50.000 películas a una empresa catalana que las comercializa en Amazon. Asegura que se retira por su edad avanzada y porque el alquiler de películas estaba decreciendo. Recuerda con nostalgia los primeros años, cuando en España había más dinero y la afición cinematográfica era mayor. Las películas más memorables para él fueron "Mujeres al borde de un ataque de nervios" de Almodóvar y más recientemente "Campeones". Prefiere tener las películas en formato físico y escogerlas él mismo, en lugar de depender de las plataformas de streaming. Considera que tener acceso a las películas y poder elegir es algo que se ha perdido con el cierre de los videoclubes. A pesar de todo, cree que la vida real es mejor que la de las películas.</t>
  </si>
  <si>
    <t>El cierre de uno de los videoclubes más antiguos de Madrid, Import Vídeo, y la jubilación de su propietario, Fernando Navarro, tras 38 años en el negocio.</t>
  </si>
  <si>
    <t>Qué: Fernando Navarro, dueño de uno de los videoclubes más antiguos de Madrid, Import Vídeo, se jubila tras 38 años en el negocio.
Quién: Fernando Navarro, de 76 años, y sus clientes habituales.
Cuándo: En un momento en el que el alquiler de películas estaba decreciendo y la edad de Navarro era avanzada.
Dónde: En el videoclub Import Vídeo, ubicado en Vallecas, Madrid.
Por qué: Navarro quería retirarse y no quería que su negocio se convirtiera en una tienda de venta de películas usadas, ya que iba en contra de su filosofía de traer todas las películas y ofrecer una amplia variedad.
Cómo: Navarro vendió su colección de más de 50.000 unidades a una empresa catalana y ahora se dedica a disfrutar de su jubilación. Recuerda con cariño los años dorados del cine en España y la pasión de sus clientes por las películas.</t>
  </si>
  <si>
    <t>Fernando Navarro, de 76 años y residente en Madrid, se jubila después de regentar durante 38 años uno de los videoclubes más antiguos de la ciudad, Import Vídeo. La colección de más de 50.000 unidades fue vendida a una empresa catalana que comercializa filmes por Amazon. Navarro recuerda los primeros años con éxito y una gran afición cinematográfica en España, pero los últimos años fueron diferentes, con una disminución de clientes habituales. Entre las películas más memorables, menciona "Mujeres al borde de un ataque de nervios" de Pedro Almodóvar y "Campeones". Navarro prefiere tener las películas en su poder y escogerlas él mismo, en lugar de depender de las plataformas de streaming. Lamenta que las nuevas generaciones no puedan acceder a las películas a precios asequibles y destaca la importancia cultural del cine.</t>
  </si>
  <si>
    <t>El fundador y CEO de Aciturri, Ginés Clemente, explica la adquisición de la empresa Alestis como una necesidad para crecer y competir con otros proveedores de Airbus. Alestis, con sede en Sevilla, era la opción ideal para fusionarse con Aciturri y crear un grupo de mayor tamaño y facturación. La compra se llevó a cabo en julio de 2025, y el objetivo es duplicar la facturación del nuevo grupo, reduciendo la dependencia de Airbus y expandiéndose a Norteamérica y Asia.
A pesar de los desafíos, como la deuda de Alestis y la necesidad de aumentar la eficiencia, Clemente confía en que la fusión será exitosa gracias al crecimiento del sector aeronáutico y la demanda de nuevas aeronaves. La fecha clave será 2024, cuando se realicen los primeros pagos de la deuda, y si Alestis logra la rentabilidad necesaria, se podrá fusionar con Aciturri. Mientras tanto, Aciturri continúa creciendo y batiendo récords de entregas.</t>
  </si>
  <si>
    <t>La empresa Aciturri, fabricante de componentes aeronáuticos, adquiere a Alestis para formar un grupo más grande y competitivo en la industria aeronáutica. Esta fusión busca reducir costos, aumentar la eficiencia y diversificar su cartera de clientes, reduciendo su dependencia de Airbus. El objetivo es alcanzar una facturación de 1.000 millones de euros y expandirse internacionalmente, especialmente en Norteamérica y Asia. Sin embargo, la operación enfrenta desafíos, como la deuda de Alestis y la necesidad de mejorar su rentabilidad. A pesar de esto, el consejero delegado de Aciturri confía en que la fusión será exitosa, impulsada por el crecimiento del sector aeronáutico y la demanda de nuevas aeronaves.</t>
  </si>
  <si>
    <t>**Qué:** Adquisición de Alestis por parte de Aciturri, fabricante de componentes aeronáuticos, para crecer y ser más competitivos.
**Quién:** Ginés Clemente, fundador y consejero delegado de Aciturri, y las empresas Aciturri y Alestis.
**Cuándo:** La operación se firmó el 30 de julio, tras meses de negociaciones.
**Dónde:** La sede de Alestis está en Sevilla, mientras que Aciturri se encuentra en Miranda de Ebro (Burgos).
**Por qué:** Aciturri buscaba aumentar su tamaño para reducir costes y estar en línea con otros proveedores de primera línea de Airbus. Alestis era la única alternativa disponible y tenía la talla necesaria para conformar un grupo de cierto tamaño. Además, ambas empresas son complementarias en la línea de componentes aeronáuticos.
**Cómo:** Aciturri adquirió el 75,94% de Alestis, mientras que la SEPI mantiene el 24,06%. Los vendedores fueron Airbus y Unicaja. La operación enfrentó desafíos, como la deuda de Alestis y la necesidad de garantizar pedidos. Clemente planea diversificar, reducir la dependencia de Airbus y expandir la división de motores. La fusión completa dependerá de la rentabilidad de Alestis en los próximos años.</t>
  </si>
  <si>
    <t># Resumen:
El fabricante de componentes aeronáuticos Aciturri, con sede en Miranda de Ebro (Burgos), ha adquirido a su competidor Alestis para aumentar su tamaño y ser más competitivo. La fusión crea un grupo con una facturación de 585 millones de euros y 18 plantas con 3.100 trabajadores. El objetivo es reducir la dependencia de Airbus, que actualmente aporta el 70% de los ingresos, y diversificar hacia otros mercados como Norteamérica y Asia. La división de motores, Aciturri Aeroengines, también se verá fortalecida. La operación no fue fácil debido a la deuda de Alestis y la necesidad de garantizar pedidos de Airbus. A pesar de los desafíos, el consejero delegado de Aciturri, Ginés Clemente, confía en que la fusión será exitosa, impulsada por el crecimiento del sector aeronáutico.</t>
  </si>
  <si>
    <t>La temporada de verano en España comenzó con un aumento en la llegada de turistas internacionales, con un total de 8,8 millones de visitantes en junio, un 3,2% más que en 2018. Cataluña y Madrid experimentaron un crecimiento en las llegadas, mientras que Andalucía también recibió un número significativo de turistas. Sin embargo, las islas Baleares y Canarias vieron una disminución en el número de visitantes, especialmente desde el Reino Unido, debido a la inestabilidad política y la debilidad de la libra. A pesar de esto, España sigue siendo un destino popular para turistas europeos, especialmente británicos, franceses y alemanes. En cuanto a las vías de entrada, la mayoría de los turistas llegaron por vía aérea, seguido por carretera y ferrocarril. La duración de la estancia más común fue de 4 a 7 noches, pero las "escapadas" de 2 a 3 noches también aumentaron. En cuanto al alojamiento, la mayoría de los turistas optaron por el alojamiento de mercado, especialmente hoteles, mientras que el alquiler de viviendas disminuyó. En general, el primer semestre de 2025 mostró un crecimiento en la llegada de turistas a España, con la excepción de Canarias, que experimentó una disminución.</t>
  </si>
  <si>
    <t>El turismo en España durante el primer semestre de 2019 muestra un crecimiento general, con un aumento del 2,8% en la llegada de visitantes internacionales. Cataluña y Andalucía son los destinos más populares, mientras que las islas Baleares y Canarias experimentan una ligera disminución en el número de turistas. La vía aeroportuaria es la más utilizada para la entrada de turistas, y el alojamiento de pago es el más común. A pesar de la inestabilidad política y la competencia, España sigue siendo un destino atractivo para los turistas europeos, especialmente británicos, franceses y alemanes.</t>
  </si>
  <si>
    <t>Qué: El texto describe la llegada de visitantes internacionales a España durante el verano de 2019, con un enfoque en el mes de junio y el primer semestre del año.
Quién: Los turistas extranjeros, especialmente británicos, franceses y alemanes, siguen eligiendo a España como destino turístico.
Cuándo: En el mes de junio de 2019 y en el primer semestre del año (enero-junio).
Dónde: La mayoría de las comunidades autónomas españolas reciben turistas, con énfasis en Cataluña, Madrid, Andalucía, Baleares y Canarias.
Por qué: A pesar de la inestabilidad política y la competencia de otros destinos, España sigue siendo atractiva para los turistas europeos. Sin embargo, la debilidad de la libra y la oferta de destinos más económicos están afectando la llegada de turistas británicos.
Cómo: La mayoría de los turistas llegan a España por vía aérea, aunque también se observa un aumento en la llegada por ferrocarril. La duración de la estancia más común es de 4 a 7 noches, pero las "escapadas" de 2 a 3 noches también están en aumento. La mayoría de los turistas optan por el alojamiento de mercado, especialmente hoteles, aunque también se observa un crecimiento en el uso de segundas residencias.</t>
  </si>
  <si>
    <t>El verano de 2019 en España comenzó con un aumento en la llegada de turistas internacionales, con un total de 8,8 millones de visitantes en junio, un 3,2% más que en 2018. Cataluña sigue siendo el destino más popular, con un crecimiento del 2,2%. Madrid y Andalucía también experimentaron aumentos significativos en las llegadas de turistas. Sin embargo, las islas Baleares y Canarias vieron una disminución en el número de visitantes, con un 2,6% y un 7% menos, respectivamente. La inestabilidad política y la competencia de otros destinos más baratos han afectado a la llegada de turistas británicos, que descendió un 5,3% en junio. Alemania y Francia compensaron esta caída, con aumentos del 8,4% y el 8%, respectivamente. En cuanto a la vía de entrada, la mayoría de los turistas llegaron por vía aérea, con un aumento del 3,6%. El alojamiento de pago fue el más utilizado, con un crecimiento del 3,5%. En el primer semestre de 2019, España registró un crecimiento del 2,8% en el número de turistas, con Cataluña, Andalucía y Baleares mostrando cifras positivas. Canarias fue la excepción, con una disminución del 2,8% en las llegadas.</t>
  </si>
  <si>
    <t>Sarah Palin, la exgobernadora de Alaska y candidata a vicepresidenta en 2008, ha vuelto a ser noticia por su divorcio. Su imagen fue parodiada en una serie de películas pornográficas protagonizadas por la actriz Lisa Ann, quien interpretó a Palin en seis películas producidas por Hustler. Estas películas, con títulos como "Who's nailing Paylin?" y "Obama is nailin' Palin", fueron un éxito y resucitaron la carrera de Lisa Ann, quien se convirtió en una de las actrices porno más famosas. La popularidad de estas parodias llevó a Lisa Ann a ser invitada a programas y revistas, y a pronunciarse políticamente apoyando a Barack Obama. Años después, anunció su retirada del porno y se convirtió en gurú del fantasy, llamando la atención de los medios. Recientemente, ha vuelto al porno, pero ahora eligiendo sus proyectos y luchando por mejorar la industria.</t>
  </si>
  <si>
    <t>El texto se centra en la relación entre la política estadounidense Sarah Palin y la actriz pornográfica Lisa Ann, quien interpretó a Palin en varias películas para adultos. El divorcio de Palin ha vuelto a ponerla en el foco de atención, y el texto explora cómo su figura se convirtió en un fenómeno mediático y cómo esto llevó a la creación de parodias pornográficas que resucitaron la carrera de Lisa Ann. El texto también destaca el activismo político de Lisa Ann y su transición de estrella porno a gurú del fantasy, así como su regreso al mundo del porno con proyectos seleccionados.</t>
  </si>
  <si>
    <t>Qué: Sarah Palin, exgobernadora de Alaska y candidata a vicepresidenta en 2008, vuelve a la actualidad por su divorcio. También se destaca su papel en la política estadounidense y su impacto en la cultura popular, incluyendo su aparición en películas pornográficas.
Quién: Todd Palin, esposo de Sarah Palin, solicitó el divorcio. Lisa Ann, actriz de cine para adultos, interpretó a Sarah Palin en varias películas porno. Larry Flint, propietario de Hustler, fue otro ejemplo de figura política del mundo del porno.
Cuándo: El divorcio se produjo tras 31 años de matrimonio. Las películas porno de Lisa Ann se estrenaron en 2008, el día de las elecciones generales en Estados Unidos. En 2009, Eminem la llamó para su videoclip. En 2014, anunció su retirada del porno y en 2015 publicó sus memorias. Ahora, ha vuelto al género.
Dónde: Sarah Palin es conocida en su Estados Unidos natal, especialmente en Alaska, donde fue gobernadora. Las películas porno se rodaron en diferentes lugares, y Lisa Ann actuó en clubes de strip-tease.
Por qué: El divorcio se debe a la "incompatibilidad de temperamento" entre Sarah y Todd Palin. La participación de Lisa Ann en las películas porno fue una oportunidad laboral y un medio para resucitar su carrera. Su apoyo a Barack Obama también fue relevante.
Cómo: Lisa Ann respondió a una oferta de trabajo y cobró una cifra elevada por su papel en las películas porno. Su interpretación de Sarah Palin la convirtió en una de las actrices porno más famosas. También participó en un videoclip de Eminem y escribió sus memorias. Ahora, vuelve al porno con proyectos seleccionados.</t>
  </si>
  <si>
    <t>Sarah Palin, la exgobernadora de Alaska y candidata a vicepresidenta en 2008, ha vuelto a la actualidad por su divorcio de Todd Palin después de 31 años de matrimonio. La actriz pornográfica Lisa Ann, que interpretó a Palin en seis películas para adultos, se ha convertido en una figura conocida y ha tenido una carrera exitosa en la industria del cine para adultos. Las películas, producidas por Hustler, tienen títulos como "Who's Nailing Paylin?" y "Obama is Nailin' Palin", y han sido objeto de debate político y crítico. Lisa Ann apoyó abiertamente a Barack Obama en las elecciones de 2008 y 2012, y su popularidad la llevó a dar entrevistas en medios generalistas y a ser llamada para el videoclip de Eminem, "We Made You". En 2014, anunció su retirada del porno para centrarse en otros negocios y en su papel como gurú del fantasy, pero ha vuelto a la industria, ahora con más control sobre sus proyectos y compañeros de escena. Además, lucha por mejorar las condiciones de la industria y proteger a los intérpretes porno retirados.</t>
  </si>
  <si>
    <t>Joel Joan y Hèctor Claramunt escribieron *El pare de la núvia*, una comedia encargada por unos productores para el actor Joan Pera, con libertad creativa pero con título predefinido. La obra, estrenada en el Teatre Condal de Barcelona, gira en torno a una boda que se complica cuando el padre de la novia descubre que la madre del novio fue su amante, temiendo que los jóvenes sean hermanos.  
El espectáculo, dirigido por Joan, se presenta como una comedia romántica con diálogos inspirados en *Plats bruts* y una estructura clásica de cinco actos. Joan Pera interpreta a Francesc Ramon, un millonario que organiza una boda espectacular para su hija Meritxell, pero enfrenta el inesperado conflicto.  
Pera, considerado por Joan como el mejor actor de comedia del país, destaca su gratitud por trabajar con actores jóvenes y celebra su vínculo con el teatro. El reparto incluye a Sergi Vallès, Marc Rius, Anna Carreño, Pep Sais y Maife Gil. La obra busca hacer reír y ofrecer una experiencia festiva al público.</t>
  </si>
  <si>
    <t>Joel Joan y Hèctor Claramunt escribieron la comedia *El pare de la núvia*, protagonizada por Joan Pera, quien interpreta a Francesc Ramon, un millonario que organiza la boda de su hija Meritxell. La trama da un giro inesperado cuando descubre que la madre de su futuro yerno fue su amante, lo que despierta el temor de que los novios puedan ser hermanos. La obra, estrenada en el Teatre Condal de Barcelona, está dirigida por Joan, quien destaca su tono humorístico y referencias cercanas al público, como la telecomedia *Plats bruts*. El espectáculo cuenta con un reparto que combina actores jóvenes y veteranos. Joan Pera, conocido también por su trabajo como actor de doblaje de Woody Allen, regresa al teatro tras su participación en *El Fantasma de Canterville* y expresa su pasión por el teatro en este proyecto.</t>
  </si>
  <si>
    <t>**Resumen 5W1H del texto:**
- **¿Qué?**  
La obra de teatro *El pare de la núvia*, una comedia romántica centrada en una boda que se complica cuando el padre de la novia descubre que la madre del futuro yerno fue su amante, generando dudas sobre un posible parentesco entre los novios.
- **¿Quién?**  
Creada por Joel Joan y Hèctor Claramunt, y protagonizada por Joan Pera como Francesc Ramon, un millonario organizador de la boda. El reparto incluye actores jóvenes como Sergi Vallès, Marc Rius y Anna Carreño, junto a veteranos como Pep Sais y Maife Gil.
- **¿Cuándo?**  
Estrenada el sábado pasado en el Teatre Condal de Barcelona, con una presentación previa el miércoles anterior.
- **¿Dónde?**  
En el Teatre Condal de Barcelona.
- **¿Por qué?**  
Por encargo de unos productores que pidieron a los autores crear una obra para Joan Pera con el título *El pare de la núvia*. El objetivo es ofrecer al público una experiencia divertida y memorable en el teatro.
- **¿Cómo?**  
La obra tiene una estructura clásica de cinco actos, diálogos con tono humorístico inspirado en *Plats bruts* y elementos espectaculares como circo, orquesta sinfónica y pirotecnia. Fue escrita con un enfoque cercano al público, aprovechando el talento cómico de Joan Pera.</t>
  </si>
  <si>
    <t>Joel Joan y Hèctor Claramunt escribieron **El pare de la núvia**, una comedia romántica encargada por productores para el actor Joan Pera. La obra, estrenada en el Teatre Condal de Barcelona, cuenta la historia de una boda que se complica cuando el padre de la novia descubre que la madre del futuro yerno fue su amante, temiendo que los novios sean hermanos. Dirigida por Joan, la puesta en escena busca entretener al público con humor cercano y diálogos inspirados en *Plats bruts*. Joan Pera interpreta a Francesc Ramon, un millonario que organiza una boda extravagante. El reparto incluye tanto actores jóvenes como veteranos, y la obra está estructurada en cinco actos.</t>
  </si>
  <si>
    <t>**The King**, dirigida por David Michôd, es una película de 2019 inspirada en las obras de Shakespeare *Enrique IV (Parte 2)* y *Enrique V*. Aunque algunos medios la han calificado como un "Shakespeare para millennials" debido a su asociación con Netflix y su elenco juvenil, esta etiqueta resulta injusta y errónea. La película mantiene un aire shakespeariano en sus escenarios, diálogos, poesía y complejidad emocional, ofreciendo una adaptación que respeta el espíritu de las obras originales aunque introduce cambios.
Con una banda sonora envolvente de Nicholas Britell y un destacado elenco liderado por Timothée Chalamet, quien interpreta un Enrique firme y estratégico, y Joel Edgerton como Falstaff, la cinta aborda conflictos internos y externos en la corona inglesa. A pesar de la alta calidad de su producción, no alcanza el impacto duradero de otras adaptaciones cinematográficas de Shakespeare, como las de Laurence Olivier, Orson Welles y Kenneth Branagh. Sin embargo, se consolida como una obra sólida y digna dentro del cine shakespeariano, con su estreno en cines el 18 de octubre de 2019 y en Netflix el 1 de noviembre.</t>
  </si>
  <si>
    <t>**Resumen:**
*The King*, dirigida por David Michôd y protagonizada por Timothée Chalamet, es una adaptación cinematográfica inspirada en las obras de Shakespeare *Enrique IV (parte 2)* y *Enrique V*. Aunque se han realizado cambios en los acontecimientos y diálogos, la película mantiene un evidente aire shakespeariano en su tratamiento histórico, poesía y subtexto. Contrario a quienes la califican como una versión "ligera para millennials", *The King* ofrece profundidad en sus diálogos y complejidad emocional, destacándose por interpretaciones sólidas, especialmente la de Chalamet como un Enrique V firme pero vulnerable, y Joel Edgerton como un Falstaff contenido. Con una banda sonora envolvente de Nicholas Britell, aborda las guerras civiles y el ascenso de un rey inicialmente rebelde que se convierte en estratega. Estrenada en cines el 18 de octubre de 2019 y en Netflix el 1 de noviembre, es una obra sólida que rinde homenaje a Shakespeare, aunque sin alcanzar la trascendencia de adaptaciones anteriores como las de Orson Welles o Kenneth Branagh.</t>
  </si>
  <si>
    <t>**Qué:**  
_The King_ es una película dirigida por David Michôd, inspirada en las obras "Enrique IV" (segunda parte) y "Enrique V" de Shakespeare. Es un drama histórico que explora temas como el poder, la estrategia y la soledad.
**Quién:**  
La película está protagonizada por Timothée Chalamet como Enrique, con actuaciones destacadas de Joel Edgerton, Robert Pattinson y Sean Harris. Nicholas Britell compuso la banda sonora.
**Cuándo:**  
_The King_ se estrenó en cines el 18 de octubre de 2019 y llegó a Netflix el 1 de noviembre del mismo año. 
**Dónde:**  
El filme es una producción australiana, distribuida globalmente por Netflix. Se desarrolla en escenarios históricos como Inglaterra, Escocia y Gales.
**Por qué:**  
La película adapta las obras de Shakespeare para narrar la transición de Enrique V de un joven díscolo a un rey estratega, abordando conflictos internos y externos de la monarquía inglesa.
**Cómo:**  
Mediante un enfoque visual detallado, diálogos cargados de lirismo y un aire shakespeariano, la película ofrece una interpretación moderna y compleja, desmintiendo su etiquetado como una versión superficial para millennials.</t>
  </si>
  <si>
    <t>*The King* de David Michôd, inspirada en *Enrique IV* y *Enrique V* de Shakespeare, ha sido injustamente etiquetada como "Shakespeare para millennials". La película, protagonizada por Timothée Chalamet, mantiene un aire shakespeariano evidente en su tratamiento de escenarios, diálogos y complejidad emocional. Aunque toma libertades adaptativas, su profundidad lírica y épica contrarresta cualquier percepción de ligereza juvenil. Con una banda sonora destacada de Nicholas Brittell y sólidas actuaciones, *The King* se mide con grandes versiones cinematográficas del material original, aunque sin alcanzar la genialidad de algunas. Estreno en cines el 18 de octubre y en Netflix el 1 de noviembre de 2019.</t>
  </si>
  <si>
    <t>En 2019, la plaza Fernández Ladreda en Madrid superó el límite horario de contaminación. En 2018, la Comunidad de Madrid ya había excedido los límites anuales de dióxido de nitrógeno (NO₂) y ozono (O₃), destacándose el Corredor del Henares y la Plaza Elíptica como las áreas más contaminadas. El tráfico de vehículos de combustión es la principal causa del exceso de NO₂, mientras que los altos niveles de ozono troposférico se deben a la combinación de óxidos de nitrógeno, compuestos orgánicos volátiles y radiación solar. En Madrid, las estaciones de Ramón y Cajal y Plaza Elíptica registraron los mayores valores de NO₂. En respuesta, la Comisión Europea pidió medidas más estrictas para mejorar la calidad del aire, especialmente en Madrid y Barcelona, por incumplir las normativas europeas.</t>
  </si>
  <si>
    <t>La Comunidad de Madrid superó en 2018 los límites de dióxido de nitrógeno (NO₂) y ozono (O₃), siendo las zonas más afectadas el Corredor del Henares y la Plaza Elíptica, debido al tráfico de vehículos y emisiones urbanas. El ozono troposférico también se incrementó por la presencia de precursores en condiciones de alta radiación solar. En Madrid, las estaciones de Ramón y Cajal y Plaza Elíptica registraron las mayores superaciones de NO₂. La Comisión Europea expresó su preocupación por estas cifras, instando al gobierno a reforzar medidas para mejorar la calidad del aire.</t>
  </si>
  <si>
    <t>### Resumen con el método de las 5W1H:
**Qué:**  
Se ha superado el límite de contaminación de dióxido de nitrógeno (NO₂) y ozono troposférico (O₃) en Madrid y otras zonas de la Comunidad de Madrid, como el Corredor del Henares y la Plaza Elíptica.  
**Quién:**  
El informe fue realizado por el Ministerio de Transición Ecológica. La Comisión Europea, representada por el comisario Karmenu Vella, expresó su preocupación a Teresa Ribera, ministra para la Transición Ecológica en funciones.  
**Cuándo:**  
El problema persiste desde 2018, con un llamado de atención de la Comisión Europea el 9 de julio de 2019.  
**Dónde:**  
Las principales áreas afectadas son el municipio de Madrid (con estaciones como Plaza Elíptica y Ramón y Cajal) y el Corredor del Henares, especialmente la estación de Coslada.  
**Por qué:**  
La contaminación por NO₂ se debe principalmente al tráfico de vehículos de combustión y, en menor medida, a emisiones cercanas a la capital. Los altos niveles de ozono troposférico se generan por la presencia de precursores (óxidos de nitrógeno y compuestos orgánicos volátiles), intensificados por la radiación solar y el transporte regional.  
**Cómo:**  
La contaminación supera los valores límite establecidos por la normativa europea, principalmente en áreas urbanas y metropolitanas con alta densidad de tráfico. Esto ha llevado a una solicitud de medidas más estrictas para mejorar la calidad del aire.</t>
  </si>
  <si>
    <t>En 2018, la Comunidad de Madrid superó los límites anuales de dióxido de nitrógeno (NO₂) y ozono (O₃), especialmente en zonas como el Corredor del Henares y Plaza Elíptica, debido al tráfico de vehículos de combustión y la cercanía de la capital. Los altos niveles de ozono se deben a precursores en el aire y radiación solar. El comisario europeo de Medio Ambiente instó a España a reforzar medidas de calidad del aire, ya que Madrid y Barcelona siguen vulnerando la normativa europea.</t>
  </si>
  <si>
    <t>Inés Ortega, gastrónoma y autora de más de 40 libros de cocina, destaca la importancia de consumir frutas y verduras de temporada, algo que muchos desconocen. Junto a su nuera Marina Rivas, formada en Le Cordon Bleu, ha publicado *Cocina sana y sencilla*, una guía con 350 recetas que incluye recomendaciones nutricionales y consejos prácticos. La obra celebra el legado de Simone Ortega, autora del icónico *1080 recetas de cocina*, adaptando su filosofía a los tiempos actuales con ingredientes y propuestas saludables. Marina, tras dejar la banca para dedicarse a la gastronomía, enfatiza la planificación y el uso de productos locales para mantener una dieta equilibrada. El libro combina recetas, consejos sobre materiales de cocina y capítulos sobre vinos y etiqueta en la mesa, destacando creaciones favoritas como crema de zanahoria con espirulina, espaguetis de cúrcuma y compota de manzana con lavanda.</t>
  </si>
  <si>
    <t>Inés Ortega y Marina Rivas, expertas en gastronomía, han publicado el libro *Cocina sana y sencilla*, una guía que combina recetas con información práctica sobre productos de temporada, nutrición para diferentes necesidades y consejos para una alimentación saludable. La obra incluye 350 recetas fáciles de preparar, orientadas a usar ingredientes locales y de estación, ayudando a evitar la comida rápida mediante una planificación adecuada. Marina, formada en Le Cordon Bleu, destaca platos innovadores como espaguetis de cúrcuma y cookies de avena, mientras Inés, heredera del legado de *1080 recetas de cocina*, refuerza la idea de acercar la cocina a todos los públicos con propuestas simples y consejos útiles.</t>
  </si>
  <si>
    <t>### **Resumen usando el método 5W1H:**
**Qué:**  
El libro *Cocina sana y sencilla*, escrito por Inés Ortega y Marina Rivas, es una guía de recetas y consejos nutricionales que promueve el consumo de alimentos de temporada y una dieta saludable.
**Quién:**  
Inés Ortega, gastrónoma y autora de más de 40 libros, junto a su nuera Marina Rivas, formada en Le Cordon Bleu y especializada en pastelería francesa. Ambas son parte de la familia que creó el icónico recetario *1080 recetas de cocina*.
**Cuándo:**  
La publicación del libro coincide con la celebración del centenario del nacimiento de Simone Ortega (1919-2008), autora del famoso recetario. El evento de presentación tuvo lugar la semana pasada en Madrid.
**Dónde:**  
El libro fue presentado en Madrid y editado por Alianza dentro del sello *1080 Nuevas Ideas de Cocina*.
**Por qué:**  
El propósito del libro es fomentar hábitos alimenticios saludables, adaptados a diferentes necesidades (deportistas, diabéticos, hipertensos), e incluir productos de proximidad y temporada para evitar el consumo de alimentos fuera de su mejor momento.
**Cómo:**  
La obra ofrece 350 recetas en 650 páginas, además de consejos sobre planificación de menús, utensilios básicos, recomendaciones nutricionales y maridaje con vinos. Ejemplos destacados incluyen recetas como crema fría de zanahorias con hinojo, espaguetis de cúrcuma y postres como compota de manzana con lavanda.</t>
  </si>
  <si>
    <t>Inés Ortega y Marina Rivas han publicado *Cocina sana y sencilla*, un libro que combina recetas fáciles, guías sobre productos de temporada y recomendaciones nutricionales para diversos públicos. Ortega, autora de más de 40 libros, continúa el legado culinario de su madre, Simone Ortega, creadora de *1080 recetas de cocina*. Rivas, formada en Le Cordon Bleu y especializada en pastelería francesa, dejó el mundo financiero para dedicarse a la cocina. Ambas promueven una alimentación saludable basada en productos locales y de temporada, con recetas prácticas y consejos útiles para planificar menús equilibrados. *Cocina sana y sencilla* incluye 350 recetas en 650 páginas, con opciones destacadas como crema de zanahorias con espirulina y compota de manzana con lavanda.</t>
  </si>
  <si>
    <t>El Gobierno de México, liderado por Marcelo Ebrard, ha emprendido una ofensiva diplomática y legal tras la matanza en El Paso, Texas, que dejó ocho mexicanos muertos y seis heridos. Ebrard viajó a reunirse con las familias de las víctimas y anunció que México participará en el juicio contra el autor, Patrick Crusius, bajo cargos de terrorismo. Además, se explora su extradición a México, aunque esto enfrenta obstáculos legales y políticos. 
El presidente López Obrador y Ebrard han destacado la necesidad de combatir el racismo, la supremacía blanca y el acceso indiscriminado a armas de fuego en Estados Unidos. México planea demandar por la venta y distribución de armas que contribuyen a la violencia en ambos países. Este caso refleja un esfuerzo sin precedentes por parte de México para influir en políticas estadounidenses y buscar justicia para sus ciudadanos.</t>
  </si>
  <si>
    <t>El texto aborda la respuesta del Gobierno mexicano tras el ataque racista en El Paso, Texas, donde murieron ocho mexicanos. Marcelo Ebrard, canciller de México, viajó a Texas para reunirse con las familias de las víctimas y anunciar una estrategia legal que incluye buscar la extradición del responsable, Patrick Crusius, por actos de terrorismo. Además, México planea litigar contra la venta de armas en Estados Unidos, señalando su impacto en la violencia transfronteriza. Sin embargo, expertos ven dificultades legales y diplomáticas en la extradición, y Estados Unidos podría rechazarla. El caso reaviva el debate sobre la regulación de armas en EE. UU., tema históricamente polémico.</t>
  </si>
  <si>
    <t>**Resumen utilizando el método 5W1H:**
- **¿Qué pasó?**  
Una matanza racista en El Paso, Texas, dejó 22 personas muertas, incluidos ocho mexicanos. México inició una ofensiva diplomática y legal contra el atacante, buscando clasificarlo como terrorismo.
- **¿Quiénes están involucrados?**  
El canciller mexicano Marcelo Ebrard lidera la estrategia del Gobierno de Andrés Manuel López Obrador. El autor del ataque es Patrick Crusius, un joven blanco de 21 años. También se menciona al fiscal Alejandro Gertz y al presidente de Estados Unidos, Donald Trump.
- **¿Cuándo ocurrió?**  
El ataque ocurrió el sábado, y las reacciones y acciones legales comenzaron el lunes siguiente.
- **¿Dónde ocurrió?**  
El tiroteo tuvo lugar en un supermercado en El Paso, Texas, una comunidad mayoritariamente hispana.
- **¿Por qué?**  
El ataque fue un acto de odio contra hispanos. México busca justicia para las víctimas y presionar a Estados Unidos para endurecer las regulaciones sobre armas y enfrentar el racismo y la supremacía blanca.
- **¿Cómo se está actuando?**  
Ebrard viajó a Texas para reunirse con familiares de las víctimas y coordinar esfuerzos legales, incluyendo una posible extradición de Crusius a México. Además, se planea denunciar la venta indiscriminada de armas en Estados Unidos, que facilita este tipo de crímenes.</t>
  </si>
  <si>
    <t>La masacre racista en El Paso ha impulsado una respuesta diplomática y legal por parte del Gobierno mexicano. El canciller Marcelo Ebrard viajó a Texas para apoyar a las víctimas mexicanas y anunció que México buscará litigar contra el atacante, Patrick Crusius, por terrorismo, incluso solicitando su extradición. Aunque esto es inusual, se argumenta que existen bases legales debido a la doble criminalidad. Expertos consideran difícil lograr la extradición debido a la jurisdicción estadounidense y la pena de muerte, que México no permite. Además, México reaviva el debate sobre la regulación de armas en EE. UU., cuestionando su impacto en los crímenes transfronterizos.</t>
  </si>
  <si>
    <t>El texto explora el papel fundamental del olfato en la supervivencia y percepción del mundo, destacando cómo los sentidos transforman estímulos en impulsos nerviosos que el cerebro interpreta. Aunque la matemática ha contribuido poco al estudio de los sentidos, avances recientes buscan modelar su funcionamiento, especialmente en el caso del olfato. Este sistema convierte información química (feromonas) en impulsos eléctricos que el cerebro percibe como olores. Los modelos matemáticos, basados en problemas inversos, permiten estudiar estructuras como los cilios olfatorios, clave en este proceso. Sin embargo, el mecanismo que conecta estas señales con emociones y recuerdos sigue siendo un misterio, al igual que en los demás sentidos. La matemática podría ayudar a desentrañar estos procesos en el futuro.</t>
  </si>
  <si>
    <t>El texto destaca la importancia del olfato y otros sentidos en la supervivencia, el aprendizaje y la percepción del mundo. Describe cómo los estímulos sensoriales son captados, transformados en impulsos nerviosos y procesados por el cerebro, aunque el mecanismo exacto aún es un misterio. En particular, se explora el sistema olfativo, señalando avances recientes gracias a modelos matemáticos que permiten entender la conversión de señales químicas en eléctricas y el papel de los cilios olfatorios. Carlos Conca, matemático chileno, resalta el uso de técnicas matemáticas para modelar procesos biológicos, abriendo camino a nuevas formas de comprender la fisiología y los sentidos. Sin embargo, muchas preguntas sobre cómo los sentidos influyen en nuestra conciencia y comportamiento quedan para futuras investigaciones científicas.</t>
  </si>
  <si>
    <t>### Resumen 5W1H
**¿Qué?**  
El texto aborda cómo los sentidos, especialmente el olfato, perciben estímulos y los transforman en impulsos nerviosos, explorando su relación con el desarrollo neuronal, la percepción y el aprendizaje. También reflexiona sobre el rol de las matemáticas en modelar estos procesos biológicos.
**¿Quién?**  
Carlos Conca, matemático, profesor del Departamento de Ingeniería Matemática e investigador del Centro de Modelamiento Matemático de la Universidad de Chile, quien impartió la conferencia “Modelling our sense of smell” en el congreso ICIAM 2019.
**¿Cuándo?**  
El congreso ICIAM 2019 marcó un hito reciente en los avances sobre el modelado matemático de los sentidos, particularmente del olfato.
**¿Dónde?**  
La investigación se desarrolla en instituciones académicas como el Centro de Modelamiento Matemático de la Universidad de Chile, destacando su importancia en eventos internacionales como el ICIAM 2019.
**¿Por qué?**  
Los sentidos son fundamentales para la supervivencia, percepción y creatividad humanas. Comprender cómo funcionan a nivel biológico y matemático puede abrir puertas al conocimiento de la conciencia, el aprendizaje y el comportamiento.
**¿Cómo?**  
Utilizando modelos matemáticos, como técnicas de problemas inversos, para interpretar datos biológicos y estudiar procesos fisiológicos complejos, como la conversión de moléculas odoríferas en impulsos nerviosos y su impacto en el cerebro.</t>
  </si>
  <si>
    <t>El texto reflexiona sobre cómo los sentidos reciben estímulos del entorno y cómo estos son procesados por el sistema nervioso para generar impulsos nerviosos que el cerebro interpreta. En particular, se centra en el olfato, destacando la función de las feromonas y los cilios olfatorios en la percepción de olores. Aunque la ciencia ha avanzado en la comprensión de cómo los sentidos funcionan, aún quedan muchos misterios, como el procesamiento del impulso nervioso. El autor sugiere que la matemática y los modelos matemáticos podrían ser claves para comprender estos procesos, ya que ayudan a estudiar la fisiología subyacente y los mecanismos que transforman estímulos en experiencias sensoriales y emociones.</t>
  </si>
  <si>
    <t>Fernando Navarro, de 76 años, regentó durante 38 años el videoclub Import Vídeo en Madrid, el cual cerró al jubilarse debido al declive en la demanda de alquiler de películas. En su apogeo, el local tenía más de 50,000 filmes, pero ahora solo quedan algunos VHS en una esquina. A lo largo de su carrera, defendió el cine español y destacó títulos como *Mujeres al borde de un ataque de nervios* y *Campeones*, que tuvieron gran éxito. Navarro prefería el formato DVD al VHS y las plataformas de streaming, ya que valoraba tener las películas en su poder. Lamenta la subida del IVA al 21%, que afectó negativamente al cine, y critica la falta de acceso asequible a películas para las nuevas generaciones. Aunque se ha jubilado, sigue considerando importante fomentar la afición al cine como un valor cultural.</t>
  </si>
  <si>
    <t>Fernando Navarro, a los 76 años, se jubila tras 38 años al frente de Import Vídeo, uno de los videoclubes más antiguos de Madrid. Durante su gestión, llegó a tener más de 50,000 películas, pero la demanda de alquiler disminuyó con el tiempo. Vendió su colección a una empresa catalana y cerró el local. A pesar de los cambios en la industria, Navarro recuerda con cariño los años de gran afluencia de clientes, destacando el éxito de películas como *Mujeres al borde de un ataque de nervios* y *Campeones*. Aunque la tecnología avanzó, Navarro sigue prefiriendo los formatos físicos como VHS y DVD, valorando la posibilidad de elegir las películas personalmente, a diferencia de las plataformas de streaming. Considera que el cine debe ser accesible y asequible para las nuevas generaciones, ya que es vital para la cultura del pueblo.</t>
  </si>
  <si>
    <t>**Qué**: Fernando Navarro, dueño del videoclub Import Vídeo, se jubila después de 38 años en el negocio. Vendió su colección de más de 50,000 películas a una empresa catalana que comercializa por Amazon.
**Quién**: Fernando Navarro, un hombre de 76 años, propietario de Import Vídeo.
**Cuándo**: La entrevista y su jubilación ocurrieron recientemente, aunque se menciona que estuvo operando durante 38 años, lo que abarca desde los primeros años de su negocio hasta la actualidad.
**Dónde**: En Madrid, específicamente en Vallecas, donde regentó su videoclub.
**Por qué**: Se jubila por su edad avanzada y porque el alquiler de películas disminuyó significativamente. No quería convertirse en una tienda solo de venta de películas usadas, lo que iba en contra de la esencia de su negocio.
**Cómo**: Durante su tiempo en el videoclub, se destacó por tener una gran variedad de películas, en contraste con la caída del alquiler de VHS y DVDs en los últimos años. A pesar de su pasión por el cine, no cree en las plataformas de streaming, pues prefiere tener las películas físicamente para poder elegirlas libremente.</t>
  </si>
  <si>
    <t>Fernando Navarro, de 76 años y dueño del videoclub Import Vídeo en Madrid, se jubila después de 38 años de servicio. Durante su carrera, coleccionó más de 50,000 películas, que vendió a una empresa catalana. Recuerda con cariño los primeros años, cuando España vivía una gran afición por el cine, y menciona películas populares como *Mujeres al borde de un ataque de nervios* y *Campeones* como algunas de las más memorables. Critica el auge de las plataformas digitales, prefiriendo el VHS y el DVD por su calidad y la posibilidad de elegir las películas. A pesar de los cambios, sigue defendiendo el cine como un elemento cultural importante.</t>
  </si>
  <si>
    <t>Ginés Clemente, fundador de Aciturri, reconoce que la única opción para su empresa era crecer para ser más competitiva y reducir costes. Tras considerar la adquisición de un fabricante en el extranjero, Alestis, con sede en Sevilla, fue la opción ideal por su tamaño y complementariedad con Aciturri. La operación, cerrada en julio de 2019, le permitió a Aciturri adquirir el 75,94% de Alestis. Este grupo ahora factura 585 millones de euros y cuenta con 3.100 empleados. Clemente busca aumentar la facturación hasta 1.000 millones, diversificar la carga de trabajo hacia Norteamérica y Asia, y reducir la dependencia de Airbus. Además, la nueva división de motores, Aciturri Aeroengines, busca expandirse frente a Aciturri Aerostructures. La compra de Alestis no fue fácil debido a su deuda, pero Clemente apuesta por la eficiencia y rentabilidad futura. La fusión de ambas empresas dependerá de la capacidad de Alestis para recuperar la rentabilidad y cubrir su deuda.</t>
  </si>
  <si>
    <t>**Resumen del texto:**  
Ginés Clemente, fundador y CEO de Aciturri, destaca que la adquisición de Alestis era necesaria para que su empresa ganara tamaño, redujera costes y compitiera como proveedor de primera línea (Tier 1) de Airbus. Con esta compra, Aciturri suma 18 plantas, 3.100 empleados y una facturación conjunta de 585 millones de euros en 2018. El objetivo es alcanzar los 1.000 millones de euros para competir con rivales europeos más grandes.  
La diversificación es clave: reducir la dependencia de Airbus (70 % de facturación), expandirse en América y Asia, y fortalecer su división de motores (Aeroengines), que aspira a representar el 30 % del negocio.  
La operación no fue fácil debido a la deuda de Alestis (285 millones de euros), que requiere reconversión y eficiencia para evitar cierres y despidos. Aunque ambas empresas operarán separadas inicialmente, la fusión total podría darse en 2024 si Alestis logra rentabilidad. Clemente confía en el crecimiento del sector aeronáutico, que necesita 35.000 aviones nuevos en las próximas dos décadas.</t>
  </si>
  <si>
    <t>**¿Qué?**  
Aciturri, fabricante aeronáutico, adquirió la empresa Alestis para crear un grupo más competitivo en el sector, duplicar su tamaño y diversificar sus actividades, especialmente en motores y mercados internacionales.
**¿Quién?**  
La operación fue liderada por Ginés Clemente, fundador y CEO de Aciturri, con la participación de los anteriores accionistas de Alestis (Airbus y Unicaja) y la SEPI, que mantiene una participación minoritaria.
**¿Cuándo?**  
El acuerdo de compra se firmó el 30 de julio tras dos años de negociaciones. El proceso incluye objetivos de facturación y reestructuración previstos hasta 2024.
**¿Dónde?**  
Aciturri tiene su sede en Miranda de Ebro (Burgos) y Alestis en Sevilla. Además, el grupo combinado cuenta con 18 plantas y planea expandirse a América y Asia.
**¿Por qué?**  
Aciturri buscaba ganar tamaño para reducir costes, competir con grandes proveedores y asegurar su posición como Tier 1 en el sector. Alestis era una oportunidad estratégica debido a su complementariedad y a su situación financiera.
**¿Cómo?**  
Aciturri adquirió el 75,94% de Alestis, inyectó 80 millones de euros para su liquidez y estableció un plan para resolver su deuda y mejorar la rentabilidad. Las dos empresas operarán separadamente hasta que Alestis se estabilice, con vistas a una posible fusión futura.</t>
  </si>
  <si>
    <t>Aciturri, fabricante de componentes aeronáuticos, adquirió Alestis para crecer y competir como proveedor Tier 1 de Airbus, duplicando su tamaño y diversificando ingresos. La operación, cerrada tras dos años de negociaciones, implicó asumir la deuda de Alestis (€285M) y una inyección de €80M para su reestructuración. El nuevo grupo factura €585M con 18 plantas y 3,100 empleados, y busca alcanzar €1,000M. Aciturri quiere reducir su dependencia de Airbus (70% de ingresos) expandiéndose en América y Asia y potenciando su división de motores. Aunque Alestis aún enfrenta problemas financieros y sobrecapacidad, Clemente, el CEO, planea fusionarlas en 2024 si logra estabilizarla.</t>
  </si>
  <si>
    <t>En junio, España recibió 8,8 millones de turistas internacionales, un 3,2 % más que en el mismo mes de 2018. Cataluña fue la comunidad más visitada (2,15 millones), mientras que Madrid y Andalucía experimentaron importantes aumentos del 14,9 % y 6,4 %, respectivamente. Sin embargo, las Islas Baleares y Canarias registraron descensos del 2,6 % y 7 %.
Entre los principales emisores, el turismo británico cayó un 5,3 %, afectado por factores como la inestabilidad política y la debilidad de la libra, aunque el aumento de turistas alemanes (+8,4 %) y franceses (+8 %) compensó esta bajada. También destacaron los incrementos de visitantes procedentes de Suiza, Portugal y Estados Unidos, frente a las disminuciones de los países nórdicos e Italia.
La mayoría de turistas llegó en avión (7,5 millones, +3,6 %), mientras que los accesos por ferrocarril crecieron un 27,6 %, y los llegados por barco disminuyeron un 17 %. El alojamiento de pago creció un 3,5 %, destacando los hoteles (+4,2 %), mientras que las viviendas en alquiler bajaron un 2 %.
En el primer semestre del año, España recibió 38,2 millones de turistas, un 2,8 % más que en 2018. Cataluña (+2,5 %) y Andalucía (+6,3 %) lideraron el crecimiento, mientras Canarias siguió en descenso (-2,8 %).</t>
  </si>
  <si>
    <t>En junio, España recibió 8,8 millones de turistas internacionales, un aumento del 3,2 % respecto al mismo mes de 2018. Cataluña lideró como destino (2,15 millones, +2,2 %), seguida por Baleares (2,06 millones, -2,6 %) y Andalucía (1,24 millones, +6,4 %). Sin embargo, Canarias registró la mayor caída (-7 %, 931.810 turistas). El turismo británico, afectado por la inestabilidad política y la debilidad de la libra, disminuyó un 5,3 %, mientras que creció el número de visitantes de Alemania (+8,4 %) y Francia (+8 %). Otros países con aumentos significativos incluyen Suiza (+20,1 %), Portugal (+17,9 %) y EE. UU. (+9,4 %). 
El transporte aéreo fue la principal vía de entrada (7,5 millones, +3,6 %), mientras que el ferrocarril destacó con un aumento del 27,6 %. Las estancias de 4 a 7 noches fueron las más comunes (4,3 millones), aunque las escapadas cortas (2-3 noches) crecieron un 22,2 %. El alojamiento de mercado predominó (7,44 millones, +3,5 %), con un aumento en hoteles (+4,2 %) y viviendas en propiedad (+16,4 %), mientras que las viviendas en alquiler bajaron (-2 %).
En el primer semestre de 2019, España recibió 38,2 millones de turistas (+2,8 %), con aumentos en Cataluña (+2,5 %) y Andalucía (+6,3 %). Canarias (-2,8 %) y el Reino Unido (-1,4 %) destacaron como las principales caídas del período.</t>
  </si>
  <si>
    <t>### 5W1H: Resumen del texto
**Qué:**  
La llegada de turistas internacionales a España aumentó ligeramente en junio, alcanzando los 8,8 millones, un 3,2 % más que en el mismo mes de 2018. Sin embargo, algunas zonas, como las islas Canarias y Baleares, experimentaron descensos.
**Quién:**  
Turistas internacionales, principalmente de Reino Unido, Alemania, Francia y otros países como Suiza, Portugal y Estados Unidos.
**Cuándo:**  
Datos correspondientes a junio y al primer semestre de 2019.
**Dónde:**  
España, con foco en regiones como Cataluña, Madrid, Andalucía, Canarias y Baleares.
**Por qué:**  
El aumento general se debe al atractivo turístico de España para europeos, aunque factores como la inestabilidad política, la debilidad de la libra y la competencia de destinos económicos afectan las llegadas, especialmente desde Reino Unido.
**Cómo:**  
La mayoría de los turistas ingresaron por vía aérea (más de 7,5 millones), mientras que las escapadas de 2-3 noches y el alojamiento de mercado, especialmente hoteles, fueron las opciones preferidas. En el semestre, España acumuló cerca de 38,2 millones de visitantes, con crecimiento en la mayoría de las regiones.</t>
  </si>
  <si>
    <t>En junio, España recibió 8,8 millones de turistas internacionales, un 3,2 % más que en 2018, destacando Cataluña, Madrid y Andalucía con crecimientos significativos. Sin embargo, Baleares (-2,6 %) y Canarias (-7 %) registraron caídas. El turismo británico bajó un 5,3 %, pero fue compensado por aumentos de turistas alemanes (+8,4 %) y franceses (+8 %). El acceso por tren creció un 27,6 %, mientras que el uso de barcos cayó un 17 %. Las estancias más comunes fueron de 4 a 7 noches, pero las escapadas cortas crecieron un 22,2 %. En el semestre, España acumuló 38,2 millones de turistas (+2,8 %), con Canarias como la única región con cifras negativas.</t>
  </si>
  <si>
    <t>El texto relata cómo Sarah Palin, exgobernadora de Alaska y candidata republicana a la vicepresidencia de EE. UU. en 2008, se convirtió en un fenómeno mediático y objeto de parodias, incluidas películas para adultos protagonizadas por la actriz Lisa Ann. Estas películas, que comenzaron con *Who’s Nailing Paylin?*, lanzada en el día de las elecciones de 2008, revitalizaron la carrera de Lisa Ann, quien llegó a ser una de las actrices porno más famosas del mundo, ganando notoriedad incluso en medios generalistas. Además, Ann interpretó a Palin en el videoclip de Eminem *We Made You* y posteriormente destacó como empresaria y gurú del fantasy football. Actualmente, tras regresar al porno de forma selectiva, Lisa Ann lucha por mejorar la industria, combatiendo el racismo y apoyando a actores retirados. El texto concluye mencionando cómo estas parodias reflejaron el interés mediático y político en figuras controvertidas como Palin y, más recientemente, Donald Trump.</t>
  </si>
  <si>
    <t>Sarah Palin, exgobernadora de Alaska y candidata a la vicepresidencia de Estados Unidos en 2008, ha vuelto a ser noticia por su divorcio tras 31 años de matrimonio. Palin, un fenómeno mediático en su momento por su estilo populista y polémico, inspiró múltiples parodias, incluida una serie de películas pornográficas protagonizadas por Lisa Ann, quien interpretaba una versión paródica de Palin llamada "Serra Paylin". Estas películas, producidas por Hustler, revitalizaron la carrera de Lisa Ann y la convirtieron en una figura destacada del cine para adultos, llegando a aparecer en medios convencionales y en un videoclip de Eminem.
Lisa Ann, tras alcanzar el éxito en la industria del porno, se retiró brevemente para dedicarse a negocios personales y juegos de fantasía deportiva, convirtiéndose en gurú de un nicho en auge. Posteriormente, regresó a la industria con un enfoque más selectivo, abogando por mejorar las condiciones laborales y luchar contra los conflictos raciales en el sector. La conexión entre Palin y Ann subraya la intersección entre política, cultura mediática y entretenimiento.</t>
  </si>
  <si>
    <t xml:space="preserve">### Resumen del texto utilizando el método 5W1H:  
- **¿Qué?**  
El texto aborda la notoriedad de Sarah Palin, exgobernadora de Alaska y candidata republicana a la vicepresidencia en 2008, y su impacto en la cultura popular, incluyendo parodias, memes, una película de HBO y una serie de películas pornográficas protagonizadas por Lisa Ann como una versión ficticia de Palin. También detalla la carrera de Lisa Ann y su evolución profesional.  
- **¿Quién?**  
Sarah Palin, figura política estadounidense; Lisa Ann, actriz de cine para adultos que parodió a Palin; Larry Flynt, productor de las películas pornográficas; y Eminem, quien incluyó a Lisa Ann en su videoclip *We Made You*.  
- **¿Cuándo?**  
Desde 2008, año de la candidatura de Palin a la vicepresidencia y estreno de la primera película paródica (*Who’s Nailin’ Paylin?*), hasta años recientes, con el regreso de Lisa Ann al porno y su papel en la industria.  
- **¿Dónde?**  
Estados Unidos, con impacto cultural en medios nacionales como Fox, revistas como *Marie Claire*, y plataformas como Pornhub.  
- **¿Por qué?**  
Sarah Palin se convirtió en un fenómeno mediático por su perfil político controvertido y su popularidad, lo que inspiró parodias que alimentaron la carrera de Lisa Ann. A su vez, Lisa Ann aprovechó la fama para transformarse en una figura influyente en la industria del cine para adultos.  
- **¿Cómo?**  
Lisa Ann accedió al rol mediante un anuncio en Craigslist y alcanzó fama global gracias al éxito de las películas paródicas, debates mediáticos, y apariciones en programas y videoclips. Posteriormente, diversificó su carrera, abordando problemas de la industria del cine para adultos y convirtiéndose en gurú de *fantasy football*.  </t>
  </si>
  <si>
    <t>Sarah Palin vuelve a la actualidad tras su divorcio, pero su figura ya había inspirado múltiples parodias, incluyendo una serie de películas porno protagonizadas por Lisa Ann, quien interpretó una versión erótica de la exgobernadora de Alaska. Estas películas, producidas por Hustler, impulsaron la carrera de Ann, llevándola a entrevistas en medios generalistas y hasta a un videoclip de Eminem. Ann, tras retirarse del porno en 2014, se convirtió en experta en fantasy football y activista por los derechos de los actores de la industria. Actualmente, ha regresado al cine para adultos, pero con un enfoque más selectivo y político.</t>
  </si>
  <si>
    <t xml:space="preserve"> Joel Joan y Hèctor Claramunt escribieron la comedia "El pare de la núvia" para el actor Joan Pera, bajo el título impuesto por los productores. La trama gira en torno a una boda que se complica cuando el padre del novio descubre que la madre de su futuro yerno fue su amante, temiendo que los novios sean hermanos. La obra, estrenada en el Teatre Condal de Barcelona, es descrita como una comedia romántica con influencias de telecomedias como "Plats bruts". Joan Joan, director de la función, elogia a Pera como el "mejor actor de comedia del país" y destaca el tono divertido y cercano de la historia. El reparto incluye a actores tanto jóvenes como veteranos, y la obra promete ser una celebración llena de humor y sorpresas.
</t>
  </si>
  <si>
    <t xml:space="preserve"> **Resumen:**
Joel Joan y Hèctor Claramunt escribieron la comedia "El pare de la núvia" para el actor Joan Pera, bajo el título impuesto por los productores. La trama gira en torno a Francesc Ramon, un millonario maestro galletero que organiza una lujosa boda para su hija, solo para descubrir el día antes que el padre del novio es en realidad su antiguo amante y el novio su hijo ilegítimo. La obra, estrenada en el Teatre Condal de Barcelona, es una comedia romántica con influencias de telecomedias y una estructura clásica de cinco actos. Pera elogia a su joven reparto y destaca su amor por el teatro, mientras que el director Joel Joan resalta que la obra no está relacionada con películas previas del mismo título.
</t>
  </si>
  <si>
    <t xml:space="preserve"> **Qué:** Joel Joan y Hèctor Claramunt escribieron una comedia titulada "El pare de la núvia" para el actor Joan Pera, que gira en torno a una boda con un giro inesperado cuando el padre del novio descubre que la madre de su futuro yerno fue su amante.
**Quién:** Los autores son Joel Joan y Hèctor Claramunt, el protagonista es Joan Pera, y el reparto incluye a Sergi Vallès, Marc Rius, Anna Carreño, Pep Sais y Maife Gil.
**Cuándo:** La obra se estrenó el sábado en el Teatre Condal de Barcelona y se presentó por primera vez en la presentación del espectáculo el miércoles pasado.
**Dónde:** La obra se estrena y se presenta en el Teatre Condal de Barcelona.
**Por qué:** Los autores aceptaron el encargo como un "reto estimulante" para crear una historia original con el título dado. Joan Pera interpreta al padre del novio, cuyo miedo de que los novios sean hermanos da pie a la trama cómica.
**Cómo:** La comedia, dirigida por Joel Joan, es descrita como una "comedia romántica" con diálogos inspirados en la telecomedia "Plats bruts". La trama se desarrolla en torno a una boda lujosa que se ve alterada por el descubrimiento del padre del novio. La obra tiene una estructura clásica de cinco actos y cuenta con elementos como circo, orquesta y pirotecnia para amenizar la velada.
</t>
  </si>
  <si>
    <t xml:space="preserve"> Joel Joan, Hèctor Claramunt y Joan Pera han creado una comedia titulada "El pare de la núvia" para el Teatre Condal de Barcelona. La trama gira en torno a una boda que se complica cuando el padre del novio descubre que la madre de su futuro yerno fue su amante, lo que lo lleva a temer que los novios sean hermanos. La obra, dirigida por Joan Joan, es una comedia romántica con influencias de telecomedias y presenta un elenco que incluye a Joan Pera, conocido por su trabajo en doblaje y por su papel en "El Fantasma de Canterville". Los autores y el director buscan que el público salga feliz y disfrute de una noche de entretenimiento en el teatro.
</t>
  </si>
  <si>
    <t xml:space="preserve"> **Resumen de "The King" de David Michôd:**
A pesar de las expectativas de ser un "Shakespeare para millennials" debido a su producción por Netflix y el reparto joven, "The King" es una adaptación fiel y profunda de las obras "Enrique IV, Parte 2" y "Enrique V" de Shakespeare. Dirigida por David Michôd y protagonizada por Timothée Chalamet, la película mantiene el espíritu shakespeariano en su tratamiento de escenarios, interpretaciones, diálogos y poesía, alejándose de una versión ligera o simplificada.
La trama abarca las guerras civiles en Inglaterra y la transformación del príncipe Hal en el rey Enrique V, enfrentándose tanto a enemigos externos como a la corrupción interna de la corte. Joel Edgerton interpreta a Falstaff con una profundidad nueva, mientras Chalamet ofrece una versión única y compleja de Enrique V, alejándose de las interpretaciones tradicionales.
Aunque la película comparte temas y estructuras con clásicas adaptaciones cinematográficas de Shakespeare, como las de Laurence Olivier y Kenneth Branagh, "The King" se destaca por su sólida dirección, banda sonora y actuaciones, aunque sin alcanzar una originalidad que la diferencie radicalmente de sus predecesoras.
En resumen, "The King" es una respetuosa y poderosa adaptación shakespeariana que desafía las etiquetas simplistas y ofrece una experiencia cinematográfica rica y compleja, lejos de ser meramente una versión para una generación específica.
</t>
  </si>
  <si>
    <t xml:space="preserve"> **Resumen:**
"The King", dirigida por David Michôd y protagonizada por Timothée Chalamet, es una adaptación de las obras de Shakespeare "Enrique IV" y "Enrique V" que ha sido erróneamente etiquetada como un "Shakespeare para millennials" debido a su reparto joven. Sin embargo, el filme mantiene un fuerte aire shakespeariano en su tratamiento de escenarios, interpretaciones, diálogos y poesía, desafiando las expectativas de ligereza.
A pesar de enfrentar el desafío de numerosas versiones anteriores clásicas, incluyendo las de Laurence Olivier, Orson Welles y Kenneth Branagh, "The King" ofrece una interpretación sólida y distinta, con Chalamet como un Enrique V firme pero de apariencia frágil, y Joel Edgerton como un Falstaff más contenido. La banda sonora de Nicholas Brittell complementa la atmósfera envolvente del filme.
Aunque no se destaca por ser radicalmente innovadora, la película se erige como una obra respetuosa y digna dentro del canon shakespeariano, superando las críticas de superficialidad y demostrando que es "simplemente Shakespeare, que no es poco".
</t>
  </si>
  <si>
    <t xml:space="preserve"> **Qué:** "The King", un drama dirigido por David Michôd y coproducido por Netflix, es una adaptación inspirada en "Segunda parte de Enrique IV" y "Enrique V" de Shakespeare, protagonizada por Timothée Chalamet y Joel Edgerton.
**Quién:** 
- **Director:** David Michôd.
- **Intérpretes principales:** Timothée Chalamet, Joel Edgerton, Robert Pattinson, Sean Harris.
- **Coproductores:** Netflix.
**Cuándo:** 
- **Estreno en cines:** Viernes 18 de octubre.
- **Estreno en Netflix:** 1 de noviembre de 2019.
**Dónde:** Australia (país de producción).
**Por qué:** La película ha sido objeto de debate por ser etiquetada como un "Shakespeare para millennials", lo cual Michôd y el equipo rechazan, argumentando que es una adaptación fiel y profunda del material shakespeariano, desafiando las expectativas de ligereza y superficialidad asociadas con la generación millennial.
**Cómo:** La película aborda las guerras civiles en Inglaterra y la transformación de un príncipe juerguista en un estratega real, con una excelente banda sonora y actuaciones destacadas, especialmente de Chalamet y Edgerton. Aunque comparte elementos con versiones anteriores de Shakespeare, "The King" se establece como una obra sólida y respetuosa con el original, aunque sin destacar por encima de ellas.
</t>
  </si>
  <si>
    <t xml:space="preserve"> "The King", dirigida por David Michôd y protagonizada por Timothée Chalamet, es una adaptación moderna de las obras de Shakespeare "Enrique IV" y "Enrique V" que ha sido erróneamente etiquetada como "Shakespeare para millennials" debido a su reparto joven y su distribución por Netflix. Sin embargo, la película mantiene un fuerte aire shakespeariano en su tratamiento de escenarios, interpretaciones, diálogos y poesía, superando las expectativas de una versión ligera o simplificada. Aunque enfrenta el desafío de compararse con clásicas adaptaciones anteriores, "The King" ofrece una interpretación sólida y distinta, destacando el desempeño de Chalamet como un Enrique V complejo y firme. Aunque no se destaca por ser completamente innovadora, la película es una respetuosa y valiosa contribución al legado shakespeariano.
</t>
  </si>
  <si>
    <t xml:space="preserve"> La Comunidad de Madrid superó en 2018 los límites anuales de dióxido de nitrógeno (NO2) y ozono (O3), con el Corredor del Henares y la Plaza Elíptica como las áreas más contaminadas. El tráfico de vehículos es la principal causa del exceso de NO2, mientras que los altos niveles de O3 se deben a precursores como óxidos de nitrógeno y compuestos orgánicos volátiles bajo radiación solar intensa. La Comisión Europea ha expresado su preocupación y solicitado a España reforzar las medidas de calidad del aire debido a las continuas superaciones de los límites establecidos.
</t>
  </si>
  <si>
    <t xml:space="preserve"> **Resumen:**
La Comunidad de Madrid superó en 2018 los límites anuales de dióxido de nitrógeno (NO2) y ozono (O3), con el Corredor del Henares y la Plaza Elíptica como las áreas más afectadas. El tráfico de vehículos es la principal causa de la contaminación por NO2, mientras que los altos niveles de O3 se deben a precursores como óxidos de nitrógeno y compuestos orgánicos volátiles bajo radiación solar intensa. La Comisión Europea ha expresado su preocupación y solicitado a España el refuerzo de medidas para mejorar la calidad del aire, especialmente en Madrid y Barcelona.
</t>
  </si>
  <si>
    <t xml:space="preserve"> **Qué:** La Comunidad de Madrid superó los límites anuales de dióxido de nitrógeno (NO2) y ozono (O3) en 2018, con el Corredor del Henares y la Plaza Elíptica como áreas más contaminadas. En 2019, ya se ha superado el valor límite horario de polución en la plaza Fernández Ladreda.
**Quién:** El Ministerio de Transición Ecológica de España y el comisario de Medio Ambiente de la Comisión Europea, Karmenu Vella, están involucrados en la evaluación y preocupación por la calidad del aire en Madrid.
**Cuándo:** Los datos se refieren al año 2018 y a situaciones ocurridas en 2019. La carta del comisario Vella a la ministra Ribera fue enviada el 9 de julio de 2019.
**Dónde:** La contaminación es más severa en el Corredor del Henares, la Plaza Elíptica y la ciudad de Madrid en general. También se menciona la cercanía de Barcelona como otra área afectada.
**Por qué:** La contaminación por NO2 se debe principalmente al tráfico de vehículos de combustión, mientras que el alto nivel de O3 se atribuye a precursores como óxidos de nitrógeno y compuestos orgánicos volátiles, bajo fuerte radiación solar y transporte regional.
**Cómo:** El Ministerio de Transición Ecológica realiza un informe de evaluación de la calidad del aire, y la Comisión Europea envía cartas de preocupación solicitando el refuerzo de medidas para cumplir con la normativa europea. La actualidad se sigue a través de redes sociales.
</t>
  </si>
  <si>
    <t xml:space="preserve"> La Comunidad de Madrid ha superado los límites anuales de polución de dióxido de nitrógeno (NO2) y ozono (O3) en 2018, con el Corredor del Henares y la Plaza Elíptica como las áreas más afectadas. Las principales causas son el tráfico de vehículos de combustión para el NO2 y la combinación de precursores químicos y radiación solar para el O3. La Comisión Europea ha expresado su preocupación y ha solicitado a España el refuerzo de medidas para mejorar la calidad del aire, especialmente en Madrid y Barcelona.
</t>
  </si>
  <si>
    <t xml:space="preserve"> El texto destaca la importancia de consumir frutas y verduras de temporada, algo que muchas personas desconocen o ignoran en su compra diaria. Inés Ortega, gastrónoma y autora, junto con su nuera Marina Rivas, ha publicado "Cocina sana y sencilla", un libro que no solo ofrece recetas sino también una guía sobre las temporadas de productos, recomendaciones nutricionales y consejos para una cocina rápida y saludable. El libro celebra el centenario del nacimiento de Simone Ortega, madre de Inés y autora del clásico "1080 recetas de cocina". Marina, con formación en pastelería francesa, ha sido animada por su suegra a tomar el relevo en la tradición familiar de la gastronomía. El libro incluye 350 recetas y consejos prácticos para planificar menús saludables y equilibrados, utilizando ingredientes de temporada y proximidad. Ambas autoras resaltan la importancia de una dieta planificada para evitar la comida basura y promover una alimentación sana.
</t>
  </si>
  <si>
    <t xml:space="preserve"> El texto trata sobre la importancia de consumir frutas y verduras de temporada y presenta el libro "Cocina sana y sencilla" de Inés Ortega y Marina Rivas, que incluye consejos nutricionales, recomendaciones para diferentes perfiles (deportistas, diabéticos, hipertensos), recetas rápidas y una guía sobre las mejores épocas para consumir productos frescos. El libro también aborda aspectos prácticos como el material de cocina necesario y ofrece 350 recetas saludables. Simone Ortega, madre de Inés y abuela de Marina, es una influyente figura en la cocina española, conocida por su obra "1080 recetas de cocina".
</t>
  </si>
  <si>
    <t xml:space="preserve"> **Qué:** Inés Ortega y Marina Rivas han publicado el libro "Cocina sana y sencilla", una guía que incluye temporadas de productos, recomendaciones nutricionales y recetas saludables, además de consejos prácticos de cocina.
**Quién:** Inés Ortega, gastrónoma y autora de más de 40 libros de cocina, y Marina Rivas, nuera de Ortega, especializada en pastelería francesa y formada en Le Cordon Bleu.
**Cuándo:** El libro fue publicado recientemente, y se presenta como una forma de celebrar el centenario del nacimiento de Simone Ortega, madre de Inés y reconocida autora de "1080 recetas de cocina".
**Dónde:** La presentación del libro tuvo lugar en Madrid, España.
**Por qué:** Las autoras buscan promover una alimentación saludable y equilibrada, destacando la importancia de consumir productos de temporada y ofreciendo recetas fáciles y accesibles para todos los niveles de habilidad culinaria.
**Cómo:** El libro está estructurado con capítulos sobre materiales de cocina básicos, temporadas de productos, recomendaciones nutricionales para diferentes grupos de personas, y más de 350 recetas variadas. También incluye consejos sobre presentación y servicio de la comida.
</t>
  </si>
  <si>
    <t xml:space="preserve"> El libro "Cocina sana y sencilla" de Inés Ortega y Marina Rivas ofrece consejos sobre las temporadas de frutas y verduras, recomendaciones nutricionales para diferentes grupos de personas, y recetas rápidas y saludables. Ambas autoras enfatizan la importancia de consumir alimentos en su mejor momento y planificar menús con productos de temporada y proximidad para una dieta equilibrada. El libro incluye 350 recetas y también proporciona información sobre utensilios de cocina básicos y el uso de diferentes materiales. Marina Rivas, nuera de Inés Ortega y especialista en pastelería francesa, está tomando el relevo en la tradición familiar de gastronomía saludable y accesible.
</t>
  </si>
  <si>
    <t xml:space="preserve"> El Gobierno mexicano, liderado por Andrés Manuel López Obrador, ha iniciado una fuerte ofensiva diplomática y legal tras la masacre racista en El Paso, Texas, donde ocho mexicanos murieron. El canciller Marcelo Ebrard viajó a El Paso para reunirse con las familias de las víctimas y anunciar la intención de litigar por terrorismo en contra del autor del ataque, Patrick Crusius. México buscará la extradición de Crusius bajo la acusación de terrorismo, aunque jurídicamente el terrorismo no es un delito internacional concreto y su persecución depende de la doble criminalidad y las leyes nacionales.
Aunque la estrategia legal es ambiciosa y podría enfrentar obstáculos, como la reticencia estadounidense a renunciar a la jurisdicción y la posibilidad de que no se otorgue la extradición, el Gobierno mexicano ve en este caso una oportunidad para abordar la problemática del tráfico de armas desde Estados Unidos hacia México. López Obrador ha señalado la necesidad de controlar la venta indiscriminada de armas, un tema de larga data en la relación bilateral y que ha sido recurrentemente mencionado por funcionarios mexicanos como una de las causas de la violencia en el país.
La masacre en El Paso ha reavivado el debate en Estados Unidos sobre la regulación de armas de fuego, y aunque el Gobierno mexicano espera un impacto positivo en esta discusión, los expertos consideran que la extradición y el litigio por terrorismo podrían enfrentar serias dificultades legales y políticas. A pesar de estos desafíos, México mantiene su postura de buscar justicia para las víctimas y de abordar las raíces del problema del tráfico de armas que afecta gravemente su seguridad.
</t>
  </si>
  <si>
    <t xml:space="preserve"> **Resumen:**
El Gobierno mexicano, liderado por Andrés Manuel López Obrador, ha iniciado una ofensiva diplomática y legal tras la masacre racista en El Paso, Texas, donde ocho mexicanos murieron. El canciller Marcelo Ebrard viajó a Texas para reunirse con las familias de las víctimas y anunciar la intención de litigar en Estados Unidos bajo la acusación de terrorismo contra el autor del ataque, Patrick Crusius. Aunque el terrorismo no es un delito internacional per se, México busca aprovechar la doble criminalidad y la relación bilateral para solicitar la extradición de Crusius. Expertas cuestionan la viabilidad jurídica y política de esta medida, ya que Estados Unidos generalmente juzga los delitos cometidos en su territorio y podría rechazar la extradición. Además, el ataque ha reavivado el debate en Estados Unidos sobre la regulación de armas de fuego, un tema de larga data entre ambos países. México ha expresado su intención de abordar este asunto en el marco de su litigio, aunque las perspectivas de éxito son inciertas dada la fuerte protección constitucional a la posesión de armas en Estados Unidos.
</t>
  </si>
  <si>
    <t xml:space="preserve"> **Qué:** El Gobierno mexicano, liderado por Andrés Manuel López Obrador, ha iniciado una ofensiva diplomática y legal tras la masacre racista en El Paso, Texas, donde ocho mexicanos murieron. Esto incluye una denuncia por terrorismo contra el autor del ataque, Patrick Crusius, y la posibilidad de solicitar su extradición.
**Quién:** 
- **Andrés Manuel López Obrador:** Presidente de México.
- **Marcelo Ebrard:** Canciller de México.
- **Patrick Crusius:** Autor del ataque en El Paso.
- **Donald Trump:** Presidente de Estados Unidos en ese momento.
**Cuándo:** 
- **Sábado:** Ocurre la masacre en El Paso.
- **Lunes:** Marcelo Ebrard viaja a Texas.
- **Martes:** Se espera una reunión entre Ebrard y el fiscal general de México, Alejandro Gertz.
**Dónde:** 
- **El Paso, Texas, Estados Unidos:** Lugar de la masacre.
- **Consulado mexicano en El Paso:** Donde Ebrard da conferencias de prensa.
- **Ciudad de México:** Donde se toman decisiones y se planifica la estrategia legal.
**Por qué:** 
- Para buscar justicia por las muertes de ocho mexicanos en la masacre.
- Para denunciar y combatir el terrorismo y el racismo.
- Para presionar a Estados Unidos sobre la regulación de armas de fuego.
**Cómo:** 
- **Diplomáticamente:** A través de reuniones y declaraciones públicas.
- **Legalmente:** Presentando una denuncia por terrorismo y considerando la solicitud de extradición de Crusius.
- **Políticamente:** Utilizando el caso para destacar la necesidad de regulaciones más estrictas en la venta de armas en Estados Unidos.
</t>
  </si>
  <si>
    <t xml:space="preserve"> Tras la masacre racista en El Paso, México ha iniciado una ofensiva diplomática y legal, incluyendo la posibilidad de acusar al autor, Patrick Crusius, de terrorismo ante las autoridades estadounidenses. El canciller Marcelo Ebrard viajó a Texas para reunirse con las familias de las víctimas mexicanas y discutir la investigación. Aunque el terrorismo no es un delito internacional per se, México busca aprovechar la doble criminalidad para solicitar la extradición de Crusius. Expertas cuestionan la viabilidad jurídica de esta acción, pero reconocen el valor político del gesto. Además, el gobierno mexicano ha reiterado su preocupación por la facilidad con que las armas de fuego se cruzan la frontera hacia México, llamando a una mayor regulación en Estados Unidos.
</t>
  </si>
  <si>
    <t xml:space="preserve"> El texto explora la importancia del olfato como sentido clave para la reproducción y supervivencia, y cómo las ciencias matemáticas están comenzando a modelar los procesos sensoriales para entender mejor su funcionamiento. Se destaca que el cerebro desarrolla habilidades a través de la percepción sensorial desde la infancia, y que el sistema olfativo, compuesto por redes neuronales, convierte las feromonas en impulsos nerviosos que el cerebro interpreta como olores. Los modelos matemáticos, especialmente aquellos que abordan problemas inversos, son esenciales para comprender la microestructura y fisiología de este proceso. Aunque aún quedan muchos misterios por resolver sobre cómo el cerebro procesa y interpreta los estímulos sensoriales, se sugiere que la matemática puede proporcionar herramientas valiosas para avanzar en el entendimiento de estos fenómenos complejos. El profesor Carlos Conca de la Universidad de Chile ilustra estos puntos con su investigación y conferencia sobre el modelo del sentido del olfato en el congreso ICIAM 2019.
</t>
  </si>
  <si>
    <t xml:space="preserve"> **Resumen:**
El texto explora la importancia del sentido del olfato y cómo las ciencias matemáticas están comenzando a modelar este sentido para entender mejor su funcionamiento. Se destaca que los sentidos son herramientas cruciales para recibir estímulos del entorno y que su desarrollo temprano influye significativamente en la configuración neuronal y el aprendizaje futuro. El sistema olfativo, compuesto por redes de neuronas que procesan feromonas, convierte estímulos químicos en impulsos nerviosos que el cerebro interpreta como olores. Los modelos matemáticos, especialmente aquellos que abordan problemas inversos, son esenciales para comprender la microestructura y fisiología subyacentes de este proceso. Aunque se han logrado avances, aún queda mucho por entender sobre cómo estos impulsos nerviosos se traducen en experiencias subjetivas y emociones. El texto sugiere que la matemática puede desempeñar un papel crucial en abordar estos desafíos futuros para profundizar en nuestra comprensión de los sentidos y la conciencia humana.
</t>
  </si>
  <si>
    <t xml:space="preserve"> **Qué:** Se explora el papel del olfato en los sentidos y cómo las ciencias matemáticas están comenzando a modelar su funcionamiento para entender mejor cómo los estímulos olfativos se convierten en impulsos nerviosos y son interpretados por el cerebro.
**Quién:** El profesor Carlos Conca, del Departamento de Ingeniería Matemática de la Universidad de Chile y miembro del Centro de Modelamiento Matemático, es el principal referente en esta explicación. También se menciona el congreso ICIAM 2019 donde impartió una conferencia al respecto.
**Cuándo:** La información se presenta en el contexto del congreso ICIAM 2019, aunque los avances en el modelamiento matemático del olfato son recientes y continúan en desarrollo.
**Dónde:** El texto se refiere a investigaciones y conferencias realizadas en la Universidad de Chile y en el congreso ICIAM 2019, aunque el tema del olfato es universal.
**Por qué:** El interés radica en comprender cómo los sentidos, y específicamente el olfato, funcionan a nivel biológico y matemático para mejorar nuestra percepción del mundo y potencialmente aplicar estos conocimientos en el desarrollo de nuevas habilidades y terapias.
**Cómo:** Se utilizan técnicas matemáticas de problemas inversos para modelar la conversión de información química sobre olores en impulsos nerviosos, enfocándose en la estructura y función de los cilios olfatorios. Aunque aún queda mucho por descubrir sobre el procesamiento completo de estos impulsos en el cerebro.
</t>
  </si>
  <si>
    <t xml:space="preserve"> El texto explora el papel crucial de los sentidos, especialmente el olfato, en la percepción y supervivencia de los seres vivos. Destaca la escasa atención que las matemáticas han prestado hasta ahora a modelar estos procesos, a pesar de su potencial para revelar cómo los estímulos sensoriales se convierten en impulsos nerviosos y, finalmente, en experiencias conscientes.
Se menciona que el desarrollo neuronal en la infancia es altamente influenciado por los estímulos sensoriales, lo que forma las bases del aprendizaje, la sensibilidad estética y la creatividad. El sistema olfativo, compuesto por redes neuronales que responden a feromonas, es usado como ejemplo para ilustrar cómo los estímulos químicos se transforman en señales eléctricas que el cerebro interpreta como olores.
El texto subraya la importancia de los modelos matemáticos, especialmente aquellos que abordan problemas inversos, para comprender la fisiología subyacente de los sentidos y superar las limitaciones de las técnicas de observación directa. Sin embargo, reconoce que aún queda mucho por descubrir sobre cómo los impulsos nerviosos generados por los sentidos se procesan en la conciencia y cómo esto moldea nuestra identidad y comportamiento.
Finalmente, el autor, Carlos Conca, un matemático chileno, invita a considerar cómo la ciencia matemática puede contribuir a responder estas grandes preguntas sobre la naturaleza de la percepción y la conciencia, apuntando a futuras investigaciones en este campo.
</t>
  </si>
  <si>
    <t xml:space="preserve"> Fernando Navarro, de 76 años y expropietario del videoclub Import Vídeo en Vallecas, Madrid, se jubila después de 38 años. Su videoclub, conocido por su extensa colección de más de 50,000 unidades, ha cerrado y su colección ha sido vendida a una empresa catalana. Navarro lamenta la disminución de clientes habituales y la evolución del mercado hacia plataformas digitales en lugar de alquileres físicos. Recuerda con cariño películas icónicas como "Mujeres al borde de un ataque de nervios" y destaca la importancia cultural del cine, expresando su deseo de que tiendas como El Corte Inglés y Fnac continúen vendiendo películas para fomentar la afición cinematográfica entre las nuevas generaciones.
</t>
  </si>
  <si>
    <t xml:space="preserve"> Fernando Navarro, de 76 años y expropietario del videoclub Import Vídeo en Vallecas, Madrid, se jubila después de 38 años. Su videoclub, que una vez albergó más de 50,000 películas, ahora solo cuenta con algunos VHS y estuches vacíos, habiendo vendido su colección a una empresa catalana. Navarro lamenta la disminución de clientes habituales y la transición hacia plataformas de streaming, prefiriendo tener y elegir sus películas físicamente. Recuerda con cariño éxitos como "Mujeres al borde de un ataque de nervios" y "Campeones", y destaca la importancia cultural del cine, expresando su preocupación por la pérdida de afición entre las nuevas generaciones debido a los altos precios y la comodidad de las plataformas.
</t>
  </si>
  <si>
    <t xml:space="preserve"> **Qué:** Fernando Navarro, de 76 años y originario de Madrid, se jubila después de 38 años al frente de Import Vídeo, uno de los videoclubes más antiguos de la ciudad. Ha vendido su extensa colección de más de 50,000 películas a una empresa catalana para su comercialización en Amazon.
**Quién:** Fernando Navarro, expropietario de Import Vídeo en Vallecas, Madrid.
**Cuándo:** Navarro se jubila en la actualidad, después de 38 años de actividad. La venta de su colección se ha realizado recientemente.
**Dónde:** Import Vídeo estaba ubicado en Vallecas, Madrid. Navarro también menciona haber tenido otros cuatro locales en la ciudad.
**Por qué:** Navarro se jubila por su avanzada edad y debido a la disminución del alquiler y la disminución de clientes habituales. También expresa su desacuerdo con la idea de convertir su tienda solo en una venta de películas usadas, ya que eso iría en contra de su modelo de negocio basado en la oferta de una amplia gama de nuevas películas.
**Cómo:** La colección de películas de Navarro, que incluía más de 50,000 unidades, fue vendida a una empresa catalana. Aunque inicialmente el videoclub ofrecía alquiler y venta de películas en VHS y DVD, Navarro prefiere tener las películas físicas y elegirlas él mismo en lugar de depender de plataformas digitales.
Además, Navarro destaca la importancia cultural del cine y expresa su preocupación por la disminución del interés de las nuevas generaciones en adquirir y ver películas físicas, atribuyéndolo en parte al alto costo de las nuevas películas y al IVA elevado.
</t>
  </si>
  <si>
    <t xml:space="preserve"> Fernando Navarro, de 76 años y expropietario del videoclub Import Vídeo en Vallecas, Madrid, se jubila después de 38 años. Su videoclub, que una vez albergó más de 50,000 películas, ha cerrado debido a la disminución de clientes y al alza del alquiler. Navarro lamenta la pérdida de la cultura del videoclub y la forma en que los jóvenes ahora consumen películas principalmente a través de plataformas en línea. A pesar de la transición, sigue valorando la posesión física de películas y la experiencia de elegirlas personalmente.
</t>
  </si>
  <si>
    <t xml:space="preserve"> Ginés Clemente, fundador y CEO de Aciturri, una empresa aeronáutica de Miranda de Ebro, adquirió Alestis para crecer y ser más competitiva en el mercado, alineándose con otras Tier 1 de Airbus. La unión de ambas empresas, que facturaron 585 millones en 2018 y tienen 18 plantas y 3.100 empleados, crea un grupo de tamaño significativo. Alestis, con problemas financieros y en venta, era una opción complementaria y estratégica. La operación, cerrada en julio con Aciturri poseyendo el 75.94% y la SEPI el 24.06%, busca duplicar la facturación a 1.000 millones en el futuro, diversificando en Norteamérica y Asia y expandiendo su división de motores. Aunque la integración presenta desafíos, incluyendo la deuda de Alestis y la necesidad de aumentar la carga de trabajo, Clemente confía en el crecimiento del sector aeronáutico y en el éxito del proyecto a largo plazo.
</t>
  </si>
  <si>
    <t xml:space="preserve"> **Resumen:**
Ginés Clemente, CEO de Aciturri, ha adquirido Alestis para aumentar el tamaño y competitividad de su empresa en el sector aeronáutico, necesaria para mantenerse como Tier 1 de Airbus. La unión de ambas, que facturaron 585 millones en 2018, crea un grupo con 18 plantas y 3.100 empleados. Aunque Alestis enfrenta deudas y desafíos operativos, la operación busca diversificar Aciturri, reduciendo su dependencia de Airbus y expandiéndose en Norteamérica y Asia. Clemente planea duplicar la facturación a 1.000 millones en el futuro, con un enfoque creciente en la división de motores y la gestión eficiente de la deuda de Alestis. La fusión completa está prevista para 2024, sujeta a la rentabilidad de Alestis.
</t>
  </si>
  <si>
    <t xml:space="preserve"> **Qué:** Aciturri, fabricante de componentes aeronáuticos, adquiere Alestis para crecer y ser más competitivo en el mercado, formando un grupo con una facturación combinada de 585 millones de euros y 18 plantas.
**Quién:** Ginés Clemente, fundador y consejero delegado de Aciturri, lidera la adquisición de Alestis, una empresa con sede en Sevilla y problemas financieros.
**Cuándo:** La operación se firma el 30 de julio, después de unos meses de retraso. Los planes incluyen alcanzar una facturación de 1.000 millones de euros y fusionar las empresas para 2024.
**Dónde:** Las empresas tienen operaciones en España, con Aciturri en Miranda de Ebro (Burgos) y Alestis en Sevilla. También buscan expandirse a América y Asia.
**Por qué:** Aciturri necesitaba crecer para reducir costos y ser competitivo en el mercado aeronáutico, especialmente frente a Airbus. La adquisición de Alestis, complementaria en tecnologías y con problemas financieros a la venta, permitió alcanzar el tamaño necesario.
**Cómo:** La adquisición se concretó con Aciturri adquiriendo el 75,94% de Alestis, manteniendo la SEPI su 24,06%. Se inyectaron 80 millones de euros para dar liquidez a Alestis y se planea una reconversión de la empresa para corregir sus errores pasados. Aciturri y Alestis operarán de manera separada inicialmente, con la posibilidad de fusionarse en 2024 si Alestis logra la rentabilidad necesaria.
</t>
  </si>
  <si>
    <t xml:space="preserve"> Ginés Clemente, CEO de Aciturri, ha adquirido Alestis para crecer y ser más competitivo en el sector aeronáutico, alineándose con las grandes Tier 1 de Airbus. La unión de ambas empresas, que facturaron juntas 585 millones en 2018, crea un grupo con 18 plantas y 3.100 empleados. El objetivo es duplicar la facturación hasta 1.000 millones en el futuro, reducir la dependencia de Airbus y diversificar hacia Norteamérica y motores aeronáuticos. Aunque la operación enfrentó desafíos como la deuda de Alestis, Aciturri ha inyectado 80 millones para darle liquidez y planea una reconversión de la empresa sevillana. La fusión completa está prevista para 2024, tras resolver los pagos iniciales de la deuda.
</t>
  </si>
  <si>
    <t xml:space="preserve"> En junio de 2019, España recibió 8,8 millones de turistas internacionales, un aumento del 3,2% respecto a 2018. Cataluña lideró con 2,15 millones de visitantes, seguida por Madrid con un notable crecimiento del 14,9% a 693,021 turistas, y Andalucía con un aumento del 6,4% a 1,24 millones. Sin embargo, las islas Baleares y Canarias experimentaron disminuciones del 2,6% y 7%, respectivamente, con 2,06 y 931,810 turistas.
Los principales mercados emisores fueron el Reino Unido (2,1 millones, -5,3%), Alemania (1,3 millones, +8,4%) y Francia (casi 1 millón, +8%). Se observaron crecimientos significativos desde Suiza, Portugal y Estados Unidos, mientras que disminuyeron los turistas de países nórdicos e Italia.
La mayoría de los turistas llegaron por vía aérea (7,5 millones, +3,6%) y por carretera (un 2,9% más), mientras que las llegadas por barco disminuyeron un 17%. La estancia promedio fue de 4 a 7 noches, con un aumento del 1,6%, y las "escapadas" de 2 a 3 noches crecieron un 22,2%.
En el primer semestre del año, España alcanzó casi 38,2 millones de turistas, con un crecimiento del 2,8%. Cataluña y Andalucía mostraron aumentos del 2,5% y 6,3%, respectivamente, mientras que Canarias disminuyó un 2,8%. Baleares, aunque con un crecimiento del 1,9%, enfrenta desafíos en algunas zonas costeras.
 </t>
  </si>
  <si>
    <t xml:space="preserve"> **Resumen del contenido más relevante:**
- **Junio 2019:** Llegaron 8,8 millones de turistas internacionales a España, un 3,2% más que en 2018. Cataluña lidera con 2,15 millones, seguida por Madrid (693,021) y Andalucía (1,24 millones). Baleares y Canarias experimentan caídas del 2,6% y 7%, respectivamente.
- **Principales mercados emisores:** Reino Unido (-5,3%), Alemania (+8,4%), y Francia (+8%). Disminuciones notables en turistas nórdicos (-9,2%) e italianos (-3,1%).
- **Modo de llegada:** El aeropuerto es el principal medio de entrada (7,5 millones, +3,6%), seguido por carretera (+2,9%) y ferrocarril (+27,6%). El puerto muestra una caída del 17%.
- **Duración de estancia:** La mayoría de turistas permanecen entre 4 y 7 noches (+1,6%), con un aumento significativo en viajes de 2 a 3 noches (+22,2%).
- **Alojamiento:** El alojamiento de mercado crece un 3,5%, con un aumento del 4,2% en hoteles y una disminución del 2% en alquileres. El alojamiento de no mercado sube un 1,5%.
- **Semestre enero-junio:** 38,2 millones de turistas, un 2,8% más. Cataluña y Andalucía muestran crecimientos del 2,5% y 6,3%, respectivamente, mientras Canarias disminuye un 2,8%. Baleares crece un 1,9%.
**Conclusión:** Aunque el verano comenzó con un aumento en las llegadas de turistas, existen preocupaciones por las caídas en destinos costeros clave como Baleares y Canarias, influenciadas por factores como la inestabilidad política y la competencia de otros destinos. Sin embargo, España mantiene un buen ritmo de crecimiento en el primer semestre del año, con destinos internos como Cataluña y Andalucía liderando las cifras.
</t>
  </si>
  <si>
    <t xml:space="preserve"> **Qué:** En junio de 2023, España recibió 8,8 millones de turistas internacionales, un aumento del 3,2% respecto a junio de 2018. Sin embargo, algunas zonas costeras, como Baleares y Canarias, experimentaron disminuciones en las llegadas de turistas. Hasta junio, el número total de turistas alcanzó los 38,2 millones, con un crecimiento del 2,8%.
**Quién:** Los principales países emisores de turistas fueron el Reino Unido, Alemania y Francia. En el caso del Reino Unido, hubo una caída del 5,3% en las llegadas, mientras que Alemania y Francia mostraron aumentos del 8,4% y el 8%, respectivamente.
**Cuándo:** Los datos corresponden al mes de junio de 2023 y al semestre enero-junio de 2023.
**Dónde:** Cataluña se mantuvo como la comunidad más visitada en junio con 2,15 millones de turistas, seguida por Madrid y Andalucía. Baleares y Canarias registraron disminuciones en las llegadas de turistas, un 2,6% y un 7%, respectivamente.
**Por qué:** La inestabilidad política, la debilidad de la libra esterlina y la competencia de destinos más baratos están afectando las llegadas de turistas británicos. Además, factores como la pandemia de COVID-19 y las condiciones económicas globales también influyen en los patrones de viaje.
**Cómo:** La mayoría de los turistas llegaron a España por vía aeroportuaria, con un aumento del 3,6% en comparación con junio de 2018. También hubo un aumento en el uso del ferrocarril para viajar a España, un 27,6% más. La duración media de las estancias fue de cuatro a siete noches, con un crecimiento del 1,6%, mientras que las "escapadas" de dos a tres noches aumentaron un 22,2%.
</t>
  </si>
  <si>
    <t xml:space="preserve"> En junio de 2023, España recibió 8,8 millones de turistas internacionales, un 3,2% más que en el mismo mes de 2018. Cataluña lidera con 2,15 millones de visitantes, seguida por Madrid y Andalucía. Sin embargo, Baleares y Canarias experimentaron disminuciones del 2,6% y 7%, respectivamente. Los turistas británicos disminuyeron un 5,3%, mientras que los de Alemania y Francia aumentaron un 8,4% y 8%, respectivamente. La duración media de estancia fue de 4 a 7 noches, con un aumento del 1,6%. El alojamiento de mercado creció un 3,5%, y el hotelero un 4,2%. Hasta junio, España ha recibido casi 38,2 millones de turistas, con un crecimiento del 2,8%. Cataluña y Andalucía mostraron crecimientos, mientras que Canarias y Baleares disminuyeron.
</t>
  </si>
  <si>
    <t xml:space="preserve"> Sarah Palin, exgobernadora de Alaska y candidata vicepresidencial en 2008, ha vuelto a los titulares por su divorcio de 31 años con Todd Palin, citando "incompatibilidad de temperamento". Antes de este evento, Palin se convirtió en una figura icónica y controversial en la política estadounidense, lo que la llevó a ser parodiada en múltiples medios, incluyendo seis películas pornográficas protagonizadas por la actriz Lisa Ann, quien interpretaba a una versión ficticia y sexualizada de Palin.
Estas películas, producidas por Hustler y lanzadas principalmente durante y después de las elecciones de 2008, incluyen títulos como "Who's Nailing Palin?" y "Obama Se La Clava a Palin". Lisa Ann, que inicialmente había dejado la industria pornográfica en 1997, regresó para interpretar a Palin y se convirtió en una figura destacada dentro del cine para adultos, ganando reconocimiento y hasta apareciendo en el videoclip de Eminem "We Made You" en 2009.
A lo largo de su carrera en el porno, Lisa Ann no solo actuó sino que también se pronunció políticamente, apoyando a Barack Obama. Después de alcanzar la cima de su éxito en la industria pornográfica, Ann se retiró en 2014 para enfocarse en otros negocios y proyectos, incluyendo el fantasy sports y la escritura de memorias.
Recientemente, Ann ha regresado al porno de manera selectiva, buscando proyectos que le interesen y luchando por mejorar las condiciones laborales y la protección para los actores y actrices porno. Su trayectoria, que comenzó con una parodia política y la llevó a involucrarse en cuestiones políticas y laborales reales, la convierte en una figura única en la intersección del entretenimiento para adultos y la política.
</t>
  </si>
  <si>
    <t xml:space="preserve"> **Resumen:**
Sarah Palin, tras 31 años de matrimonio, ha solicitado el divorcio de Todd Palin. Durante su carrera política, Palin se convirtió en una figura mediática, lo que llevó a la actriz porno Lisa Ann a interpretarla en seis películas para adultos entre 2008 y 2014, bajo títulos como "Who's Nailing Palin?" y "Obama is Nailin' Palin". Estas películas, producidas por Hustler, generaron un gran éxito y resucitaron la carrera de Lisa Ann, quien además se pronunció públicamente a favor de Barack Obama. En 2014, Ann se retiró del porno para enfocarse en negocios y el fantasy sports, pero ha regresado recientemente al género con más control sobre sus proyectos y comprometida con mejorar las condiciones de la industria. Existe también una parodia pornográfica de Donald Trump.
</t>
  </si>
  <si>
    <t xml:space="preserve"> **Qué:** Sarah Palin, exgobernadora de Alaska y candidata vicepresidencial en 2008, ha vuelto a la actualidad por su divorcio después de 31 años de matrimonio con Todd Palin, quien lo solicitó por "incompatibilidad de temperamento". Además, se ha revelado que Lisa Ann, actriz porno, interpretó a Palin en seis películas para adultos entre 2008 y 2014, ganando popularidad y hasta apoyando políticamente a Barack Obama.
**Quién:** Sarah Palin, Todd Palin, Lisa Ann (actriz porno).
**Cuándo:** El divorcio se anunció en una fecha no especificada, pero las películas de Lisa Ann como Palin se estrenaron entre 2008 y 2014.
**Dónde:** Los eventos ocurrieron en Estados Unidos, específicamente en Alaska para Sarah y Todd Palin, y en estudios de cine para las películas de Lisa Ann.
**Por qué:** Todd Palin solicitó el divorcio por "incompatibilidad de temperamento". Lisa Ann interpretó a Palin en películas para adultos debido a una oferta de trabajo y la popularidad de Palin en ese momento político, lo que le valió notoriedad y éxito en la industria del cine para adultos.
**Cómo:** Lisa Ann obtuvo el papel de Palin después de responder a una oferta en Craigslist y rodó las películas en estudios de cine en Estados Unidos. Su interpretación generó debate político, entrevistas y apoyo a Barack Obama. Más tarde, Ann se retiró del porno para dedicarse a otros negocios y proyectos, incluyendo el fantasy sports y la escritura de memorias, antes de regresar al cine para adultos bajo sus propios términos.
</t>
  </si>
  <si>
    <t xml:space="preserve"> Lisa Ann, actriz porno conocida por interpretar a Sarah Palin en varias películas paródicas, ha vuelto a la actualidad tras el anuncio del divorcio de Palin después de 31 años de matrimonio. Lisa Ann se hizo famosa en 2008 con la película "Who's Nailing Palin?" y desde entonces ha mantenido una carrera exitosa en el cine para adultos, además de involucrarse en política y negocios. Recientemente ha retomado su carrera en el porno de manera selectiva y busca abordar problemas dentro de la industria, como los conflictos raciales y la protección de los intérpretes después de su retiro.
</t>
  </si>
  <si>
    <t>**Resumen**
La obra de teatro "El pare de la núvia" se estrenó en el Teatre Condal de Barcelona, protagonizada por Joan Pera y dirigida por Joel Joan. La historia sigue a Francesc Ramon, un maestro galletero millonario que organiza la boda de su hija, pero descubre que la madre de su futuro yerno fue su amante y que el novio podría ser su hijo. La obra es una comedia romántica con un tono similar a la telecomedia Plats bruts, y cuenta con un reparto de actores jóvenes y veteranos. El director Joel Joan y el actor Joan Pera se muestran contentos de trabajar juntos y esperan que el público disfrute de la función.
**Detalles clave**
* La obra se estrenó en el Teatre Condal de Barcelona.
* La historia sigue a Francesc Ramon, un maestro galletero millonario que organiza la boda de su hija.
* El protagonista descubre que la madre de su futuro yerno fue su amante y que el novio podría ser su hijo.
* La obra es una comedia romántica con un tono similar a la telecomedia Plats bruts.
* El reparto cuenta con actores jóvenes y veteranos, incluyendo a Sergi Vallès, Marc Rius, Anna Carreño, Pep Sais y Maife Gil.</t>
  </si>
  <si>
    <t>**Resumen del contenido más relevante**
La obra de teatro "El pare de la núvia" se estrenó el sábado en el Teatre Condal de Barcelona. La comedia, escrita por Joel Joan y Hèctor Claramunt, sigue la historia de una boda que da un giro inesperado cuando el padre del novia, interpretado por Joan Pera, se da cuenta de que la madre de su futuro yerno fue su amante. La obra se centra en el conflicto que surge a partir de este descubrimiento y presenta una estructura clásica dividida en cinco actos.
**Detalles clave**
* La obra es una comedia romántica con referentes cercanos al público.
* El director, Joel Joan, define el espectáculo como una "comedia romántica" con un tono similar a la telecomedia Plats bruts.
* Joan Pera interpreta a Francesc Ramon, un maestro galletero millonario que organiza la boda de su hija.
* La obra cuenta con un reparto que incluye a Sergi Vallès, Marc Rius, Anna Carreño, Pep Sais y Maife Gil.
* El estreno de la obra se celebró en el Teatre Condal de Barcelona, donde Joan Pera ya había actuado anteriormente en la obra "El Fantasma de Canterville".</t>
  </si>
  <si>
    <t>**Qué**: La obra de teatro "El pare de la núvia" se estrenó en el Teatre Condal de Barcelona, protagonizada por Joan Pera y dirigida por Joel Joan.
**Quién**: Los autores de la obra son Joel Joan y Hèctor Claramunt, y el elenco está compuesto por Joan Pera, Sergi Vallès, Marc Rius, Anna Carreño, Pep Sais y Maife Gil.
**Cuándo**: La obra se estrenó el sábado en el Teatre Condal de Barcelona.
**Dónde**: El Teatre Condal de Barcelona.
**Por qué**: La obra fue escrita como un reto estimulante para los autores, que querían crear una historia con un título ya designado.
**Cómo**: La obra es una comedia romántica con un tono similar a la telecomedia Plats bruts, y se centra en una boda que da un giro inesperado cuando el padre del novia se da cuenta de que la madre de su futuro yerno fue su amante. El espectáculo cuenta con una estructura clásica dividida en cinco actos y presenta una función con referentes cercanos al público.</t>
  </si>
  <si>
    <t>**Resumen**
La obra de teatro "El pare de la núvia" se estrenó en el Teatre Condal de Barcelona. La comedia, escrita por Joel Joan y Hèctor Claramunt, sigue la historia de un padre que descubre que la madre de su futuro yerno fue su amante y que los novios podrían ser hermanos. La obra está protagonizada por Joan Pera, quien interpreta a un maestro galletero millonario que organiza la boda de su hija. El director, Joel Joan, describe la obra como una "comedia romántica" con un tono similar a la telecomedia Plats bruts. El reparto incluye a actores jóvenes y veteranos, y la obra tiene una estructura clásica dividida en cinco actos.</t>
  </si>
  <si>
    <t>**Resumen de la película "The King"**
La película "The King", dirigida por David Michôd, es una adaptación de las obras de Shakespeare "Enrique IV" y "Enrique V". A pesar de que algunos medios de comunicación la han descrito como un "Shakespeare para millennials" debido a la participación de Netflix y la imagen juvenil de algunos actores, la película es en realidad una obra sólida y profunda que explora temas complejos y poéticos.
**La dirección y el reparto**
La película cuenta con un reparto destacado, incluyendo a Timothée Chalamet como el rey Enrique, Joel Edgerton como Falstaff y Robert Pattinson en un papel secundario. La dirección de Michôd es sólida y logra capturar el espíritu de las obras de Shakespeare.
**La banda sonora y la atmósfera**
La banda sonora de Nicholas Brittell es envolvente y complementa perfectamente la atmósfera de la película. La película aborda temas como las guerras civiles y la soledad del poder, y logra crear un ambiente de tensión y complejidad.
**La interpretación de Chalamet y Edgerton**
Timothée Chalamet ofrece una interpretación destacada como el rey Enrique, un personaje paradójicamente firme y débil al mismo tiempo. Joel Edgerton, por su parte, ofrece una interpretación más contenida y soterrada de Falstaff, un personaje que suele ser más exuberante en otras adaptaciones.
**La conclusión**
En resumen, "The King" es una película sólida y profunda que explora temas complejos y poéticos. A pesar de no ser una obra revolucionaria, es una adaptación digna de las obras de Shakespeare y ofrece una visión fresca y interesante de los personajes y la historia.</t>
  </si>
  <si>
    <t>**Resumen del contenido más relevante**
La película "The King" dirigida por David Michôd es una adaptación de las obras de Shakespeare "Enrique IV" y "Enrique V". A pesar de que algunos medios de comunicación la han etiquetado como un "Shakespeare para millennials" debido a la participación de Netflix y la imagen juvenil de algunos actores, la película es en realidad una obra sólida y profunda que mantiene el espíritu shakespeariano.
La película cuenta con un elenco destacado, incluyendo a Timothée Chalamet como el rey Enrique, Joel Edgerton como Falstaff y Robert Pattinson en un papel secundario. La dirección de Michôd y la banda sonora de Nicholas Brittell contribuyen a crear un ambiente envolvente y épico.
Aunque la película no es una versión literal de las obras de Shakespeare, mantiene la esencia y la poesía de las mismas. La interpretación de Chalamet como un Enrique paradójicamente firme y de ojos caídos es destacada, y la película en general es una obra sólida que destaca por su profundidad y complejidad.
**Puntos clave**
* La película es una adaptación de las obras de Shakespeare "Enrique IV" y "Enrique V".
* A pesar de la etiqueta de "Shakespeare para millennials", la película es una obra sólida y profunda.
* El elenco incluye a Timothée Chalamet, Joel Edgerton y Robert Pattinson.
* La dirección de Michôd y la banda sonora de Brittell contribuyen a crear un ambiente envolvente y épico.
* La película mantiene la esencia y la poesía de las obras de Shakespeare.</t>
  </si>
  <si>
    <t>**Resumen del texto utilizando el método de las 5W1H**
**Qué:** La película "The King" es una adaptación de las obras de Shakespeare "Enrique IV" y "Enrique V", dirigida por David Michôd y protagonizada por Timothée Chalamet.
**Quién:** El director es David Michôd, y los actores principales son Timothée Chalamet, Joel Edgerton, Robert Pattinson y Sean Harris.
**Cuándo:** La película se estrenó en el festival de Venecia y se estrenará en cines el 18 de octubre y en Netflix el 1 de noviembre.
**Dónde:** La película se rodó en Australia y se estrenará en cines y en Netflix.
**Por qué:** La película es una adaptación de las obras de Shakespeare, y el director David Michôd quería crear una versión moderna y fresca de las historias clásicas.
**Cómo:** La película es una adaptación que cambia algunos acontecimientos y líneas de diálogo de las obras originales, pero mantiene el aire shakespeariano en el tratamiento de los escenarios físicos e históricos, las interpretaciones, la cadencia de los diálogos, el vocabulario y la poesía. La película también cuenta con una excelente banda sonora y una interpretación destacada de Timothée Chalamet como Enrique.</t>
  </si>
  <si>
    <t>La película "The King" de David Michôd es una adaptación de las obras de Shakespeare "Enrique IV" y "Enrique V" que ha sido calificada erróneamente como un "Shakespeare para millennials" debido a su distribución por Netflix y su reparto joven. Sin embargo, la película es una obra sólida y profunda que mantiene el espíritu shakespeariano en su tratamiento de los escenarios, interpretaciones, diálogos y vocabulario. La película sigue la historia de Enrique V, interpretado por Timothée Chalamet, y su transformación de un joven díscolo a un estratega mayúsculo. A pesar de no ser una obra innovadora, "The King" es una adaptación respetuosa y bien hecha que destaca por su banda sonora y las interpretaciones de su reparto.</t>
  </si>
  <si>
    <t>**Resumen**
La Comunidad de Madrid superó en 2018 el límite anual de dióxido de nitrógeno (NO2) y ozono (O3) en varias zonas, incluyendo el Corredor del Henares y la Plaza Elíptica. Según un informe del Ministerio de Transición Ecológica, las causas principales de la contaminación son el tráfico de vehículos de combustión y las emisiones producidas por la cercanía de la capital. El Corredor del Henares y el municipio de Madrid son algunas de las zonas más afectadas. El comisario de Medio Ambiente de la Comisión Europea, Karmenu Vella, envió una carta a la ministra para la Transición Ecológica, Teresa Ribera, expresando su preocupación y solicitando un reforzamiento de las medidas de calidad del aire.</t>
  </si>
  <si>
    <t>**Resumen del contenido más relevante**
La Comunidad de Madrid superó en 2018 el límite anual de dióxido de nitrógeno (NO2) y ozono (O3) en varias zonas, incluyendo el Corredor del Henares y la Plaza Elíptica. Según un informe del Ministerio de Transición Ecológica, las causas principales de la contaminación son el tráfico de vehículos de combustión y las emisiones producidas por la cercanía de la capital.
**Principales puntos clave**
* La Comunidad de Madrid superó el límite anual de NO2 y O3 en 2018.
* El Corredor del Henares y la Plaza Elíptica son las zonas más contaminadas.
* El tráfico de vehículos de combustión y las emisiones producidas por la cercanía de la capital son las causas principales de la contaminación.
* La Comisión Europea ha expresado su preocupación por la situación y ha solicitado un reforzamiento de las medidas de calidad del aire.</t>
  </si>
  <si>
    <t>**Resumen del texto utilizando el método de las 5W1H**
**Qué**: La Comunidad de Madrid superó en 2018 el límite anual de dióxido de nitrógeno (NO2) y ozono (O3), lo que ha generado preocupación en la Comisión Europea.
**Quién**: El Ministerio de Transición Ecológica, la Comisión Europea y la Comunidad de Madrid están involucrados en la evaluación y gestión de la calidad del aire en la región.
**Cuándo**: El informe de evaluación de la calidad del aire en España se refiere a los datos de 2018, y la carta del comisario de Medio Ambiente de la Comisión Europea se envió el 9 de julio.
**Dónde**: La contaminación del aire se ha detectado en varias zonas de la Comunidad de Madrid, incluyendo el Corredor del Henares, la Plaza Elíptica y el municipio de Madrid.
**Por qué**: La superación del límite anual de dióxido de nitrógeno se atribuye principalmente al tráfico de vehículos de combustión, mientras que los altos índices del ozono troposférico se deben a la presencia de precursores en el aire y la radiación solar.
**Cómo**: La Comisión Europea ha solicitado un reforzamiento de las medidas de calidad del aire en la Comunidad de Madrid, y se están evaluando las causas y consecuencias de la contaminación del aire en la región.</t>
  </si>
  <si>
    <t>**Resumen**
La Comunidad de Madrid superó en 2018 el límite anual de dióxido de nitrógeno (NO2) y ozono (O3) en varias zonas, incluyendo el Corredor del Henares y la Plaza Elíptica. El tráfico de vehículos de combustión es la principal causa de la contaminación por NO2, mientras que la formación de ozono se debe a la presencia de precursores en el aire y la radiación solar. La Unión Europea ha expresado su preocupación por la situación y ha solicitado un reforzamiento de las medidas de calidad del aire en la región.</t>
  </si>
  <si>
    <t>**Resumen del artículo**
Inés Ortega, gastrónoma y autora de más de 40 libros de cocina, ha publicado un nuevo libro titulado "Cocina sana y sencilla" junto a su nuera, Marina Rivas. El libro es una guía que incluye recomendaciones nutricionales para diferentes tipos de personas, como deportistas, diabéticos y hipertensos, así como recetas fáciles de preparar.
El libro también celebra el centenario del nacimiento de Simone Ortega, la madre de Inés y autora de la famosa obra "1080 recetas de cocina", que se ha vendido más de tres millones de ejemplares. Inés Ortega asegura que no hace falta saber "absolutamente nada" para elaborar los platos de su nuevo libro, que incluye un capítulo con el material de cocina necesario y explicaciones básicas.
Marina Rivas, la nuera de Inés, es una pastelera francesa que ha abandonado su trabajo en la banca privada para cumplir su sueño de ser chef. Ella y Inés Ortega han trabajado juntas en varios proyectos, incluyendo el libro "Cocinar sin gluten, sin huevo y sin lactosa".
El libro "Cocina sana y sencilla" incluye 350 recetas en 650 páginas y ofrece consejos prácticos para planificar una dieta saludable y equilibrada. Las autoras han seleccionado algunas de sus recetas favoritas, como la crema fría de zanahorias con hinojo y espirulina, y la compota de manzanas con lavanda.</t>
  </si>
  <si>
    <t>**Resumen del contenido más relevante**
El texto habla sobre el lanzamiento de un nuevo libro de cocina titulado "Cocina sana y sencilla", escrito por Inés Ortega y su nuera Marina Rivas. El libro es una guía que incluye recomendaciones nutricionales y recetas fáciles de preparar, y se centra en la importancia de consumir alimentos de temporada y de proximidad.
**Puntos clave**
* Inés Ortega y Marina Rivas presentan su nuevo libro de cocina, que es una guía para una mesa saludable.
* El libro incluye recomendaciones nutricionales y recetas fáciles de preparar.
* Se enfatiza la importancia de consumir alimentos de temporada y de proximidad.
* El libro es una forma de celebrar el centenario del nacimiento de Simone Ortega, autora de la "biblia de la cocina española".
* Marina Rivas, nuera de Inés Ortega, es una pastelera francesa que ha decidido dejar su trabajo en la banca para seguir su pasión por la cocina.
**Consejos y recomendaciones**
* Las autoras recomiendan planificar un menú con productos de proximidad y de temporada para llevar una dieta saludable y equilibrada.
* Se incluyen consejos sobre cómo colocar los cubiertos y a los invitados, y un capítulo dedicado al vino.
* Las autoras eligen algunas de sus recetas favoritas, como la crema fría de zanahorias con hinojo y espirulina, y la compota de manzanas con lavanda.</t>
  </si>
  <si>
    <t>**Resumen del texto utilizando el método de las 5W1H**
**Qué**: El texto habla sobre la publicación de un libro de cocina titulado "Cocina sana y sencilla", escrito por Inés Ortega y su nuera Marina Rivas. El libro es una guía que incluye recomendaciones nutricionales y recetas para una dieta saludable y equilibrada.
**Quién**: Los autores del libro son Inés Ortega, gastrónoma y autora de más de 40 libros de cocina, y su nuera Marina Rivas, formada en la escuela Le Cordon Bleu y especializada en pastelería francesa.
**Cuándo**: El libro ha sido publicado recientemente, aunque no se especifica la fecha exacta. También se menciona que el libro es una forma de celebrar el centenario del nacimiento de Simone Ortega, la madre de Inés Ortega y autora de la "biblia de la cocina española", "1080 recetas de cocina".
**Dónde**: El libro ha sido presentado en Madrid y ha sido editado por Alianza dentro del sello 1080 Nuevas Ideas de Cocina.
**Por qué**: El libro ha sido escrito para ayudar a las personas a planificar una dieta saludable y equilibrada, utilizando productos de proximidad y de temporada. También es una forma de celebrar el legado de Simone Ortega y su contribución a la cocina española.
**Cómo**: El libro incluye recomendaciones nutricionales, recetas y consejos para una dieta saludable y equilibrada. También incluye un capítulo sobre el material de cocina necesario y cómo utilizarlo de manera efectiva. Las autoras han seleccionado algunas de sus recetas favoritas para incluir en el libro.</t>
  </si>
  <si>
    <t>Inés Ortega y su nuera Marina Rivas han publicado un nuevo libro de cocina titulado "Cocina sana y sencilla", que incluye recomendaciones nutricionales y recetas para una dieta saludable y equilibrada. El libro también celebra el centenario del nacimiento de Simone Ortega, autora de la famosa "1080 recetas de cocina". Las autoras destacan la importancia de consumir alimentos de temporada y de proximidad, y ofrecen consejos y recetas para una cocina saludable y fácil de preparar.</t>
  </si>
  <si>
    <t>**Resumen del artículo**
El gobierno mexicano ha desplegado una ofensiva diplomática y legal en respuesta a la matanza racista en El Paso, Texas, que resultó en la muerte de ocho mexicanos y seis heridos. El canciller Marcelo Ebrard viajó a Texas para reunirse con los familiares de las víctimas y anunció que México presentará una denuncia en contra del asesino, Patrick Crusius, por prácticas terroristas.
**La estrategia del gobierno mexicano**
El gobierno mexicano busca litigar por terrorismo en contra de Crusius y solicitar su extradición a México. Esto es posible debido a la doble criminalidad, que permite a los países perseguir delitos trasnacionales siempre y cuando tengan vínculos con los hechos y que las naciones lo contemplen en sus códigos penales.
**La extradición y la política**
La extradición es un tema delicado en la relación bilateral entre México y Estados Unidos. Expertos consideran que la solicitud de extradición es un gesto retórico y que es poco probable que Estados Unidos acepte. La extradición obligaría a los fiscales estadounidenses a renunciar a la pena de muerte, que no existe en México.
**La posesión de armas de fuego**
La matanza en El Paso ha agitado la polémica sobre la posesión de armas de fuego en Estados Unidos. El presidente mexicano Andrés Manuel López Obrador ha llamado a la reflexión y al análisis sobre la regulación de armamento. El gobierno mexicano planea presentar un caso en contra de la venta y distribución de armas en Estados Unidos.
**La relación bilateral**
La relación bilateral entre México y Estados Unidos es compleja y delicada. La solicitud de extradición y la política de armamento son temas que pueden afectar la relación entre los dos países. Expertos consideran que la solicitud de extradición es un gesto que puede desgastar la relación bilateral.</t>
  </si>
  <si>
    <t>**Resumen del contenido más relevante**
El Gobierno mexicano, liderado por el presidente Andrés Manuel López Obrador, ha desplegado una ofensiva diplomática y legal en respuesta a la matanza racista en El Paso, Texas, en la que murieron ocho mexicanos y seis resultaron heridos. El canciller Marcelo Ebrard ha viajado a Texas para reunirse con los familiares de las víctimas y anunciar que México presentará una denuncia en contra del asesino, Patrick Crusius, por prácticas terroristas.
El objetivo de la ofensiva es solicitar la extradición de Crusius a México para que sea juzgado por los delitos cometidos. Sin embargo, expertos consideran que esta solicitud puede ser difícil de obtener, ya que Estados Unidos tiene derecho a decir que no y prefieren desahogar los procesos en sus cortes locales.
Además, el presidente López Obrador ha anunciado que México presentará un caso en contra de la venta y distribución de armas en Estados Unidos, ya que considera que las laxas leyes permiten el tráfico de armas a México. Esto ha agitado una vieja polémica entre los vecinos norteamericanos sobre la posesión de armas de fuego protegida en la segunda enmienda de la Constitución de Estados Unidos.
**Puntos clave**
* El Gobierno mexicano solicitará la extradición de Patrick Crusius a México para que sea juzgado por los delitos cometidos.
* Expertos consideran que esta solicitud puede ser difícil de obtener.
* México presentará un caso en contra de la venta y distribución de armas en Estados Unidos.
* La posesión de armas de fuego es un tema polémico en Estados Unidos.
* El presidente López Obrador ha anunciado que México tomará medidas para controlar la venta indiscriminada de armas.</t>
  </si>
  <si>
    <t>**Resumen del texto utilizando el método de las 5W1H**
**Qué**: La matanza racista en El Paso, Texas, ha llevado al Gobierno mexicano a desplegar una ofensiva diplomática y legal en contra del asesino, Patrick Crusius, y a solicitar su extradición a México para ser juzgado por terrorismo.
**Quién**: El canciller mexicano, Marcelo Ebrard, ha viajado a Texas para reunirse con los familiares de las víctimas y anunciar la ofensiva legal. El presidente mexicano, Andrés Manuel López Obrador, ha apoyado la decisión y ha afirmado que México participará en el juicio y en la investigación.
**Cuándo**: La matanza ocurrió el sábado en El Paso, y el lunes, Ebrard viajó a Texas para anunciar la ofensiva legal.
**Dónde**: La matanza ocurrió en un supermercado en El Paso, Texas, y la ofensiva legal se está llevando a cabo en México y en Estados Unidos.
**Por qué**: El Gobierno mexicano considera que la matanza fue un acto de terrorismo en contra de mexicanos y que es necesario tomar medidas legales para proteger a sus ciudadanos. También se busca reducir el mercado de armamento en Estados Unidos, que se considera un factor que contribuyó a la matanza.
**Cómo**: El Gobierno mexicano planea solicitar la extradición de Crusius a México para ser juzgado por terrorismo, y también planea presentar un caso en contra de la venta y distribución de armas en Estados Unidos. Se espera que la ofensiva legal sea un proceso complejo y desafiante, pero el Gobierno mexicano está decidido a tomar medidas para proteger a sus ciudadanos y reducir la violencia.</t>
  </si>
  <si>
    <t>El gobierno mexicano, liderado por el presidente Andrés Manuel López Obrador, ha lanzado una ofensiva diplomática y legal en respuesta a la matanza racista en El Paso, Texas, en la que murieron 22 personas, incluyendo 8 mexicanos. El canciller Marcelo Ebrard ha viajado a Texas para reunirse con los familiares de las víctimas y anunciar que México solicitará la extradición del tirador, Patrick Crusius, por terrorismo.
El gobierno mexicano argumenta que la matanza fue un acto de terrorismo en contra de mexicanos y que, por lo tanto, México tiene derecho a solicitar la extradición de Crusius. Sin embargo, expertos en derecho internacional consideran que la solicitud de extradición es más un gesto retórico que una medida jurídicamente sólida.
Además, el gobierno mexicano ha anunciado que presentará un caso en contra de la venta y distribución de armas en Estados Unidos, lo que ha generado una polémica sobre la regulación de armamento en el país. El presidente López Obrador ha dicho que los republicanos y demócratas han puesto "poca atención" en la regulación de armamento y que es necesario controlar la venta indiscriminada de armas.</t>
  </si>
  <si>
    <t>**Resumen**
El artículo explora la relación entre los sentidos y la percepción del mundo que nos rodea. Se enfoca en el sentido del olfato y cómo los olores pueden provocar reacciones emocionales y comportamientos en los seres vivos. Aunque las ciencias matemáticas han invertido relativamente poco esfuerzo en establecer modelos de los sentidos, recientemente se han realizado avances en la comprensión del funcionamiento del sistema olfativo.
**La importancia del olfato**
El olfato es un sentido clave para la supervivencia y la reproducción en los seres vivos. Los olores pueden provocar reacciones emocionales y comportamientos, y son fundamentales para la percepción del mundo que nos rodea.
**La relación estímulo-sentido**
La relación entre los estímulos y los sentidos es virtuosa y se establece a muy temprana edad. La dinámica detrás de esta relación influye enormemente en el desarrollo neuronal y establece conexiones y sinapsis neuronales que permiten configurar las condiciones para el aprendizaje futuro.
**El sistema olfativo**
El sistema olfativo está formado por redes de neuronas que reciben las feromonas en la mucosa nasal y generan una leve corriente eléctrica que llega al cerebro a través de los axones neuronales. Esta corriente es la que genera la información en nuestro cerebro de percepción de un olor concreto.
**La importancia de los modelos matemáticos**
Los modelos matemáticos permiten comprender la fisiología subyacente de los sistemas biológicos y ver más allá de lo que alcanzan los microscopios electrónicos. En el caso del olfato, los modelos matemáticos han permitido entender el rol de los cilios olfatorios y la conversión de información química sobre olores en un impulso nervioso.
**Desafíos y preguntas**
Aunque se han realizado avances en la comprensión del funcionamiento del sistema olfativo, todavía hay muchos desafíos y preguntas sin respuesta. ¿Cómo procesa nuestra conciencia los estímulos externos una vez reducidos a impulsos nerviosos? ¿Cómo este mecanismo nos lleva a convertirnos en quiénes somos? ¿Es posible proporcionar a fenómenos de tal alcance una representación matemática que nos permita comprender y actuar?</t>
  </si>
  <si>
    <t>**Resumen del contenido más relevante**
El texto se centra en la relación entre los sentidos y la percepción del mundo, y cómo la matemática puede ayudar a entender mejor este proceso. A continuación, se presentan los puntos clave:
* **La importancia de los sentidos**: Los sentidos son la herramienta básica para recibir estímulos del medio ambiente y son responsables de nuestra percepción de la belleza del mundo.
* **El papel del olfato**: El sistema olfativo es un ejemplo de cómo los sentidos pueden procesar información química y convertirla en impulsos nerviosos que llegan al cerebro.
* **La relación estímulo-sentido**: La dinámica detrás de esta relación es virtuosa y se establece a muy temprana edad, influyendo en el desarrollo neuronal y la configuración de las condiciones para el aprendizaje futuro.
* **La matemática y los sentidos**: La matemática puede ayudar a entender mejor el funcionamiento de los sentidos y la percepción del mundo, pero todavía hay muchos desafíos por superar, como el procesamiento del impulso nervioso generado y la relación entre la conciencia y los estímulos externos.
* **El futuro de la investigación**: Las respuestas a estas grandes preguntas serán tarea para la ciencia del futuro, y la matemática puede jugar un papel importante en la comprensión y el modelado de los sentidos y la percepción del mundo.
**Palabras clave**: sentidos, percepción, olfato, matemática, conciencia, estímulos externos, impulsos nerviosos.</t>
  </si>
  <si>
    <t>**Resumen utilizando el método de las 5W1H**
**Qué:** El artículo trata sobre la relación entre los sentidos y la percepción del mundo, enfocándose en el sentido del olfato y cómo se procesan los estímulos en el cerebro.
**Quién:** El autor del artículo es Carlos Conca, profesor en el Departamento de Ingeniería Matemática e investigador del Centro de Modelamiento Matemático de la Universidad de Chile.
**Cuándo:** La conferencia "Modelling our sense of smell" se impartió en el congreso ICIAM 2019.
**Dónde:** El congreso ICIAM 2019 se celebró en un lugar no especificado.
**Por qué:** El artículo busca comprender cómo los sentidos reciben los estímulos y cómo se procesan en el cerebro, con el objetivo de desarrollar modelos matemáticos que permitan entender mejor su funcionamiento.
**Cómo:** El artículo describe cómo el sentido del olfato funciona, desde la recepción de feromonas en la mucosa nasal hasta la generación de un impulso nervioso que llega al cerebro. También se menciona la importancia de las técnicas matemáticas de problemas inversos para construir modelos que permitan entender mejor la relación entre los sentidos y la percepción del mundo.</t>
  </si>
  <si>
    <t>**Resumen**
El artículo explora la relación entre los sentidos y el cerebro, enfocándose en el olfato como ejemplo. Los sentidos son la herramienta básica para recibir estímulos del medio ambiente y son responsables de nuestra percepción de la belleza del mundo. La dinámica detrás de la relación estímulo-sentido es compleja y se desarrolla a muy temprana edad.
El sistema olfativo recibe feromonas en la mucosa nasal, que generan una corriente eléctrica que llega al cerebro a través de los axones neuronales. Los modelos matemáticos permiten comprender la fisiología subyacente y la microestructura física y fisiológica que gobierna la conversión de información química en un impulso nervioso.
Sin embargo, todavía hay muchos misterios sobre cómo se procesa el impulso nervioso generado y cómo se relaciona con la conciencia y el comportamiento. La matemática puede proporcionar una representación matemática que nos permita comprender y actuar, pero las respuestas a estas preguntas serán tarea para la ciencia del futuro.</t>
  </si>
  <si>
    <t>**El cierre de un videoclub emblemático en Madrid**
Fernando Navarro, dueño de Import Vídeo, un videoclub en Vallecas, Madrid, se jubila después de 38 años en el negocio. El local, que fue uno de los más antiguos de Madrid, cerró sus puertas debido a la disminución de clientes y la competencia de las plataformas de streaming.
**La historia de Import Vídeo**
Navarro recuerda que en sus primeros años, el videoclub era un lugar de encuentro para los amantes del cine, y que la afición cinematográfica en España era muy fuerte. Sin embargo, con el paso del tiempo, la clientela disminuyó y los clientes habituales dejaron de venir. A pesar de esto, Navarro sigue defendiendo el cine español y recuerda películas como "Mujeres al borde de un ataque de nervios" y "Campeones" como algunas de las más memorables.
**La venta de la colección**
La colección de más de 50.000 unidades de películas fue vendida a una empresa catalana que comercializa filmes por Amazon. Navarro conserva algunas películas, pero no tantas como hubiera querido, ya que el trabajo no le permitió realizar su placer.
**La preferencia por el DVD y la propiedad**
Navarro prefiere el DVD por su calidad y comodidad, y no utiliza plataformas de streaming porque quiere tener la libertad de escoger las películas que quiere ver. Considera que las plataformas son cómodas, pero que no permiten la misma libertad de elección.
**La importancia del cine**
Navarro considera que el cine es importante culturalmente y que es necesario crear una nueva afición fuerte al cine. Cree que si las películas nuevas fueran más asequibles, más gente las compraría y se crearía una cultura cinematográfica más fuerte.</t>
  </si>
  <si>
    <t>**Resumen del contenido más relevante**
El dueño de Import Vídeo, Fernando Navarro, se jubila después de 38 años regentando uno de los videoclubes más antiguos de Madrid. En su entrevista, recuerda los primeros años de éxito, cuando la afición cinematográfica en España era muy fuerte y su videoclub era un referente en la ciudad. Sin embargo, con el paso del tiempo, la competencia de las plataformas de streaming y la disminución de la venta de películas físicas lo llevaron a tomar la decisión de cerrar el negocio.
Navarro destaca la importancia de la cultura cinematográfica y la necesidad de fomentar la afición al cine en las nuevas generaciones. También critica el IVA del 21% en el vídeo, que considera que es un obstáculo para que los jóvenes puedan acceder a las películas a un precio razonable.
**Puntos clave**
* Fernando Navarro se jubila después de 38 años regentando Import Vídeo.
* El videoclub fue un referente en la ciudad en sus primeros años, con una gran variedad de películas y una fuerte afición cinematográfica.
* La competencia de las plataformas de streaming y la disminución de la venta de películas físicas llevaron a la decisión de cerrar el negocio.
* Navarro destaca la importancia de la cultura cinematográfica y la necesidad de fomentar la afición al cine en las nuevas generaciones.
* Critica el IVA del 21% en el vídeo, que considera que es un obstáculo para que los jóvenes puedan acceder a las películas a un precio razonable.</t>
  </si>
  <si>
    <t>**Resumen del texto utilizando el método de las 5W1H**
**Qué**: Fernando Navarro, dueño de Import Vídeo, un videoclub en Madrid, se jubila después de 38 años de actividad.
**Quién**: Fernando Navarro, un hombre de 76 años que regentó Import Vídeo en Vallecas, Madrid.
**Cuándo**: La entrevista se realizó en el momento de la jubilación de Fernando Navarro, después de 38 años de actividad.
**Dónde**: La entrevista se realizó en el local de Import Vídeo en Vallecas, Madrid.
**Por qué**: Fernando Navarro se jubila debido a su edad avanzada y a la disminución del alquiler del local. También menciona que no quería convertir su tienda en una venta de películas usadas, ya que iba en contra de su objetivo de ofrecer una amplia variedad de películas.
**Cómo**: Fernando Navarro recuerda los primeros años de su videoclub como un período de gran éxito, con una gran variedad de películas y una clientela leal. Sin embargo, en los últimos años, la clientela disminuyó y el alquiler del local se redujo, lo que lo llevó a tomar la decisión de jubilarse.</t>
  </si>
  <si>
    <t>**Resumen de la entrevista con Fernando Navarro**
Fernando Navarro, dueño de Import Vídeo, un videoclub en Madrid, se jubila después de 38 años en el negocio. En una entrevista, recuerda los primeros años de éxito y la declinación del negocio en los últimos años debido a la competencia de las plataformas de streaming y la disminución del alquiler.
**Puntos destacados**
* Navarro vendió su colección de más de 50.000 películas a una empresa catalana que comercializa filmes por Amazon.
* El dueño del videoclub recuerda los primeros años de éxito, cuando el negocio era rentable y los clientes venían a alquilar películas regularmente.
* En los últimos años, el negocio decayó y los clientes habituales dejaron de venir.
* Navarro menciona algunas de las películas más memorables que tuvo en su videoclub, como "Mujeres al borde de un ataque de nervios" de Pedro Almodóvar y "Campeones".
* El dueño del videoclub prefiere la vida real a la vida de película, pero admite que hay momentos en que la vida de película puede ser más atractiva.
* Navarro no tiene Netflix y prefiere tener las películas en formato físico, como DVD, para poder escogerlas y tener su propio criterio.
* El dueño del videoclub lamenta la pérdida de la cultura del cine y la declinación de la venta de películas en formato físico.</t>
  </si>
  <si>
    <t>**Resumen del artículo**
Aciturri, una empresa fabricante de componentes aeronáuticos, ha adquirido Alestis, otra empresa del mismo sector, con el objetivo de crecer y aumentar su competitividad. La adquisición se realizó después de dos años de negociaciones y permitirá a Aciturri alcanzar una facturación de 585 millones de euros en 2018 y contar con 18 plantas y 3.100 trabajadores.
**Objetivos de la adquisición**
* Aumentar la competitividad y reducir costes
* Estar en línea con otras empresas Tier 1 de Airbus
* Diversificar la carga de trabajo y reducir la dependencia de Airbus
* Crear un grupo de cierto tamaño y alcanzar una facturación de 1.000 millones de euros
**Desafíos y oportunidades**
* La adquisición de Alestis no fue fácil debido a la deuda de 285 millones de euros y la necesidad de garantías de Airbus para elevar los pedidos
* La empresa sevillana tiene un exceso de capacidad del 30% y necesita entre 70 y 80 millones de carga adicional para cubrirlo
* El empresario Ginés Clemente cree que se dan las condiciones para culminar con éxito su proyecto, impulsado por un sector que crece a velocidad de crucero en número de aviones
**Plan de acción**
* La empresa planea reducir la dependencia de Airbus y aumentar la carga de trabajo en Norteamérica y Asia
* La división de motores, Aciturri Aeroengines, es un pilar importante de la diversificación y cuenta con clientes como Safran, Rolls Royce, GE e ITP
* La empresa busca alcanzar una facturación de 400 millones de euros en 2020 y fusionar las dos empresas en 2024, después de liquidar los dos primeros pagos del plan de amortización de deuda.</t>
  </si>
  <si>
    <t>**Resumen del contenido más relevante**
La empresa Aciturri, fabricante de componentes aeronáuticos, ha adquirido Alestis, otra empresa del mismo sector, con el objetivo de crecer y aumentar su competitividad. La adquisición se realizó después de dos años de negociaciones y permitirá a Aciturri alcanzar una facturación de 585 millones de euros en 2018 y reunir 18 plantas con 3.100 trabajadores.
**Objetivos de la adquisición**
* Aumentar la competitividad y reducir costes
* Estar en línea con otras empresas Tier 1 de Airbus
* Diversificar la carga de trabajo y reducir la dependencia de Airbus
* Crear un grupo de cierto tamaño para competir en el mercado internacional
**Desafíos y oportunidades**
* La deuda de Alestis, de 285 millones de euros, que se alargará hasta 2034
* La necesidad de aumentar la carga de trabajo para cubrir el exceso de capacidad de Alestis
* La oportunidad de crecer en el mercado norteamericano y asiático
* La posibilidad de fusionar las dos empresas en el futuro, si Alestis logra la rentabilidad para hacer los pagos de la deuda.
**Estrategia de diversificación**
* Reducir la dependencia de Airbus y aumentar la carga de trabajo en Norteamérica y Asia
* Desarrollar la división de motores, Aciturri Aeroengines, que ya cuenta con clientes como Safran, Rolls Royce, GE e ITP
* Construir plantas en Norteamérica y Asia para aumentar la presencia en el mercado internacional.</t>
  </si>
  <si>
    <t>**Resumen utilizando el método de las 5W1H**
**Qué**: La empresa Aciturri, fabricante de componentes aeronáuticos, ha adquirido Alestis, otra empresa del mismo sector, con el objetivo de crecer y ser más competitiva en el mercado.
**Quién**: Ginés Clemente, fundador y consejero delegado de Aciturri, es el principal responsable de la adquisición de Alestis.
**Cuándo**: La operación se firmó el 30 de julio después de dos años de negociaciones.
**Dónde**: La sede de Aciturri se encuentra en Miranda de Ebro (Burgos), mientras que Alestis tiene su sede en Sevilla.
**Por qué**: La adquisición se realizó para que Aciturri pueda crecer y ser más competitiva en el mercado, ya que la empresa necesitaba aumentar su tamaño para reducir costes y estar en línea con otras empresas del sector.
**Cómo**: La adquisición se llevó a cabo después de una serie de negociaciones y acuerdos con los propietarios de Alestis, incluyendo Airbus y Unicaja. Aciturri se hizo con el 75,94% de la empresa, mientras que la SEPI mantiene su 24,06%. La operación también incluyó la inyección de 80 millones de euros para darle liquidez a Alestis.</t>
  </si>
  <si>
    <t>**Resumen**
La empresa Aciturri, fabricante de componentes aeronáuticos, ha adquirido Alestis, otra empresa del sector, para crecer y ser más competitiva. La adquisición se realizó después de dos años de negociaciones y permitirá a Aciturri alcanzar una facturación de 585 millones de euros y tener 18 plantas con 3.100 trabajadores. El objetivo de la empresa es doblar su facturación hasta los 1.000 millones de euros y reducir su dependencia de Airbus, que aporta cerca del 70% de su facturación. La empresa también busca diversificar su negocio y reducir su dependencia de Airbus, y está considerando la posibilidad de instalarse en Asia y América.</t>
  </si>
  <si>
    <t>**Resumen de la llegada de turistas a España en junio y en el primer semestre del año**
La llegada de turistas internacionales a España en junio experimentó un aumento del 3,2% en comparación con el mismo mes del año anterior, con un total de 8,8 millones de visitantes. Cataluña se mantuvo como la comunidad más visitada, con 2,15 millones de turistas, seguida de Andalucía y Madrid.
Sin embargo, algunas regiones costeras experimentaron una disminución en la llegada de turistas, como Baleares (-2,6%) y Canarias (-7%). La inestabilidad política y la debilidad de la libra también afectaron la llegada de turistas británicos, que disminuyó un 5,3% en comparación con junio del año anterior.
Por otro lado, Alemania y Francia experimentaron un aumento en la llegada de turistas, con un 8,4% y un 8% más, respectivamente. La duración de la estancia mayoritaria entre los turistas en junio fue de cuatro a siete noches, con un incremento anual del 1,6%.
En cuanto al alojamiento, el número de turistas que utiliza el alojamiento de mercado (de pago) aumentó un 3,5% en tasa anual, y el alojamiento hotelero creció un 4,2%.
En el primer semestre del año, España registró un crecimiento en la llegada de turistas del 2,8%, con un total de 38,2 millones de visitantes. Los principales países emisores fueron el Reino Unido, Alemania y Francia. Cataluña y Andalucía experimentaron un aumento en la llegada de turistas, mientras que Canarias registró una disminución del 2,8%.</t>
  </si>
  <si>
    <t>**Resumen del contenido más relevante**
El verano en España comenzó con un aumento en la llegada de visitantes internacionales, con un total de 8,8 millones de turistas extranjeros en junio, un 3,2% más que en el mismo mes de 2018. Aunque algunas zonas costeras experimentaron una disminución en la llegada de turistas, Cataluña se mantuvo como la comunidad más visitada, con 2,15 millones de turistas, y creció un 2,2%.
**Destacados**
* La llegada de turistas británicos disminuyó un 5,3% en junio, lo que se compensó con el aumento de turistas alemanes y franceses.
* Alemania y Francia fueron los siguientes países con más turistas que visitaron España, con un aumento del 8,4% y 8%, respectivamente.
* La vía aeroportuaria fue la principal entrada para los turistas, con un aumento anual del 3,6%.
* La duración de la estancia mayoritaria entre los turistas en junio fue de cuatro a siete noches, con un incremento anual del 1,6%.
* El alojamiento de mercado (de pago) aumentó un 3,5% en tasa anual, y el alojamiento hotelero creció un 4,2%.
**Cifras del semestre**
* Entre enero y junio, el número de turistas creció el 2,8% y rozó los 38,2 millones.
* Los principales países emisores en lo que va de año fueron el Reino Unido, Alemania y Francia.
* Cataluña y Andalucía experimentaron un aumento en la llegada de turistas, mientras que Canarias disminuyó un 2,8%.</t>
  </si>
  <si>
    <t>**Resumen del texto utilizando el método de las 5W1H**
**Qué**: El número de turistas extranjeros que visitaron España en junio de 2019.
**Quién**: Los turistas extranjeros que visitaron España en junio de 2019, principalmente de Reino Unido, Alemania y Francia.
**Cuándo**: Junio de 2019.
**Dónde**: España, especialmente en las regiones de Cataluña, Madrid, Andalucía, Baleares y Canarias.
**Por qué**: La inestabilidad política, la debilidad de la libra y la competencia de destinos de sol y playa más baratos están haciendo que las llegadas desde el Reino Unido caigan.
**Cómo**: Los turistas llegaron a España principalmente por vía aeroportuaria (más de 7,5 millones), seguida de carretera y ferrocarril. La duración de la estancia mayoritaria fue de cuatro a siete noches. El alojamiento de mercado (de pago) fue el más utilizado, con un aumento anual del 3,5%.
**Otros datos relevantes**:
* El número de turistas extranjeros que visitaron España en junio de 2019 fue de 8,8 millones, un 3,2% más que en el mismo mes de 2018.
* Cataluña se mantuvo como la comunidad más visitada, con 2,15 millones de turistas.
* Las llegadas a Madrid se dispararon un 14,9%, mientras que las llegadas a Andalucía aumentaron un 6,4%.
* Baleares y Canarias registraron una disminución en el número de turistas, con un 2,6% y un 7% menos, respectivamente.
* Alemania y Francia compensaron la caída de británicos, con un aumento del 8,4% y del 8%, respectivamente.</t>
  </si>
  <si>
    <t>**Resumen de las cifras de turismo en España en junio**
* Llegaron 8,8 millones de turistas extranjeros, un 3,2% más que en junio de 2018.
* Cataluña fue la comunidad más visitada, con 2,15 millones de turistas.
* Las llegadas a Madrid aumentaron un 14,9%, mientras que las de Andalucía crecieron un 6,4%.
* Baleares y Canarias registraron una disminución en las llegadas, con un 2,6% y un 7% menos, respectivamente.
* Los turistas británicos disminuyeron un 5,3%, pero Alemania y Francia compensaron esta caída con un aumento del 8,4% y del 8%, respectivamente.
**Tendencias y cifras destacadas**
* La vía aeroportuaria sigue siendo la principal entrada para los turistas, con un aumento anual del 3,6%.
* Las llegadas por ferrocarril aumentaron un 27,6%, mientras que las por puerto disminuyeron un 17%.
* La duración de la estancia mayoritaria es de cuatro a siete noches, con un incremento anual del 1,6%.
* El alojamiento hotelero creció un 4,2%, mientras que la vivienda en alquiler disminuyó un 2%.</t>
  </si>
  <si>
    <t>**Resumen del artículo sobre Sarah Palin y Lisa Ann**
El artículo comienza hablando sobre el divorcio de Sarah Palin, la exgobernadora de Alaska y candidata a vicepresidenta en 2008, después de 31 años de matrimonio. Sin embargo, la atención se centra en Lisa Ann, una actriz pornográfica que se hizo famosa por interpretar a Sarah Palin en varias películas para adultos.
**La carrera de Lisa Ann**
Lisa Ann comenzó su carrera en la industria del porno en los años noventa y se convirtió en una estrella en la década. Después de un paréntesis, volvió a rodar películas pornográficas en 2006. En 2008, respondió a una oferta de trabajo para interpretar a Sarah Palin en una película por la que cobraría 3.000 dólares. La popularidad de la cinta fue tal que la actriz dio entrevistas a revistas femeninas y programas generalistas.
**El impacto de la parodia de Sarah Palin**
La parodia de Sarah Palin en la película "Who's nailing Paylin?" fue objeto de debate político en la cadena Fox y convirtió a Lisa Ann en una de las actrices porno más famosas del mundo. La actriz también se pronunció políticamente, apoyando abiertamente a Barack Obama en 2008 y 2012.
**La reconversión de Lisa Ann**
En 2014, Lisa Ann anunció su retirada del mundo del porno para centrarse en sus negocios y su papel como gurú del fantasy. Sin embargo, en 2015, publicó sus memorias y en la actualidad ha vuelto al porno, eligiendo proyectos y compañeros de escena.
**La lucha por el cambio en la industria del porno**
Lisa Ann pretende cambiar desde dentro la industria del porno, luchando activamente contra los conflictos raciales y creando una infraestructura que proteja a los intérpretes porno que se jubilan. A su modo, la actriz porno que se hizo famosa por interpretar a una política ha acabado haciendo política de verdad.</t>
  </si>
  <si>
    <t>**Resumen del contenido más relevante**
El artículo habla sobre la vida y carrera de Lisa Ann, una actriz pornográfica estadounidense que se hizo famosa por interpretar a Sarah Palin en una serie de películas pornográficas. La historia comienza con la noticia del divorcio de Sarah Palin y Todd Palin después de 31 años de matrimonio.
**La carrera de Lisa Ann**
Lisa Ann fue una estrella en los años noventa, pero después decidió actuar únicamente en clubes de strip-tease hasta que volvió a rodar películas pornográficas en 2006. En 2008, respondió a una oferta de trabajo en la plataforma Craigslist para interpretar a Sarah Palin en una película pornográfica, lo que la convirtió en una de las actrices porno más famosas del mundo.
**La popularidad de Lisa Ann**
La película "Who's nailing Paylin?" fue objeto de debate político en la cadena Fox y convirtió a Lisa Ann en una de las actrices porno más famosas del mundo. También apareció en el videoclip de Eminem "We made you" y fue situada en el número uno de las listas de las más buscadas en Pornhub en 2014.
**La reconversión de Lisa Ann**
En 2014, Lisa Ann anunció su retirada del mundo del porno para centrarse en sus negocios y en su nuevo papel como gurú del fantasy. Sin embargo, ha vuelto al porno, pero eligiendo los proyectos y a sus compañeros de escena. También pretende cambiar desde dentro una industria en la que aún sigue habiendo conflictos raciales y crear una infraestructura que proteja a los intérpretes porno que se jubilan.
**La conexión con la política**
La carrera de Lisa Ann está estrechamente relacionada con la política, ya que se hizo famosa por interpretar a Sarah Palin, una política estadounidense. También apoyó abiertamente a Barack Obama en 2008 y 2012. Ahora, Lisa Ann pretende hacer política de verdad, luchando contra los conflictos raciales en la industria del porno y creando una infraestructura que proteja a los intérpretes porno que se jubilan.</t>
  </si>
  <si>
    <t>**Resumen del texto utilizando el método de las 5W1H**
**Qué**: El texto trata sobre la actriz porno Lisa Ann, que se hizo famosa por interpretar a Sarah Palin en varias películas pornográficas, y su carrera después de su retirada del mundo del porno.
**Quién**: Las personas involucradas en la historia son:
* Lisa Ann, actriz porno que interpretó a Sarah Palin en varias películas.
* Sarah Palin, exgobernadora de Alaska y candidata a la vicepresidencia en 2008.
* Todd Palin, esposo de Sarah Palin que solicitó el divorcio.
* Larry Flint, dueño de la productora de películas pornográficas Hustler.
* Eminem, rapero que invitó a Lisa Ann a participar en su videoclip "We made you".
**Cuándo**: Los eventos descritos en el texto ocurrieron en diferentes momentos:
* 1994-1997: Lisa Ann estuvo activa en la industria del porno.
* 2006: Lisa Ann volvió a rodar películas pornográficas.
* 2008: Se estrenó la primera película porno que parodiaba a Sarah Palin, "Who's nailing Paylin?".
* 2009: Eminem invitó a Lisa Ann a participar en su videoclip "We made you".
* 2012: Lisa Ann apoyó a Barack Obama en su campaña presidencial.
* 2014: Lisa Ann anunció su retirada del mundo del porno y se centró en sus negocios y en su papel como gurú del fantasy.
* 2015: Lisa Ann publicó sus memorias.
**Dónde**: Los eventos descritos en el texto ocurrieron en diferentes lugares:
* Estados Unidos: Es el país donde se desarrolla la historia.
* Alaska: Es el estado donde Sarah Palin fue gobernadora.
* Hollywood: Es el lugar donde se rodaron las películas pornográficas que parodiaban a Sarah Palin.
**Por qué**: La razón por la que Lisa Ann se hizo famosa es porque interpretó a Sarah Palin en varias películas pornográficas, lo que la convirtió en una estrella del porno y le dio una gran visibilidad.
**Cómo**: Lisa Ann se convirtió en una estrella del porno después de interpretar a Sarah Palin en varias películas, lo que la llevó a ser invitada a participar en proyectos de otros artistas, como el videoclip de Eminem "We made you". Después de su retirada del mundo del porno, se centró en sus negocios y en su papel como gurú del fantasy, y más tarde volvió al porno, pero de manera selectiva y con el objetivo de cambiar la industria desde dentro.</t>
  </si>
  <si>
    <t>La actriz porno Lisa Ann se hizo famosa por interpretar a Sarah Palin en varias películas para adultos. Su carrera resurgió gracias a estas parodias y se convirtió en una de las actrices porno más famosas del mundo. Lisa Ann se pronunciaba políticamente y apoyó a Barack Obama en 2008 y 2012. Después de retirarse del mundo del porno en 2014, Ann se centró en sus negocios y se convirtió en una gurú del fantasy. Actualmente, ha vuelto al porno, pero eligiendo proyectos y compañeros de escena, y busca cambiar la industria desde dentro y proteger a los intérpretes porno que se jubilan.</t>
  </si>
  <si>
    <t xml:space="preserve"> model key</t>
  </si>
  <si>
    <t>prompt key</t>
  </si>
  <si>
    <t>PROMPTS</t>
  </si>
  <si>
    <t>Resume el siguiente texto.\n\n{text}</t>
  </si>
  <si>
    <t>Piensa bien cuál es el contenido más relevante en el siguiente texto y resúmelo usando el contenido más relevante.\n\n{text}</t>
  </si>
  <si>
    <t>Resume el siguiente texto usando el método de las 5W1H (qué, quién, cuándo, dónde, por qué, cómo).\n\n{text}</t>
  </si>
  <si>
    <t>{text}\n\ntldr:</t>
  </si>
  <si>
    <t>HUMAN SUMMARIES</t>
  </si>
  <si>
    <t>Human-generated XLSum-like summary (i.e., the heading of the article)</t>
  </si>
  <si>
    <t>Summary generated manually by Jeremy</t>
  </si>
  <si>
    <t>Summary generated manually by Begoña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</si>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</sst>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color theme="1"/>
      <name val="Arial"/>
    </font>
    <font>
      <sz val="9.0"/>
      <color rgb="FF4285F4"/>
      <name val="Arial"/>
      <scheme val="minor"/>
    </font>
    <font>
      <b/>
      <sz val="9.0"/>
      <color rgb="FF000000"/>
      <name val="Arial"/>
      <scheme val="minor"/>
    </font>
    <font>
      <b/>
      <sz val="9.0"/>
      <color theme="1"/>
      <name val="Arial"/>
    </font>
    <font>
      <b/>
      <u/>
      <color rgb="FF0000FF"/>
    </font>
    <font>
      <sz val="9.0"/>
      <color rgb="FF000000"/>
      <name val="Arial"/>
      <scheme val="minor"/>
    </font>
    <font>
      <sz val="9.0"/>
      <color theme="1"/>
      <name val="Arial"/>
    </font>
    <font>
      <b/>
      <u/>
      <color rgb="FF0000FF"/>
    </font>
    <font>
      <b/>
      <color theme="1"/>
      <name val="Arial"/>
    </font>
    <font>
      <b/>
      <u/>
      <color rgb="FF1155CC"/>
      <name val="Arial"/>
    </font>
    <font>
      <b/>
      <u/>
      <color rgb="FF1155CC"/>
      <name val="Arial"/>
    </font>
    <font>
      <b/>
      <u/>
      <color rgb="FF1155CC"/>
      <name val="Arial"/>
    </font>
    <font>
      <b/>
      <u/>
      <color rgb="FF1155CC"/>
      <name val="Arial"/>
    </font>
    <font>
      <u/>
      <color rgb="FF0000FF"/>
    </font>
    <font>
      <u/>
      <color rgb="FF1155CC"/>
      <name val="Arial"/>
    </font>
    <font>
      <b/>
      <color rgb="FFFFFFFF"/>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10">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D9EAD3"/>
        <bgColor rgb="FFD9EAD3"/>
      </patternFill>
    </fill>
    <fill>
      <patternFill patternType="solid">
        <fgColor rgb="FFF8DBD8"/>
        <bgColor rgb="FFF8DBD8"/>
      </patternFill>
    </fill>
    <fill>
      <patternFill patternType="solid">
        <fgColor rgb="FFFBE9E7"/>
        <bgColor rgb="FFFBE9E7"/>
      </patternFill>
    </fill>
    <fill>
      <patternFill patternType="solid">
        <fgColor rgb="FFFBE8E6"/>
        <bgColor rgb="FFFBE8E6"/>
      </patternFill>
    </fill>
    <fill>
      <patternFill patternType="solid">
        <fgColor rgb="FFFBE7E5"/>
        <bgColor rgb="FFFBE7E5"/>
      </patternFill>
    </fill>
    <fill>
      <patternFill patternType="solid">
        <fgColor rgb="FFFCEDEC"/>
        <bgColor rgb="FFFCEDEC"/>
      </patternFill>
    </fill>
  </fills>
  <borders count="15">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top style="thin">
        <color rgb="FF000000"/>
      </top>
    </border>
    <border>
      <right style="thin">
        <color rgb="FF000000"/>
      </right>
      <bottom style="thin">
        <color rgb="FF000000"/>
      </bottom>
    </border>
    <border>
      <left style="thin">
        <color rgb="FF000000"/>
      </left>
      <top style="thin">
        <color rgb="FF000000"/>
      </top>
    </border>
    <border>
      <top style="thin">
        <color rgb="FF000000"/>
      </top>
    </border>
    <border>
      <left style="thick">
        <color rgb="FF000000"/>
      </left>
    </border>
    <border>
      <right style="thick">
        <color rgb="FF000000"/>
      </right>
    </border>
    <border>
      <top style="double">
        <color rgb="FF000000"/>
      </top>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0" xfId="0" applyAlignment="1" applyFont="1">
      <alignment readingOrder="0"/>
    </xf>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readingOrder="0"/>
    </xf>
    <xf borderId="6" fillId="0" fontId="6" numFmtId="0" xfId="0" applyAlignment="1" applyBorder="1" applyFont="1">
      <alignment horizontal="right"/>
    </xf>
    <xf borderId="7" fillId="0" fontId="2" numFmtId="0" xfId="0" applyAlignment="1" applyBorder="1" applyFont="1">
      <alignment horizontal="center" readingOrder="0"/>
    </xf>
    <xf borderId="7" fillId="0" fontId="2" numFmtId="0" xfId="0" applyBorder="1" applyFont="1"/>
    <xf borderId="7" fillId="0" fontId="2" numFmtId="9" xfId="0" applyBorder="1" applyFont="1" applyNumberFormat="1"/>
    <xf borderId="7" fillId="0" fontId="2" numFmtId="4" xfId="0" applyBorder="1" applyFont="1" applyNumberFormat="1"/>
    <xf borderId="4" fillId="0" fontId="2" numFmtId="0" xfId="0" applyAlignment="1" applyBorder="1" applyFont="1">
      <alignment horizontal="center" readingOrder="0"/>
    </xf>
    <xf borderId="8" fillId="0" fontId="7" numFmtId="0" xfId="0" applyAlignment="1" applyBorder="1" applyFont="1">
      <alignment horizontal="center" vertical="bottom"/>
    </xf>
    <xf borderId="5" fillId="0" fontId="7" numFmtId="0" xfId="0" applyAlignment="1" applyBorder="1" applyFont="1">
      <alignment horizontal="center" vertical="bottom"/>
    </xf>
    <xf borderId="9" fillId="0" fontId="7" numFmtId="0" xfId="0" applyAlignment="1" applyBorder="1" applyFont="1">
      <alignment horizontal="center" vertical="bottom"/>
    </xf>
    <xf borderId="10" fillId="0" fontId="2" numFmtId="0" xfId="0" applyBorder="1" applyFont="1"/>
    <xf borderId="11" fillId="0" fontId="2" numFmtId="0" xfId="0" applyBorder="1" applyFont="1"/>
    <xf borderId="11" fillId="0" fontId="2" numFmtId="0" xfId="0" applyAlignment="1" applyBorder="1" applyFont="1">
      <alignment horizontal="center" readingOrder="0" vertical="top"/>
    </xf>
    <xf borderId="11" fillId="0" fontId="2" numFmtId="9" xfId="0" applyBorder="1" applyFont="1" applyNumberFormat="1"/>
    <xf borderId="11" fillId="0" fontId="2" numFmtId="2" xfId="0" applyBorder="1" applyFont="1" applyNumberFormat="1"/>
    <xf borderId="4" fillId="0" fontId="2" numFmtId="0" xfId="0" applyBorder="1" applyFont="1"/>
    <xf borderId="6" fillId="0" fontId="2" numFmtId="0" xfId="0" applyBorder="1" applyFont="1"/>
    <xf borderId="7" fillId="0" fontId="2" numFmtId="0" xfId="0" applyAlignment="1" applyBorder="1" applyFont="1">
      <alignment horizontal="center" readingOrder="0" vertical="top"/>
    </xf>
    <xf borderId="7"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10" fillId="0" fontId="2" numFmtId="0" xfId="0" applyAlignment="1" applyBorder="1" applyFont="1">
      <alignment horizontal="right"/>
    </xf>
    <xf borderId="11" fillId="0" fontId="2" numFmtId="0" xfId="0" applyAlignment="1" applyBorder="1" applyFont="1">
      <alignment horizontal="center" readingOrder="0"/>
    </xf>
    <xf borderId="8" fillId="0" fontId="2" numFmtId="2" xfId="0" applyBorder="1" applyFont="1" applyNumberFormat="1"/>
    <xf borderId="4" fillId="0" fontId="2" numFmtId="0" xfId="0" applyAlignment="1" applyBorder="1" applyFont="1">
      <alignment horizontal="right"/>
    </xf>
    <xf borderId="5" fillId="0" fontId="2" numFmtId="2" xfId="0" applyBorder="1" applyFont="1" applyNumberFormat="1"/>
    <xf borderId="6" fillId="0" fontId="2" numFmtId="0" xfId="0" applyAlignment="1" applyBorder="1" applyFont="1">
      <alignment horizontal="right"/>
    </xf>
    <xf borderId="9" fillId="0" fontId="2" numFmtId="2" xfId="0" applyBorder="1" applyFont="1" applyNumberFormat="1"/>
    <xf borderId="0" fillId="0" fontId="8" numFmtId="0" xfId="0" applyFont="1"/>
    <xf borderId="0" fillId="0" fontId="1" numFmtId="0" xfId="0" applyAlignment="1" applyFont="1">
      <alignment horizontal="center" readingOrder="0" vertical="center"/>
    </xf>
    <xf borderId="0" fillId="0" fontId="9" numFmtId="0" xfId="0" applyAlignment="1" applyFont="1">
      <alignment horizontal="center" readingOrder="0" shrinkToFit="0" vertical="top" wrapText="1"/>
    </xf>
    <xf borderId="0" fillId="0" fontId="10" numFmtId="0" xfId="0" applyAlignment="1" applyFont="1">
      <alignment horizontal="center" shrinkToFit="0" vertical="top" wrapText="1"/>
    </xf>
    <xf borderId="0" fillId="0" fontId="1" numFmtId="0" xfId="0" applyAlignment="1" applyFont="1">
      <alignment horizontal="center" vertical="top"/>
    </xf>
    <xf borderId="0" fillId="0" fontId="11" numFmtId="0" xfId="0" applyAlignment="1" applyFont="1">
      <alignment readingOrder="0" textRotation="90" vertical="center"/>
    </xf>
    <xf borderId="0" fillId="0" fontId="2" numFmtId="0" xfId="0" applyAlignment="1" applyFont="1">
      <alignment readingOrder="0" shrinkToFit="0" vertical="top" wrapText="1"/>
    </xf>
    <xf borderId="0" fillId="0" fontId="12" numFmtId="0" xfId="0" applyAlignment="1" applyFont="1">
      <alignment readingOrder="0" shrinkToFit="0" vertical="top" wrapText="1"/>
    </xf>
    <xf borderId="0" fillId="3" fontId="7" numFmtId="9" xfId="0" applyAlignment="1" applyFill="1" applyFont="1" applyNumberFormat="1">
      <alignment horizontal="right" vertical="top"/>
    </xf>
    <xf borderId="0" fillId="0" fontId="2" numFmtId="0" xfId="0" applyAlignment="1" applyFont="1">
      <alignment vertical="top"/>
    </xf>
    <xf borderId="0" fillId="0" fontId="13" numFmtId="0" xfId="0" applyAlignment="1" applyFont="1">
      <alignment readingOrder="0" shrinkToFit="0" vertical="top" wrapText="1"/>
    </xf>
    <xf borderId="0" fillId="0" fontId="7" numFmtId="0" xfId="0" applyAlignment="1" applyFont="1">
      <alignment vertical="top"/>
    </xf>
    <xf borderId="0" fillId="0" fontId="1" numFmtId="0" xfId="0" applyAlignment="1" applyFont="1">
      <alignment vertical="center"/>
    </xf>
    <xf borderId="0" fillId="0" fontId="2" numFmtId="0" xfId="0" applyAlignment="1" applyFont="1">
      <alignment horizontal="center" vertical="top"/>
    </xf>
    <xf borderId="0" fillId="0" fontId="12" numFmtId="0" xfId="0" applyAlignment="1" applyFont="1">
      <alignment shrinkToFit="0" vertical="top" wrapText="1"/>
    </xf>
    <xf borderId="14" fillId="0" fontId="14" numFmtId="0" xfId="0" applyAlignment="1" applyBorder="1" applyFont="1">
      <alignment readingOrder="0" textRotation="90" vertical="center"/>
    </xf>
    <xf borderId="14" fillId="0" fontId="2" numFmtId="0" xfId="0" applyAlignment="1" applyBorder="1" applyFont="1">
      <alignment readingOrder="0" shrinkToFit="0" vertical="top" wrapText="1"/>
    </xf>
    <xf borderId="14" fillId="0" fontId="2" numFmtId="0" xfId="0" applyAlignment="1" applyBorder="1" applyFont="1">
      <alignment horizontal="center" readingOrder="0" vertical="top"/>
    </xf>
    <xf borderId="14" fillId="0" fontId="12" numFmtId="0" xfId="0" applyAlignment="1" applyBorder="1" applyFont="1">
      <alignment readingOrder="0" shrinkToFit="0" vertical="top" wrapText="1"/>
    </xf>
    <xf borderId="14" fillId="3" fontId="7" numFmtId="9" xfId="0" applyAlignment="1" applyBorder="1" applyFont="1" applyNumberFormat="1">
      <alignment horizontal="right" vertical="top"/>
    </xf>
    <xf borderId="0" fillId="0" fontId="7" numFmtId="0" xfId="0" applyAlignment="1" applyFont="1">
      <alignment readingOrder="0" vertical="top"/>
    </xf>
    <xf borderId="14" fillId="0" fontId="2" numFmtId="0" xfId="0" applyAlignment="1" applyBorder="1" applyFont="1">
      <alignment vertical="top"/>
    </xf>
    <xf borderId="0" fillId="0" fontId="7" numFmtId="0" xfId="0" applyAlignment="1" applyFont="1">
      <alignment vertical="top"/>
    </xf>
    <xf borderId="0" fillId="0" fontId="15" numFmtId="0" xfId="0" applyAlignment="1" applyFont="1">
      <alignment horizontal="center"/>
    </xf>
    <xf borderId="0" fillId="0" fontId="15" numFmtId="0" xfId="0" applyAlignment="1" applyFont="1">
      <alignment horizontal="center" vertical="top"/>
    </xf>
    <xf borderId="0" fillId="0" fontId="16" numFmtId="0" xfId="0" applyAlignment="1" applyFont="1">
      <alignment textRotation="90"/>
    </xf>
    <xf borderId="0" fillId="4" fontId="7" numFmtId="0" xfId="0" applyAlignment="1" applyFill="1" applyFont="1">
      <alignment shrinkToFit="0" vertical="top" wrapText="1"/>
    </xf>
    <xf borderId="0" fillId="5" fontId="7" numFmtId="9" xfId="0" applyAlignment="1" applyFill="1" applyFont="1" applyNumberFormat="1">
      <alignment horizontal="right" vertical="top"/>
    </xf>
    <xf borderId="0" fillId="0" fontId="7" numFmtId="0" xfId="0" applyFont="1"/>
    <xf borderId="14" fillId="0" fontId="17" numFmtId="0" xfId="0" applyAlignment="1" applyBorder="1" applyFont="1">
      <alignment textRotation="90"/>
    </xf>
    <xf borderId="14" fillId="4" fontId="7" numFmtId="0" xfId="0" applyAlignment="1" applyBorder="1" applyFont="1">
      <alignment shrinkToFit="0" vertical="top" wrapText="1"/>
    </xf>
    <xf borderId="14" fillId="5" fontId="7" numFmtId="9" xfId="0" applyAlignment="1" applyBorder="1" applyFont="1" applyNumberFormat="1">
      <alignment horizontal="right" vertical="top"/>
    </xf>
    <xf borderId="0" fillId="0" fontId="18" numFmtId="0" xfId="0" applyAlignment="1" applyFont="1">
      <alignment textRotation="90"/>
    </xf>
    <xf borderId="0" fillId="4" fontId="7" numFmtId="0" xfId="0" applyAlignment="1" applyFont="1">
      <alignment shrinkToFit="0" vertical="top" wrapText="1"/>
    </xf>
    <xf borderId="14" fillId="0" fontId="7" numFmtId="0" xfId="0" applyAlignment="1" applyBorder="1" applyFont="1">
      <alignment horizontal="center" vertical="top"/>
    </xf>
    <xf borderId="14" fillId="0" fontId="13" numFmtId="0" xfId="0" applyAlignment="1" applyBorder="1" applyFont="1">
      <alignment readingOrder="0" shrinkToFit="0" vertical="top" wrapText="1"/>
    </xf>
    <xf borderId="14" fillId="6" fontId="7" numFmtId="9" xfId="0" applyAlignment="1" applyBorder="1" applyFill="1" applyFont="1" applyNumberFormat="1">
      <alignment horizontal="right" vertical="top"/>
    </xf>
    <xf borderId="14" fillId="0" fontId="7" numFmtId="0" xfId="0" applyAlignment="1" applyBorder="1" applyFont="1">
      <alignment vertical="top"/>
    </xf>
    <xf borderId="0" fillId="0" fontId="7" numFmtId="0" xfId="0" applyAlignment="1" applyFont="1">
      <alignment horizontal="center" vertical="top"/>
    </xf>
    <xf borderId="0" fillId="7" fontId="7" numFmtId="9" xfId="0" applyAlignment="1" applyFill="1" applyFont="1" applyNumberFormat="1">
      <alignment horizontal="right" vertical="top"/>
    </xf>
    <xf borderId="0" fillId="8" fontId="7" numFmtId="9" xfId="0" applyAlignment="1" applyFill="1" applyFont="1" applyNumberFormat="1">
      <alignment horizontal="right" vertical="top"/>
    </xf>
    <xf borderId="0" fillId="9" fontId="7" numFmtId="9" xfId="0" applyAlignment="1" applyFill="1" applyFont="1" applyNumberFormat="1">
      <alignment horizontal="right" vertical="top"/>
    </xf>
    <xf borderId="14" fillId="0" fontId="19" numFmtId="0" xfId="0" applyAlignment="1" applyBorder="1" applyFont="1">
      <alignment textRotation="90"/>
    </xf>
    <xf borderId="14" fillId="4" fontId="7" numFmtId="0" xfId="0" applyAlignment="1" applyBorder="1" applyFont="1">
      <alignment shrinkToFit="0" vertical="top" wrapText="1"/>
    </xf>
    <xf borderId="14" fillId="0" fontId="7" numFmtId="0" xfId="0" applyAlignment="1" applyBorder="1" applyFont="1">
      <alignment shrinkToFit="0" vertical="top" wrapText="1"/>
    </xf>
    <xf borderId="0" fillId="0" fontId="20" numFmtId="0" xfId="0" applyAlignment="1" applyFont="1">
      <alignment horizontal="right"/>
    </xf>
    <xf borderId="0" fillId="0" fontId="2" numFmtId="9" xfId="0" applyAlignment="1" applyFont="1" applyNumberFormat="1">
      <alignment horizontal="center"/>
    </xf>
    <xf borderId="0" fillId="0" fontId="2" numFmtId="0" xfId="0" applyAlignment="1" applyFont="1">
      <alignment horizontal="right"/>
    </xf>
    <xf borderId="0" fillId="0" fontId="21" numFmtId="0" xfId="0" applyAlignment="1" applyFont="1">
      <alignment horizontal="right" vertical="bottom"/>
    </xf>
    <xf borderId="0" fillId="0" fontId="7" numFmtId="0" xfId="0" applyAlignment="1" applyFont="1">
      <alignment vertical="bottom"/>
    </xf>
    <xf borderId="0" fillId="2" fontId="22" numFmtId="0" xfId="0" applyAlignment="1" applyFont="1">
      <alignment vertical="top"/>
    </xf>
    <xf borderId="0" fillId="2" fontId="7" numFmtId="0" xfId="0" applyAlignment="1" applyFont="1">
      <alignment vertical="bottom"/>
    </xf>
    <xf borderId="0" fillId="0" fontId="15" numFmtId="0" xfId="0" applyAlignment="1" applyFont="1">
      <alignment horizontal="center" vertical="top"/>
    </xf>
    <xf borderId="0" fillId="0" fontId="7" numFmtId="0" xfId="0" applyAlignment="1" applyFont="1">
      <alignment readingOrder="0" shrinkToFit="0" vertical="bottom" wrapText="0"/>
    </xf>
    <xf borderId="0" fillId="0" fontId="7" numFmtId="0" xfId="0" applyAlignment="1" applyFont="1">
      <alignment readingOrder="0" vertical="bottom"/>
    </xf>
    <xf borderId="0" fillId="2" fontId="22" numFmtId="0" xfId="0" applyAlignment="1" applyFont="1">
      <alignment shrinkToFit="0" vertical="top" wrapText="0"/>
    </xf>
    <xf borderId="0" fillId="0" fontId="7" numFmtId="0" xfId="0" applyAlignment="1" applyFont="1">
      <alignment shrinkToFit="0" vertical="bottom" wrapText="0"/>
    </xf>
    <xf borderId="0" fillId="0" fontId="15"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elpais.com/elpais/2019/09/10/icon/1568113526_178108.html" TargetMode="External"/><Relationship Id="rId10" Type="http://schemas.openxmlformats.org/officeDocument/2006/relationships/hyperlink" Target="http://elpais.com/economia/2019/08/01/actualidad/1564646483_824043.html"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elpais.com/ccaa/2019/10/14/catalunya/1571053877_702844.html" TargetMode="External"/><Relationship Id="rId3" Type="http://schemas.openxmlformats.org/officeDocument/2006/relationships/hyperlink" Target="http://elpais.com/cultura/2019/10/15/actualidad/1571152626_720988.html" TargetMode="External"/><Relationship Id="rId4" Type="http://schemas.openxmlformats.org/officeDocument/2006/relationships/hyperlink" Target="http://elpais.com/ccaa/2019/07/23/madrid/1563898491_008005.html" TargetMode="External"/><Relationship Id="rId9" Type="http://schemas.openxmlformats.org/officeDocument/2006/relationships/hyperlink" Target="http://elpais.com/economia/2019/09/04/actualidad/1567623137_247012.html" TargetMode="External"/><Relationship Id="rId5" Type="http://schemas.openxmlformats.org/officeDocument/2006/relationships/hyperlink" Target="http://elpais.com/elpais/2019/06/28/estilo/1561733550_082135.html" TargetMode="External"/><Relationship Id="rId6" Type="http://schemas.openxmlformats.org/officeDocument/2006/relationships/hyperlink" Target="http://elpais.com/internacional/2019/08/06/mexico/1565054211_863699.html" TargetMode="External"/><Relationship Id="rId7" Type="http://schemas.openxmlformats.org/officeDocument/2006/relationships/hyperlink" Target="http://elpais.com/elpais/2019/07/17/ciencia/1563370426_198967.html" TargetMode="External"/><Relationship Id="rId8" Type="http://schemas.openxmlformats.org/officeDocument/2006/relationships/hyperlink" Target="http://elpais.com/ccaa/2019/07/02/madrid/1562051236_216739.html"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elpais.com/elpais/2019/09/10/icon/1568113526_178108.html" TargetMode="External"/><Relationship Id="rId10" Type="http://schemas.openxmlformats.org/officeDocument/2006/relationships/hyperlink" Target="http://elpais.com/economia/2019/08/01/actualidad/1564646483_824043.html" TargetMode="External"/><Relationship Id="rId13" Type="http://schemas.openxmlformats.org/officeDocument/2006/relationships/vmlDrawing" Target="../drawings/vmlDrawing3.vml"/><Relationship Id="rId12"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elpais.com/ccaa/2019/10/14/catalunya/1571053877_702844.html" TargetMode="External"/><Relationship Id="rId3" Type="http://schemas.openxmlformats.org/officeDocument/2006/relationships/hyperlink" Target="http://elpais.com/cultura/2019/10/15/actualidad/1571152626_720988.html" TargetMode="External"/><Relationship Id="rId4" Type="http://schemas.openxmlformats.org/officeDocument/2006/relationships/hyperlink" Target="http://elpais.com/ccaa/2019/07/23/madrid/1563898491_008005.html" TargetMode="External"/><Relationship Id="rId9" Type="http://schemas.openxmlformats.org/officeDocument/2006/relationships/hyperlink" Target="http://elpais.com/economia/2019/09/04/actualidad/1567623137_247012.html" TargetMode="External"/><Relationship Id="rId5" Type="http://schemas.openxmlformats.org/officeDocument/2006/relationships/hyperlink" Target="http://elpais.com/elpais/2019/06/28/estilo/1561733550_082135.html" TargetMode="External"/><Relationship Id="rId6" Type="http://schemas.openxmlformats.org/officeDocument/2006/relationships/hyperlink" Target="http://elpais.com/internacional/2019/08/06/mexico/1565054211_863699.html" TargetMode="External"/><Relationship Id="rId7" Type="http://schemas.openxmlformats.org/officeDocument/2006/relationships/hyperlink" Target="http://elpais.com/elpais/2019/07/17/ciencia/1563370426_198967.html" TargetMode="External"/><Relationship Id="rId8" Type="http://schemas.openxmlformats.org/officeDocument/2006/relationships/hyperlink" Target="http://elpais.com/ccaa/2019/07/02/madrid/1562051236_216739.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elpais.com/elpais/2019/09/10/icon/1568113526_178108.html" TargetMode="External"/><Relationship Id="rId10" Type="http://schemas.openxmlformats.org/officeDocument/2006/relationships/hyperlink" Target="http://elpais.com/economia/2019/08/01/actualidad/1564646483_824043.html" TargetMode="External"/><Relationship Id="rId13" Type="http://schemas.openxmlformats.org/officeDocument/2006/relationships/vmlDrawing" Target="../drawings/vmlDrawing4.vml"/><Relationship Id="rId12"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elpais.com/ccaa/2019/10/14/catalunya/1571053877_702844.html" TargetMode="External"/><Relationship Id="rId3" Type="http://schemas.openxmlformats.org/officeDocument/2006/relationships/hyperlink" Target="http://elpais.com/cultura/2019/10/15/actualidad/1571152626_720988.html" TargetMode="External"/><Relationship Id="rId4" Type="http://schemas.openxmlformats.org/officeDocument/2006/relationships/hyperlink" Target="http://elpais.com/ccaa/2019/07/23/madrid/1563898491_008005.html" TargetMode="External"/><Relationship Id="rId9" Type="http://schemas.openxmlformats.org/officeDocument/2006/relationships/hyperlink" Target="http://elpais.com/economia/2019/09/04/actualidad/1567623137_247012.html" TargetMode="External"/><Relationship Id="rId5" Type="http://schemas.openxmlformats.org/officeDocument/2006/relationships/hyperlink" Target="http://elpais.com/elpais/2019/06/28/estilo/1561733550_082135.html" TargetMode="External"/><Relationship Id="rId6" Type="http://schemas.openxmlformats.org/officeDocument/2006/relationships/hyperlink" Target="http://elpais.com/internacional/2019/08/06/mexico/1565054211_863699.html" TargetMode="External"/><Relationship Id="rId7" Type="http://schemas.openxmlformats.org/officeDocument/2006/relationships/hyperlink" Target="http://elpais.com/elpais/2019/07/17/ciencia/1563370426_198967.html" TargetMode="External"/><Relationship Id="rId8" Type="http://schemas.openxmlformats.org/officeDocument/2006/relationships/hyperlink" Target="http://elpais.com/ccaa/2019/07/02/madrid/1562051236_216739.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elpais.com/elpais/2019/09/10/icon/1568113526_178108.html" TargetMode="External"/><Relationship Id="rId10" Type="http://schemas.openxmlformats.org/officeDocument/2006/relationships/hyperlink" Target="http://elpais.com/economia/2019/08/01/actualidad/1564646483_824043.html" TargetMode="External"/><Relationship Id="rId13" Type="http://schemas.openxmlformats.org/officeDocument/2006/relationships/vmlDrawing" Target="../drawings/vmlDrawing5.vml"/><Relationship Id="rId12"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elpais.com/ccaa/2019/10/14/catalunya/1571053877_702844.html" TargetMode="External"/><Relationship Id="rId3" Type="http://schemas.openxmlformats.org/officeDocument/2006/relationships/hyperlink" Target="http://elpais.com/cultura/2019/10/15/actualidad/1571152626_720988.html" TargetMode="External"/><Relationship Id="rId4" Type="http://schemas.openxmlformats.org/officeDocument/2006/relationships/hyperlink" Target="http://elpais.com/ccaa/2019/07/23/madrid/1563898491_008005.html" TargetMode="External"/><Relationship Id="rId9" Type="http://schemas.openxmlformats.org/officeDocument/2006/relationships/hyperlink" Target="http://elpais.com/economia/2019/09/04/actualidad/1567623137_247012.html" TargetMode="External"/><Relationship Id="rId5" Type="http://schemas.openxmlformats.org/officeDocument/2006/relationships/hyperlink" Target="http://elpais.com/elpais/2019/06/28/estilo/1561733550_082135.html" TargetMode="External"/><Relationship Id="rId6" Type="http://schemas.openxmlformats.org/officeDocument/2006/relationships/hyperlink" Target="http://elpais.com/internacional/2019/08/06/mexico/1565054211_863699.html" TargetMode="External"/><Relationship Id="rId7" Type="http://schemas.openxmlformats.org/officeDocument/2006/relationships/hyperlink" Target="http://elpais.com/elpais/2019/07/17/ciencia/1563370426_198967.html" TargetMode="External"/><Relationship Id="rId8" Type="http://schemas.openxmlformats.org/officeDocument/2006/relationships/hyperlink" Target="http://elpais.com/ccaa/2019/07/02/madrid/1562051236_216739.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elpais.com/elpais/2019/09/10/icon/1568113526_178108.html" TargetMode="External"/><Relationship Id="rId10" Type="http://schemas.openxmlformats.org/officeDocument/2006/relationships/hyperlink" Target="http://elpais.com/economia/2019/08/01/actualidad/1564646483_824043.html" TargetMode="External"/><Relationship Id="rId13" Type="http://schemas.openxmlformats.org/officeDocument/2006/relationships/vmlDrawing" Target="../drawings/vmlDrawing6.vml"/><Relationship Id="rId12"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elpais.com/ccaa/2019/10/14/catalunya/1571053877_702844.html" TargetMode="External"/><Relationship Id="rId3" Type="http://schemas.openxmlformats.org/officeDocument/2006/relationships/hyperlink" Target="http://elpais.com/cultura/2019/10/15/actualidad/1571152626_720988.html" TargetMode="External"/><Relationship Id="rId4" Type="http://schemas.openxmlformats.org/officeDocument/2006/relationships/hyperlink" Target="http://elpais.com/ccaa/2019/07/23/madrid/1563898491_008005.html" TargetMode="External"/><Relationship Id="rId9" Type="http://schemas.openxmlformats.org/officeDocument/2006/relationships/hyperlink" Target="http://elpais.com/economia/2019/09/04/actualidad/1567623137_247012.html" TargetMode="External"/><Relationship Id="rId5" Type="http://schemas.openxmlformats.org/officeDocument/2006/relationships/hyperlink" Target="http://elpais.com/elpais/2019/06/28/estilo/1561733550_082135.html" TargetMode="External"/><Relationship Id="rId6" Type="http://schemas.openxmlformats.org/officeDocument/2006/relationships/hyperlink" Target="http://elpais.com/internacional/2019/08/06/mexico/1565054211_863699.html" TargetMode="External"/><Relationship Id="rId7" Type="http://schemas.openxmlformats.org/officeDocument/2006/relationships/hyperlink" Target="http://elpais.com/elpais/2019/07/17/ciencia/1563370426_198967.html" TargetMode="External"/><Relationship Id="rId8" Type="http://schemas.openxmlformats.org/officeDocument/2006/relationships/hyperlink" Target="http://elpais.com/ccaa/2019/07/02/madrid/1562051236_216739.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elpais.com/elpais/2019/09/10/icon/1568113526_178108.html" TargetMode="External"/><Relationship Id="rId10" Type="http://schemas.openxmlformats.org/officeDocument/2006/relationships/hyperlink" Target="http://elpais.com/economia/2019/08/01/actualidad/1564646483_824043.html" TargetMode="External"/><Relationship Id="rId13" Type="http://schemas.openxmlformats.org/officeDocument/2006/relationships/vmlDrawing" Target="../drawings/vmlDrawing7.vml"/><Relationship Id="rId12"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elpais.com/ccaa/2019/10/14/catalunya/1571053877_702844.html" TargetMode="External"/><Relationship Id="rId3" Type="http://schemas.openxmlformats.org/officeDocument/2006/relationships/hyperlink" Target="http://elpais.com/cultura/2019/10/15/actualidad/1571152626_720988.html" TargetMode="External"/><Relationship Id="rId4" Type="http://schemas.openxmlformats.org/officeDocument/2006/relationships/hyperlink" Target="http://elpais.com/ccaa/2019/07/23/madrid/1563898491_008005.html" TargetMode="External"/><Relationship Id="rId9" Type="http://schemas.openxmlformats.org/officeDocument/2006/relationships/hyperlink" Target="http://elpais.com/economia/2019/09/04/actualidad/1567623137_247012.html" TargetMode="External"/><Relationship Id="rId5" Type="http://schemas.openxmlformats.org/officeDocument/2006/relationships/hyperlink" Target="http://elpais.com/elpais/2019/06/28/estilo/1561733550_082135.html" TargetMode="External"/><Relationship Id="rId6" Type="http://schemas.openxmlformats.org/officeDocument/2006/relationships/hyperlink" Target="http://elpais.com/internacional/2019/08/06/mexico/1565054211_863699.html" TargetMode="External"/><Relationship Id="rId7" Type="http://schemas.openxmlformats.org/officeDocument/2006/relationships/hyperlink" Target="http://elpais.com/elpais/2019/07/17/ciencia/1563370426_198967.html" TargetMode="External"/><Relationship Id="rId8" Type="http://schemas.openxmlformats.org/officeDocument/2006/relationships/hyperlink" Target="http://elpais.com/ccaa/2019/07/02/madrid/1562051236_216739.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7.75"/>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IFERROR(__xludf.DUMMYFUNCTION("AVERAGE(FILTER('__flatlist__'!D$2:D1009,('__flatlist__'!$B$2:$B1009=$B2),('__flatlist__'!$C$2:$C1009=$C2)))"),0.032712872622263404)</f>
        <v>0.03271287262</v>
      </c>
      <c r="E2" s="9">
        <f>IFERROR(__xludf.DUMMYFUNCTION("AVERAGE(FILTER('__flatlist__'!E$2:E1009,('__flatlist__'!$B$2:$B1009=$B2),('__flatlist__'!$C$2:$C1009=$C2)))"),4.833333333333333)</f>
        <v>4.833333333</v>
      </c>
      <c r="F2" s="9">
        <f>IFERROR(__xludf.DUMMYFUNCTION("AVERAGE(FILTER('__flatlist__'!F$2:F1009,('__flatlist__'!$B$2:$B1009=$B2),('__flatlist__'!$C$2:$C1009=$C2)))"),4.833333333333333)</f>
        <v>4.833333333</v>
      </c>
      <c r="G2" s="9">
        <f>IFERROR(__xludf.DUMMYFUNCTION("AVERAGE(FILTER('__flatlist__'!G$2:G1009,('__flatlist__'!$B$2:$B1009=$B2),('__flatlist__'!$C$2:$C1009=$C2)))"),4.833333333333333)</f>
        <v>4.833333333</v>
      </c>
      <c r="H2" s="9">
        <f>IFERROR(__xludf.DUMMYFUNCTION("AVERAGE(FILTER('__flatlist__'!H$2:H1009,('__flatlist__'!$B$2:$B1009=$B2),('__flatlist__'!$C$2:$C1009=$C2)))"),3.8333333333333335)</f>
        <v>3.833333333</v>
      </c>
      <c r="I2" s="9">
        <f>IFERROR(__xludf.DUMMYFUNCTION("AVERAGE(FILTER('__flatlist__'!I$2:I1009,('__flatlist__'!$B$2:$B1009=$B2),('__flatlist__'!$C$2:$C1009=$C2)))"),1.8333333333333333)</f>
        <v>1.833333333</v>
      </c>
      <c r="J2" s="9">
        <f t="shared" ref="J2:J25" si="1">AVERAGE(E2:I2)</f>
        <v>4.033333333</v>
      </c>
      <c r="K2" s="10"/>
      <c r="M2" s="2" t="s">
        <v>11</v>
      </c>
      <c r="N2" s="11">
        <f>correl('__flatlist__'!D:D,'__flatlist__'!E:E)</f>
        <v>-0.2545458587</v>
      </c>
      <c r="O2" s="11"/>
      <c r="P2" s="11"/>
      <c r="Q2" s="11"/>
      <c r="R2" s="11"/>
    </row>
    <row r="3">
      <c r="A3" s="6"/>
      <c r="B3" s="6" t="s">
        <v>15</v>
      </c>
      <c r="C3" s="7" t="s">
        <v>17</v>
      </c>
      <c r="D3" s="8">
        <f>IFERROR(__xludf.DUMMYFUNCTION("AVERAGE(FILTER('__flatlist__'!D$2:D1009,('__flatlist__'!$B$2:$B1009=$B3),('__flatlist__'!$C$2:$C1009=$C3)))"),0.001585526709498633)</f>
        <v>0.001585526709</v>
      </c>
      <c r="E3" s="9" t="str">
        <f>IFERROR(__xludf.DUMMYFUNCTION("AVERAGE(FILTER('__flatlist__'!E$2:E1009,('__flatlist__'!$B$2:$B1009=$B3),('__flatlist__'!$C$2:$C1009=$C3)))"),"#DIV/0!")</f>
        <v>#DIV/0!</v>
      </c>
      <c r="F3" s="9" t="str">
        <f>IFERROR(__xludf.DUMMYFUNCTION("AVERAGE(FILTER('__flatlist__'!F$2:F1009,('__flatlist__'!$B$2:$B1009=$B3),('__flatlist__'!$C$2:$C1009=$C3)))"),"#DIV/0!")</f>
        <v>#DIV/0!</v>
      </c>
      <c r="G3" s="9" t="str">
        <f>IFERROR(__xludf.DUMMYFUNCTION("AVERAGE(FILTER('__flatlist__'!G$2:G1009,('__flatlist__'!$B$2:$B1009=$B3),('__flatlist__'!$C$2:$C1009=$C3)))"),"#DIV/0!")</f>
        <v>#DIV/0!</v>
      </c>
      <c r="H3" s="9" t="str">
        <f>IFERROR(__xludf.DUMMYFUNCTION("AVERAGE(FILTER('__flatlist__'!H$2:H1009,('__flatlist__'!$B$2:$B1009=$B3),('__flatlist__'!$C$2:$C1009=$C3)))"),"#DIV/0!")</f>
        <v>#DIV/0!</v>
      </c>
      <c r="I3" s="9" t="str">
        <f>IFERROR(__xludf.DUMMYFUNCTION("AVERAGE(FILTER('__flatlist__'!I$2:I1009,('__flatlist__'!$B$2:$B1009=$B3),('__flatlist__'!$C$2:$C1009=$C3)))"),"#DIV/0!")</f>
        <v>#DIV/0!</v>
      </c>
      <c r="J3" s="12" t="str">
        <f t="shared" si="1"/>
        <v>#DIV/0!</v>
      </c>
      <c r="M3" s="1" t="s">
        <v>12</v>
      </c>
      <c r="N3" s="11">
        <f>correl('__flatlist__'!D:D,'__flatlist__'!F:F)</f>
        <v>0.1269585419</v>
      </c>
      <c r="O3" s="11">
        <f>correl('__flatlist__'!E:E,'__flatlist__'!F:F)</f>
        <v>-0.02285800665</v>
      </c>
      <c r="P3" s="11"/>
      <c r="Q3" s="11"/>
      <c r="R3" s="11"/>
    </row>
    <row r="4">
      <c r="A4" s="6"/>
      <c r="B4" s="6" t="s">
        <v>15</v>
      </c>
      <c r="C4" s="7" t="s">
        <v>18</v>
      </c>
      <c r="D4" s="8">
        <f>IFERROR(__xludf.DUMMYFUNCTION("AVERAGE(FILTER('__flatlist__'!D$2:D1009,('__flatlist__'!$B$2:$B1009=$B4),('__flatlist__'!$C$2:$C1009=$C4)))"),0.001585526709498633)</f>
        <v>0.001585526709</v>
      </c>
      <c r="E4" s="9" t="str">
        <f>IFERROR(__xludf.DUMMYFUNCTION("AVERAGE(FILTER('__flatlist__'!E$2:E1009,('__flatlist__'!$B$2:$B1009=$B4),('__flatlist__'!$C$2:$C1009=$C4)))"),"#DIV/0!")</f>
        <v>#DIV/0!</v>
      </c>
      <c r="F4" s="9" t="str">
        <f>IFERROR(__xludf.DUMMYFUNCTION("AVERAGE(FILTER('__flatlist__'!F$2:F1009,('__flatlist__'!$B$2:$B1009=$B4),('__flatlist__'!$C$2:$C1009=$C4)))"),"#DIV/0!")</f>
        <v>#DIV/0!</v>
      </c>
      <c r="G4" s="9" t="str">
        <f>IFERROR(__xludf.DUMMYFUNCTION("AVERAGE(FILTER('__flatlist__'!G$2:G1009,('__flatlist__'!$B$2:$B1009=$B4),('__flatlist__'!$C$2:$C1009=$C4)))"),"#DIV/0!")</f>
        <v>#DIV/0!</v>
      </c>
      <c r="H4" s="9" t="str">
        <f>IFERROR(__xludf.DUMMYFUNCTION("AVERAGE(FILTER('__flatlist__'!H$2:H1009,('__flatlist__'!$B$2:$B1009=$B4),('__flatlist__'!$C$2:$C1009=$C4)))"),"#DIV/0!")</f>
        <v>#DIV/0!</v>
      </c>
      <c r="I4" s="9" t="str">
        <f>IFERROR(__xludf.DUMMYFUNCTION("AVERAGE(FILTER('__flatlist__'!I$2:I1009,('__flatlist__'!$B$2:$B1009=$B4),('__flatlist__'!$C$2:$C1009=$C4)))"),"#DIV/0!")</f>
        <v>#DIV/0!</v>
      </c>
      <c r="J4" s="12" t="str">
        <f t="shared" si="1"/>
        <v>#DIV/0!</v>
      </c>
      <c r="M4" s="1" t="s">
        <v>13</v>
      </c>
      <c r="N4" s="11">
        <f>correl('__flatlist__'!D:D,'__flatlist__'!G:G)</f>
        <v>-0.0604789258</v>
      </c>
      <c r="O4" s="11">
        <f>correl('__flatlist__'!E:E,'__flatlist__'!G:G)</f>
        <v>0.3274802075</v>
      </c>
      <c r="P4" s="11">
        <f>correl('__flatlist__'!F:F,'__flatlist__'!G:G)</f>
        <v>0.05710477779</v>
      </c>
      <c r="Q4" s="11"/>
      <c r="R4" s="11"/>
    </row>
    <row r="5">
      <c r="A5" s="6"/>
      <c r="B5" s="6" t="s">
        <v>15</v>
      </c>
      <c r="C5" s="7" t="s">
        <v>19</v>
      </c>
      <c r="D5" s="8">
        <f>IFERROR(__xludf.DUMMYFUNCTION("AVERAGE(FILTER('__flatlist__'!D$2:D1009,('__flatlist__'!$B$2:$B1009=$B5),('__flatlist__'!$C$2:$C1009=$C5)))"),0.16108287469519048)</f>
        <v>0.1610828747</v>
      </c>
      <c r="E5" s="9" t="str">
        <f>IFERROR(__xludf.DUMMYFUNCTION("AVERAGE(FILTER('__flatlist__'!E$2:E1009,('__flatlist__'!$B$2:$B1009=$B5),('__flatlist__'!$C$2:$C1009=$C5)))"),"#DIV/0!")</f>
        <v>#DIV/0!</v>
      </c>
      <c r="F5" s="9" t="str">
        <f>IFERROR(__xludf.DUMMYFUNCTION("AVERAGE(FILTER('__flatlist__'!F$2:F1009,('__flatlist__'!$B$2:$B1009=$B5),('__flatlist__'!$C$2:$C1009=$C5)))"),"#DIV/0!")</f>
        <v>#DIV/0!</v>
      </c>
      <c r="G5" s="9" t="str">
        <f>IFERROR(__xludf.DUMMYFUNCTION("AVERAGE(FILTER('__flatlist__'!G$2:G1009,('__flatlist__'!$B$2:$B1009=$B5),('__flatlist__'!$C$2:$C1009=$C5)))"),"#DIV/0!")</f>
        <v>#DIV/0!</v>
      </c>
      <c r="H5" s="9" t="str">
        <f>IFERROR(__xludf.DUMMYFUNCTION("AVERAGE(FILTER('__flatlist__'!H$2:H1009,('__flatlist__'!$B$2:$B1009=$B5),('__flatlist__'!$C$2:$C1009=$C5)))"),"#DIV/0!")</f>
        <v>#DIV/0!</v>
      </c>
      <c r="I5" s="9" t="str">
        <f>IFERROR(__xludf.DUMMYFUNCTION("AVERAGE(FILTER('__flatlist__'!I$2:I1009,('__flatlist__'!$B$2:$B1009=$B5),('__flatlist__'!$C$2:$C1009=$C5)))"),"#DIV/0!")</f>
        <v>#DIV/0!</v>
      </c>
      <c r="J5" s="12" t="str">
        <f t="shared" si="1"/>
        <v>#DIV/0!</v>
      </c>
      <c r="M5" s="1" t="s">
        <v>14</v>
      </c>
      <c r="N5" s="11">
        <f>correl('__flatlist__'!D:D,'__flatlist__'!H:H)</f>
        <v>-0.04672728335</v>
      </c>
      <c r="O5" s="11">
        <f>correl('__flatlist__'!E:E,'__flatlist__'!H:H)</f>
        <v>0.2443941013</v>
      </c>
      <c r="P5" s="11">
        <f>correl('__flatlist__'!F:F,'__flatlist__'!H:H)</f>
        <v>-0.1762770887</v>
      </c>
      <c r="Q5" s="11">
        <f>correl('__flatlist__'!G:G,'__flatlist__'!H:H)</f>
        <v>0.1673509782</v>
      </c>
      <c r="R5" s="11"/>
    </row>
    <row r="6">
      <c r="A6" s="6"/>
      <c r="B6" s="6" t="s">
        <v>20</v>
      </c>
      <c r="C6" s="7" t="s">
        <v>8</v>
      </c>
      <c r="D6" s="8">
        <f>IFERROR(__xludf.DUMMYFUNCTION("AVERAGE(FILTER('__flatlist__'!D$2:D1009,('__flatlist__'!$B$2:$B1009=$B6),('__flatlist__'!$C$2:$C1009=$C6)))"),0.22631514205972064)</f>
        <v>0.2263151421</v>
      </c>
      <c r="E6" s="9">
        <f>IFERROR(__xludf.DUMMYFUNCTION("AVERAGE(FILTER('__flatlist__'!E$2:E1009,('__flatlist__'!$B$2:$B1009=$B6),('__flatlist__'!$C$2:$C1009=$C6)))"),2.8)</f>
        <v>2.8</v>
      </c>
      <c r="F6" s="9">
        <f>IFERROR(__xludf.DUMMYFUNCTION("AVERAGE(FILTER('__flatlist__'!F$2:F1009,('__flatlist__'!$B$2:$B1009=$B6),('__flatlist__'!$C$2:$C1009=$C6)))"),4.6)</f>
        <v>4.6</v>
      </c>
      <c r="G6" s="9">
        <f>IFERROR(__xludf.DUMMYFUNCTION("AVERAGE(FILTER('__flatlist__'!G$2:G1009,('__flatlist__'!$B$2:$B1009=$B6),('__flatlist__'!$C$2:$C1009=$C6)))"),4.8)</f>
        <v>4.8</v>
      </c>
      <c r="H6" s="9">
        <f>IFERROR(__xludf.DUMMYFUNCTION("AVERAGE(FILTER('__flatlist__'!H$2:H1009,('__flatlist__'!$B$2:$B1009=$B6),('__flatlist__'!$C$2:$C1009=$C6)))"),4.0)</f>
        <v>4</v>
      </c>
      <c r="I6" s="9">
        <f>IFERROR(__xludf.DUMMYFUNCTION("AVERAGE(FILTER('__flatlist__'!I$2:I1009,('__flatlist__'!$B$2:$B1009=$B6),('__flatlist__'!$C$2:$C1009=$C6)))"),4.8)</f>
        <v>4.8</v>
      </c>
      <c r="J6" s="9">
        <f t="shared" si="1"/>
        <v>4.2</v>
      </c>
      <c r="K6" s="12">
        <f t="shared" ref="K6:K25" si="2">rank(J6,$J$6:$J$25,FALSE)</f>
        <v>17</v>
      </c>
      <c r="M6" s="2" t="s">
        <v>8</v>
      </c>
      <c r="N6" s="11">
        <f>correl('__flatlist__'!D:D,'__flatlist__'!I:I)</f>
        <v>0.2307599963</v>
      </c>
      <c r="O6" s="11">
        <f>correl('__flatlist__'!E:E,'__flatlist__'!I:I)</f>
        <v>-0.1947952161</v>
      </c>
      <c r="P6" s="11">
        <f>correl('__flatlist__'!F:F,'__flatlist__'!I:I)</f>
        <v>-0.1316076385</v>
      </c>
      <c r="Q6" s="11">
        <f>correl('__flatlist__'!G:G,'__flatlist__'!I:I)</f>
        <v>-0.01182156033</v>
      </c>
      <c r="R6" s="11">
        <f>correl('__flatlist__'!H:H,'__flatlist__'!I:I)</f>
        <v>-0.01442499594</v>
      </c>
    </row>
    <row r="7">
      <c r="A7" s="6"/>
      <c r="B7" s="6" t="s">
        <v>20</v>
      </c>
      <c r="C7" s="7" t="s">
        <v>21</v>
      </c>
      <c r="D7" s="8">
        <f>IFERROR(__xludf.DUMMYFUNCTION("AVERAGE(FILTER('__flatlist__'!D$2:D1009,('__flatlist__'!$B$2:$B1009=$B7),('__flatlist__'!$C$2:$C1009=$C7)))"),0.21740802972712495)</f>
        <v>0.2174080297</v>
      </c>
      <c r="E7" s="9">
        <f>IFERROR(__xludf.DUMMYFUNCTION("AVERAGE(FILTER('__flatlist__'!E$2:E1009,('__flatlist__'!$B$2:$B1009=$B7),('__flatlist__'!$C$2:$C1009=$C7)))"),3.8)</f>
        <v>3.8</v>
      </c>
      <c r="F7" s="9">
        <f>IFERROR(__xludf.DUMMYFUNCTION("AVERAGE(FILTER('__flatlist__'!F$2:F1009,('__flatlist__'!$B$2:$B1009=$B7),('__flatlist__'!$C$2:$C1009=$C7)))"),4.8)</f>
        <v>4.8</v>
      </c>
      <c r="G7" s="9">
        <f>IFERROR(__xludf.DUMMYFUNCTION("AVERAGE(FILTER('__flatlist__'!G$2:G1009,('__flatlist__'!$B$2:$B1009=$B7),('__flatlist__'!$C$2:$C1009=$C7)))"),4.8)</f>
        <v>4.8</v>
      </c>
      <c r="H7" s="9">
        <f>IFERROR(__xludf.DUMMYFUNCTION("AVERAGE(FILTER('__flatlist__'!H$2:H1009,('__flatlist__'!$B$2:$B1009=$B7),('__flatlist__'!$C$2:$C1009=$C7)))"),4.2)</f>
        <v>4.2</v>
      </c>
      <c r="I7" s="9">
        <f>IFERROR(__xludf.DUMMYFUNCTION("AVERAGE(FILTER('__flatlist__'!I$2:I1009,('__flatlist__'!$B$2:$B1009=$B7),('__flatlist__'!$C$2:$C1009=$C7)))"),4.0)</f>
        <v>4</v>
      </c>
      <c r="J7" s="9">
        <f t="shared" si="1"/>
        <v>4.32</v>
      </c>
      <c r="K7" s="12">
        <f t="shared" si="2"/>
        <v>16</v>
      </c>
    </row>
    <row r="8">
      <c r="A8" s="6"/>
      <c r="B8" s="6" t="s">
        <v>20</v>
      </c>
      <c r="C8" s="7" t="s">
        <v>22</v>
      </c>
      <c r="D8" s="8">
        <f>IFERROR(__xludf.DUMMYFUNCTION("AVERAGE(FILTER('__flatlist__'!D$2:D1009,('__flatlist__'!$B$2:$B1009=$B8),('__flatlist__'!$C$2:$C1009=$C8)))"),0.20207175143989767)</f>
        <v>0.2020717514</v>
      </c>
      <c r="E8" s="9">
        <f>IFERROR(__xludf.DUMMYFUNCTION("AVERAGE(FILTER('__flatlist__'!E$2:E1009,('__flatlist__'!$B$2:$B1009=$B8),('__flatlist__'!$C$2:$C1009=$C8)))"),4.0)</f>
        <v>4</v>
      </c>
      <c r="F8" s="9">
        <f>IFERROR(__xludf.DUMMYFUNCTION("AVERAGE(FILTER('__flatlist__'!F$2:F1009,('__flatlist__'!$B$2:$B1009=$B8),('__flatlist__'!$C$2:$C1009=$C8)))"),5.0)</f>
        <v>5</v>
      </c>
      <c r="G8" s="9">
        <f>IFERROR(__xludf.DUMMYFUNCTION("AVERAGE(FILTER('__flatlist__'!G$2:G1009,('__flatlist__'!$B$2:$B1009=$B8),('__flatlist__'!$C$2:$C1009=$C8)))"),5.0)</f>
        <v>5</v>
      </c>
      <c r="H8" s="9">
        <f>IFERROR(__xludf.DUMMYFUNCTION("AVERAGE(FILTER('__flatlist__'!H$2:H1009,('__flatlist__'!$B$2:$B1009=$B8),('__flatlist__'!$C$2:$C1009=$C8)))"),4.0)</f>
        <v>4</v>
      </c>
      <c r="I8" s="9">
        <f>IFERROR(__xludf.DUMMYFUNCTION("AVERAGE(FILTER('__flatlist__'!I$2:I1009,('__flatlist__'!$B$2:$B1009=$B8),('__flatlist__'!$C$2:$C1009=$C8)))"),3.8)</f>
        <v>3.8</v>
      </c>
      <c r="J8" s="9">
        <f t="shared" si="1"/>
        <v>4.36</v>
      </c>
      <c r="K8" s="12">
        <f t="shared" si="2"/>
        <v>15</v>
      </c>
    </row>
    <row r="9">
      <c r="A9" s="6"/>
      <c r="B9" s="6" t="s">
        <v>20</v>
      </c>
      <c r="C9" s="7" t="s">
        <v>23</v>
      </c>
      <c r="D9" s="8">
        <f>IFERROR(__xludf.DUMMYFUNCTION("AVERAGE(FILTER('__flatlist__'!D$2:D1009,('__flatlist__'!$B$2:$B1009=$B9),('__flatlist__'!$C$2:$C1009=$C9)))"),0.2063058343096727)</f>
        <v>0.2063058343</v>
      </c>
      <c r="E9" s="9">
        <f>IFERROR(__xludf.DUMMYFUNCTION("AVERAGE(FILTER('__flatlist__'!E$2:E1009,('__flatlist__'!$B$2:$B1009=$B9),('__flatlist__'!$C$2:$C1009=$C9)))"),2.8)</f>
        <v>2.8</v>
      </c>
      <c r="F9" s="9">
        <f>IFERROR(__xludf.DUMMYFUNCTION("AVERAGE(FILTER('__flatlist__'!F$2:F1009,('__flatlist__'!$B$2:$B1009=$B9),('__flatlist__'!$C$2:$C1009=$C9)))"),5.0)</f>
        <v>5</v>
      </c>
      <c r="G9" s="9">
        <f>IFERROR(__xludf.DUMMYFUNCTION("AVERAGE(FILTER('__flatlist__'!G$2:G1009,('__flatlist__'!$B$2:$B1009=$B9),('__flatlist__'!$C$2:$C1009=$C9)))"),1.8)</f>
        <v>1.8</v>
      </c>
      <c r="H9" s="9">
        <f>IFERROR(__xludf.DUMMYFUNCTION("AVERAGE(FILTER('__flatlist__'!H$2:H1009,('__flatlist__'!$B$2:$B1009=$B9),('__flatlist__'!$C$2:$C1009=$C9)))"),4.0)</f>
        <v>4</v>
      </c>
      <c r="I9" s="9">
        <f>IFERROR(__xludf.DUMMYFUNCTION("AVERAGE(FILTER('__flatlist__'!I$2:I1009,('__flatlist__'!$B$2:$B1009=$B9),('__flatlist__'!$C$2:$C1009=$C9)))"),3.6)</f>
        <v>3.6</v>
      </c>
      <c r="J9" s="9">
        <f t="shared" si="1"/>
        <v>3.44</v>
      </c>
      <c r="K9" s="12">
        <f t="shared" si="2"/>
        <v>20</v>
      </c>
    </row>
    <row r="10">
      <c r="A10" s="6"/>
      <c r="B10" s="6" t="s">
        <v>24</v>
      </c>
      <c r="C10" s="7" t="s">
        <v>8</v>
      </c>
      <c r="D10" s="8">
        <f>IFERROR(__xludf.DUMMYFUNCTION("AVERAGE(FILTER('__flatlist__'!D$2:D1009,('__flatlist__'!$B$2:$B1009=$B10),('__flatlist__'!$C$2:$C1009=$C10)))"),0.28026717035209936)</f>
        <v>0.2802671704</v>
      </c>
      <c r="E10" s="9">
        <f>IFERROR(__xludf.DUMMYFUNCTION("AVERAGE(FILTER('__flatlist__'!E$2:E1009,('__flatlist__'!$B$2:$B1009=$B10),('__flatlist__'!$C$2:$C1009=$C10)))"),3.4)</f>
        <v>3.4</v>
      </c>
      <c r="F10" s="9">
        <f>IFERROR(__xludf.DUMMYFUNCTION("AVERAGE(FILTER('__flatlist__'!F$2:F1009,('__flatlist__'!$B$2:$B1009=$B10),('__flatlist__'!$C$2:$C1009=$C10)))"),4.8)</f>
        <v>4.8</v>
      </c>
      <c r="G10" s="9">
        <f>IFERROR(__xludf.DUMMYFUNCTION("AVERAGE(FILTER('__flatlist__'!G$2:G1009,('__flatlist__'!$B$2:$B1009=$B10),('__flatlist__'!$C$2:$C1009=$C10)))"),5.0)</f>
        <v>5</v>
      </c>
      <c r="H10" s="9">
        <f>IFERROR(__xludf.DUMMYFUNCTION("AVERAGE(FILTER('__flatlist__'!H$2:H1009,('__flatlist__'!$B$2:$B1009=$B10),('__flatlist__'!$C$2:$C1009=$C10)))"),5.0)</f>
        <v>5</v>
      </c>
      <c r="I10" s="9">
        <f>IFERROR(__xludf.DUMMYFUNCTION("AVERAGE(FILTER('__flatlist__'!I$2:I1009,('__flatlist__'!$B$2:$B1009=$B10),('__flatlist__'!$C$2:$C1009=$C10)))"),4.8)</f>
        <v>4.8</v>
      </c>
      <c r="J10" s="9">
        <f t="shared" si="1"/>
        <v>4.6</v>
      </c>
      <c r="K10" s="12">
        <f t="shared" si="2"/>
        <v>6</v>
      </c>
    </row>
    <row r="11">
      <c r="A11" s="6"/>
      <c r="B11" s="6" t="s">
        <v>24</v>
      </c>
      <c r="C11" s="7" t="s">
        <v>21</v>
      </c>
      <c r="D11" s="8">
        <f>IFERROR(__xludf.DUMMYFUNCTION("AVERAGE(FILTER('__flatlist__'!D$2:D1009,('__flatlist__'!$B$2:$B1009=$B11),('__flatlist__'!$C$2:$C1009=$C11)))"),0.28276380414384505)</f>
        <v>0.2827638041</v>
      </c>
      <c r="E11" s="9">
        <f>IFERROR(__xludf.DUMMYFUNCTION("AVERAGE(FILTER('__flatlist__'!E$2:E1009,('__flatlist__'!$B$2:$B1009=$B11),('__flatlist__'!$C$2:$C1009=$C11)))"),4.8)</f>
        <v>4.8</v>
      </c>
      <c r="F11" s="9">
        <f>IFERROR(__xludf.DUMMYFUNCTION("AVERAGE(FILTER('__flatlist__'!F$2:F1009,('__flatlist__'!$B$2:$B1009=$B11),('__flatlist__'!$C$2:$C1009=$C11)))"),4.6)</f>
        <v>4.6</v>
      </c>
      <c r="G11" s="9">
        <f>IFERROR(__xludf.DUMMYFUNCTION("AVERAGE(FILTER('__flatlist__'!G$2:G1009,('__flatlist__'!$B$2:$B1009=$B11),('__flatlist__'!$C$2:$C1009=$C11)))"),4.8)</f>
        <v>4.8</v>
      </c>
      <c r="H11" s="9">
        <f>IFERROR(__xludf.DUMMYFUNCTION("AVERAGE(FILTER('__flatlist__'!H$2:H1009,('__flatlist__'!$B$2:$B1009=$B11),('__flatlist__'!$C$2:$C1009=$C11)))"),4.6)</f>
        <v>4.6</v>
      </c>
      <c r="I11" s="9">
        <f>IFERROR(__xludf.DUMMYFUNCTION("AVERAGE(FILTER('__flatlist__'!I$2:I1009,('__flatlist__'!$B$2:$B1009=$B11),('__flatlist__'!$C$2:$C1009=$C11)))"),3.6)</f>
        <v>3.6</v>
      </c>
      <c r="J11" s="9">
        <f t="shared" si="1"/>
        <v>4.48</v>
      </c>
      <c r="K11" s="12">
        <f t="shared" si="2"/>
        <v>11</v>
      </c>
    </row>
    <row r="12">
      <c r="A12" s="6"/>
      <c r="B12" s="6" t="s">
        <v>24</v>
      </c>
      <c r="C12" s="7" t="s">
        <v>22</v>
      </c>
      <c r="D12" s="8">
        <f>IFERROR(__xludf.DUMMYFUNCTION("AVERAGE(FILTER('__flatlist__'!D$2:D1009,('__flatlist__'!$B$2:$B1009=$B12),('__flatlist__'!$C$2:$C1009=$C12)))"),0.15310759704663707)</f>
        <v>0.153107597</v>
      </c>
      <c r="E12" s="9">
        <f>IFERROR(__xludf.DUMMYFUNCTION("AVERAGE(FILTER('__flatlist__'!E$2:E1009,('__flatlist__'!$B$2:$B1009=$B12),('__flatlist__'!$C$2:$C1009=$C12)))"),5.0)</f>
        <v>5</v>
      </c>
      <c r="F12" s="9">
        <f>IFERROR(__xludf.DUMMYFUNCTION("AVERAGE(FILTER('__flatlist__'!F$2:F1009,('__flatlist__'!$B$2:$B1009=$B12),('__flatlist__'!$C$2:$C1009=$C12)))"),4.6)</f>
        <v>4.6</v>
      </c>
      <c r="G12" s="9">
        <f>IFERROR(__xludf.DUMMYFUNCTION("AVERAGE(FILTER('__flatlist__'!G$2:G1009,('__flatlist__'!$B$2:$B1009=$B12),('__flatlist__'!$C$2:$C1009=$C12)))"),5.0)</f>
        <v>5</v>
      </c>
      <c r="H12" s="9">
        <f>IFERROR(__xludf.DUMMYFUNCTION("AVERAGE(FILTER('__flatlist__'!H$2:H1009,('__flatlist__'!$B$2:$B1009=$B12),('__flatlist__'!$C$2:$C1009=$C12)))"),5.0)</f>
        <v>5</v>
      </c>
      <c r="I12" s="9">
        <f>IFERROR(__xludf.DUMMYFUNCTION("AVERAGE(FILTER('__flatlist__'!I$2:I1009,('__flatlist__'!$B$2:$B1009=$B12),('__flatlist__'!$C$2:$C1009=$C12)))"),2.8)</f>
        <v>2.8</v>
      </c>
      <c r="J12" s="9">
        <f t="shared" si="1"/>
        <v>4.48</v>
      </c>
      <c r="K12" s="12">
        <f t="shared" si="2"/>
        <v>10</v>
      </c>
    </row>
    <row r="13">
      <c r="A13" s="6"/>
      <c r="B13" s="6" t="s">
        <v>24</v>
      </c>
      <c r="C13" s="7" t="s">
        <v>23</v>
      </c>
      <c r="D13" s="8">
        <f>IFERROR(__xludf.DUMMYFUNCTION("AVERAGE(FILTER('__flatlist__'!D$2:D1009,('__flatlist__'!$B$2:$B1009=$B13),('__flatlist__'!$C$2:$C1009=$C13)))"),0.2464822528245898)</f>
        <v>0.2464822528</v>
      </c>
      <c r="E13" s="9">
        <f>IFERROR(__xludf.DUMMYFUNCTION("AVERAGE(FILTER('__flatlist__'!E$2:E1009,('__flatlist__'!$B$2:$B1009=$B13),('__flatlist__'!$C$2:$C1009=$C13)))"),4.6)</f>
        <v>4.6</v>
      </c>
      <c r="F13" s="9">
        <f>IFERROR(__xludf.DUMMYFUNCTION("AVERAGE(FILTER('__flatlist__'!F$2:F1009,('__flatlist__'!$B$2:$B1009=$B13),('__flatlist__'!$C$2:$C1009=$C13)))"),5.0)</f>
        <v>5</v>
      </c>
      <c r="G13" s="9">
        <f>IFERROR(__xludf.DUMMYFUNCTION("AVERAGE(FILTER('__flatlist__'!G$2:G1009,('__flatlist__'!$B$2:$B1009=$B13),('__flatlist__'!$C$2:$C1009=$C13)))"),4.2)</f>
        <v>4.2</v>
      </c>
      <c r="H13" s="9">
        <f>IFERROR(__xludf.DUMMYFUNCTION("AVERAGE(FILTER('__flatlist__'!H$2:H1009,('__flatlist__'!$B$2:$B1009=$B13),('__flatlist__'!$C$2:$C1009=$C13)))"),4.6)</f>
        <v>4.6</v>
      </c>
      <c r="I13" s="9">
        <f>IFERROR(__xludf.DUMMYFUNCTION("AVERAGE(FILTER('__flatlist__'!I$2:I1009,('__flatlist__'!$B$2:$B1009=$B13),('__flatlist__'!$C$2:$C1009=$C13)))"),3.6)</f>
        <v>3.6</v>
      </c>
      <c r="J13" s="9">
        <f t="shared" si="1"/>
        <v>4.4</v>
      </c>
      <c r="K13" s="12">
        <f t="shared" si="2"/>
        <v>13</v>
      </c>
    </row>
    <row r="14">
      <c r="A14" s="6"/>
      <c r="B14" s="6" t="s">
        <v>25</v>
      </c>
      <c r="C14" s="7" t="s">
        <v>8</v>
      </c>
      <c r="D14" s="8">
        <f>IFERROR(__xludf.DUMMYFUNCTION("AVERAGE(FILTER('__flatlist__'!D$2:D1009,('__flatlist__'!$B$2:$B1009=$B14),('__flatlist__'!$C$2:$C1009=$C14)))"),0.3208862195546362)</f>
        <v>0.3208862196</v>
      </c>
      <c r="E14" s="9">
        <f>IFERROR(__xludf.DUMMYFUNCTION("AVERAGE(FILTER('__flatlist__'!E$2:E1009,('__flatlist__'!$B$2:$B1009=$B14),('__flatlist__'!$C$2:$C1009=$C14)))"),3.8)</f>
        <v>3.8</v>
      </c>
      <c r="F14" s="9">
        <f>IFERROR(__xludf.DUMMYFUNCTION("AVERAGE(FILTER('__flatlist__'!F$2:F1009,('__flatlist__'!$B$2:$B1009=$B14),('__flatlist__'!$C$2:$C1009=$C14)))"),4.8)</f>
        <v>4.8</v>
      </c>
      <c r="G14" s="9">
        <f>IFERROR(__xludf.DUMMYFUNCTION("AVERAGE(FILTER('__flatlist__'!G$2:G1009,('__flatlist__'!$B$2:$B1009=$B14),('__flatlist__'!$C$2:$C1009=$C14)))"),5.0)</f>
        <v>5</v>
      </c>
      <c r="H14" s="9">
        <f>IFERROR(__xludf.DUMMYFUNCTION("AVERAGE(FILTER('__flatlist__'!H$2:H1009,('__flatlist__'!$B$2:$B1009=$B14),('__flatlist__'!$C$2:$C1009=$C14)))"),4.2)</f>
        <v>4.2</v>
      </c>
      <c r="I14" s="9">
        <f>IFERROR(__xludf.DUMMYFUNCTION("AVERAGE(FILTER('__flatlist__'!I$2:I1009,('__flatlist__'!$B$2:$B1009=$B14),('__flatlist__'!$C$2:$C1009=$C14)))"),5.0)</f>
        <v>5</v>
      </c>
      <c r="J14" s="9">
        <f t="shared" si="1"/>
        <v>4.56</v>
      </c>
      <c r="K14" s="12">
        <f t="shared" si="2"/>
        <v>7</v>
      </c>
      <c r="M14" s="4"/>
      <c r="N14" s="11"/>
      <c r="O14" s="11"/>
      <c r="P14" s="11"/>
      <c r="Q14" s="11"/>
      <c r="R14" s="11"/>
    </row>
    <row r="15">
      <c r="A15" s="6"/>
      <c r="B15" s="6" t="s">
        <v>25</v>
      </c>
      <c r="C15" s="7" t="s">
        <v>21</v>
      </c>
      <c r="D15" s="8">
        <f>IFERROR(__xludf.DUMMYFUNCTION("AVERAGE(FILTER('__flatlist__'!D$2:D1009,('__flatlist__'!$B$2:$B1009=$B15),('__flatlist__'!$C$2:$C1009=$C15)))"),0.2356707802139395)</f>
        <v>0.2356707802</v>
      </c>
      <c r="E15" s="9">
        <f>IFERROR(__xludf.DUMMYFUNCTION("AVERAGE(FILTER('__flatlist__'!E$2:E1009,('__flatlist__'!$B$2:$B1009=$B15),('__flatlist__'!$C$2:$C1009=$C15)))"),4.8)</f>
        <v>4.8</v>
      </c>
      <c r="F15" s="9">
        <f>IFERROR(__xludf.DUMMYFUNCTION("AVERAGE(FILTER('__flatlist__'!F$2:F1009,('__flatlist__'!$B$2:$B1009=$B15),('__flatlist__'!$C$2:$C1009=$C15)))"),4.8)</f>
        <v>4.8</v>
      </c>
      <c r="G15" s="9">
        <f>IFERROR(__xludf.DUMMYFUNCTION("AVERAGE(FILTER('__flatlist__'!G$2:G1009,('__flatlist__'!$B$2:$B1009=$B15),('__flatlist__'!$C$2:$C1009=$C15)))"),5.0)</f>
        <v>5</v>
      </c>
      <c r="H15" s="9">
        <f>IFERROR(__xludf.DUMMYFUNCTION("AVERAGE(FILTER('__flatlist__'!H$2:H1009,('__flatlist__'!$B$2:$B1009=$B15),('__flatlist__'!$C$2:$C1009=$C15)))"),4.6)</f>
        <v>4.6</v>
      </c>
      <c r="I15" s="9">
        <f>IFERROR(__xludf.DUMMYFUNCTION("AVERAGE(FILTER('__flatlist__'!I$2:I1009,('__flatlist__'!$B$2:$B1009=$B15),('__flatlist__'!$C$2:$C1009=$C15)))"),4.0)</f>
        <v>4</v>
      </c>
      <c r="J15" s="9">
        <f t="shared" si="1"/>
        <v>4.64</v>
      </c>
      <c r="K15" s="12">
        <f t="shared" si="2"/>
        <v>3</v>
      </c>
      <c r="M15" s="4"/>
      <c r="N15" s="11"/>
    </row>
    <row r="16">
      <c r="A16" s="6"/>
      <c r="B16" s="6" t="s">
        <v>25</v>
      </c>
      <c r="C16" s="7" t="s">
        <v>22</v>
      </c>
      <c r="D16" s="8">
        <f>IFERROR(__xludf.DUMMYFUNCTION("AVERAGE(FILTER('__flatlist__'!D$2:D1009,('__flatlist__'!$B$2:$B1009=$B16),('__flatlist__'!$C$2:$C1009=$C16)))"),0.18716684189808697)</f>
        <v>0.1871668419</v>
      </c>
      <c r="E16" s="9">
        <f>IFERROR(__xludf.DUMMYFUNCTION("AVERAGE(FILTER('__flatlist__'!E$2:E1009,('__flatlist__'!$B$2:$B1009=$B16),('__flatlist__'!$C$2:$C1009=$C16)))"),4.8)</f>
        <v>4.8</v>
      </c>
      <c r="F16" s="9">
        <f>IFERROR(__xludf.DUMMYFUNCTION("AVERAGE(FILTER('__flatlist__'!F$2:F1009,('__flatlist__'!$B$2:$B1009=$B16),('__flatlist__'!$C$2:$C1009=$C16)))"),4.8)</f>
        <v>4.8</v>
      </c>
      <c r="G16" s="9">
        <f>IFERROR(__xludf.DUMMYFUNCTION("AVERAGE(FILTER('__flatlist__'!G$2:G1009,('__flatlist__'!$B$2:$B1009=$B16),('__flatlist__'!$C$2:$C1009=$C16)))"),5.0)</f>
        <v>5</v>
      </c>
      <c r="H16" s="9">
        <f>IFERROR(__xludf.DUMMYFUNCTION("AVERAGE(FILTER('__flatlist__'!H$2:H1009,('__flatlist__'!$B$2:$B1009=$B16),('__flatlist__'!$C$2:$C1009=$C16)))"),4.4)</f>
        <v>4.4</v>
      </c>
      <c r="I16" s="9">
        <f>IFERROR(__xludf.DUMMYFUNCTION("AVERAGE(FILTER('__flatlist__'!I$2:I1009,('__flatlist__'!$B$2:$B1009=$B16),('__flatlist__'!$C$2:$C1009=$C16)))"),4.2)</f>
        <v>4.2</v>
      </c>
      <c r="J16" s="9">
        <f t="shared" si="1"/>
        <v>4.64</v>
      </c>
      <c r="K16" s="12">
        <f t="shared" si="2"/>
        <v>3</v>
      </c>
      <c r="M16" s="4"/>
      <c r="N16" s="11"/>
    </row>
    <row r="17">
      <c r="A17" s="6"/>
      <c r="B17" s="6" t="s">
        <v>25</v>
      </c>
      <c r="C17" s="7" t="s">
        <v>23</v>
      </c>
      <c r="D17" s="8">
        <f>IFERROR(__xludf.DUMMYFUNCTION("AVERAGE(FILTER('__flatlist__'!D$2:D1009,('__flatlist__'!$B$2:$B1009=$B17),('__flatlist__'!$C$2:$C1009=$C17)))"),0.1590506533083161)</f>
        <v>0.1590506533</v>
      </c>
      <c r="E17" s="9">
        <f>IFERROR(__xludf.DUMMYFUNCTION("AVERAGE(FILTER('__flatlist__'!E$2:E1009,('__flatlist__'!$B$2:$B1009=$B17),('__flatlist__'!$C$2:$C1009=$C17)))"),4.8)</f>
        <v>4.8</v>
      </c>
      <c r="F17" s="9">
        <f>IFERROR(__xludf.DUMMYFUNCTION("AVERAGE(FILTER('__flatlist__'!F$2:F1009,('__flatlist__'!$B$2:$B1009=$B17),('__flatlist__'!$C$2:$C1009=$C17)))"),5.0)</f>
        <v>5</v>
      </c>
      <c r="G17" s="9">
        <f>IFERROR(__xludf.DUMMYFUNCTION("AVERAGE(FILTER('__flatlist__'!G$2:G1009,('__flatlist__'!$B$2:$B1009=$B17),('__flatlist__'!$C$2:$C1009=$C17)))"),5.0)</f>
        <v>5</v>
      </c>
      <c r="H17" s="9">
        <f>IFERROR(__xludf.DUMMYFUNCTION("AVERAGE(FILTER('__flatlist__'!H$2:H1009,('__flatlist__'!$B$2:$B1009=$B17),('__flatlist__'!$C$2:$C1009=$C17)))"),4.6)</f>
        <v>4.6</v>
      </c>
      <c r="I17" s="9">
        <f>IFERROR(__xludf.DUMMYFUNCTION("AVERAGE(FILTER('__flatlist__'!I$2:I1009,('__flatlist__'!$B$2:$B1009=$B17),('__flatlist__'!$C$2:$C1009=$C17)))"),4.0)</f>
        <v>4</v>
      </c>
      <c r="J17" s="9">
        <f t="shared" si="1"/>
        <v>4.68</v>
      </c>
      <c r="K17" s="12">
        <f t="shared" si="2"/>
        <v>1</v>
      </c>
      <c r="M17" s="4"/>
      <c r="N17" s="11"/>
    </row>
    <row r="18">
      <c r="A18" s="6"/>
      <c r="B18" s="6" t="s">
        <v>26</v>
      </c>
      <c r="C18" s="7" t="s">
        <v>8</v>
      </c>
      <c r="D18" s="8">
        <f>IFERROR(__xludf.DUMMYFUNCTION("AVERAGE(FILTER('__flatlist__'!D$2:D1009,('__flatlist__'!$B$2:$B1009=$B18),('__flatlist__'!$C$2:$C1009=$C18)))"),0.32493952985171587)</f>
        <v>0.3249395299</v>
      </c>
      <c r="E18" s="9">
        <f>IFERROR(__xludf.DUMMYFUNCTION("AVERAGE(FILTER('__flatlist__'!E$2:E1009,('__flatlist__'!$B$2:$B1009=$B18),('__flatlist__'!$C$2:$C1009=$C18)))"),3.8)</f>
        <v>3.8</v>
      </c>
      <c r="F18" s="9">
        <f>IFERROR(__xludf.DUMMYFUNCTION("AVERAGE(FILTER('__flatlist__'!F$2:F1009,('__flatlist__'!$B$2:$B1009=$B18),('__flatlist__'!$C$2:$C1009=$C18)))"),4.6)</f>
        <v>4.6</v>
      </c>
      <c r="G18" s="9">
        <f>IFERROR(__xludf.DUMMYFUNCTION("AVERAGE(FILTER('__flatlist__'!G$2:G1009,('__flatlist__'!$B$2:$B1009=$B18),('__flatlist__'!$C$2:$C1009=$C18)))"),5.0)</f>
        <v>5</v>
      </c>
      <c r="H18" s="9">
        <f>IFERROR(__xludf.DUMMYFUNCTION("AVERAGE(FILTER('__flatlist__'!H$2:H1009,('__flatlist__'!$B$2:$B1009=$B18),('__flatlist__'!$C$2:$C1009=$C18)))"),5.0)</f>
        <v>5</v>
      </c>
      <c r="I18" s="9">
        <f>IFERROR(__xludf.DUMMYFUNCTION("AVERAGE(FILTER('__flatlist__'!I$2:I1009,('__flatlist__'!$B$2:$B1009=$B18),('__flatlist__'!$C$2:$C1009=$C18)))"),4.8)</f>
        <v>4.8</v>
      </c>
      <c r="J18" s="9">
        <f t="shared" si="1"/>
        <v>4.64</v>
      </c>
      <c r="K18" s="12">
        <f t="shared" si="2"/>
        <v>3</v>
      </c>
      <c r="M18" s="4"/>
      <c r="N18" s="11"/>
    </row>
    <row r="19">
      <c r="A19" s="6"/>
      <c r="B19" s="6" t="s">
        <v>26</v>
      </c>
      <c r="C19" s="7" t="s">
        <v>21</v>
      </c>
      <c r="D19" s="8">
        <f>IFERROR(__xludf.DUMMYFUNCTION("AVERAGE(FILTER('__flatlist__'!D$2:D1009,('__flatlist__'!$B$2:$B1009=$B19),('__flatlist__'!$C$2:$C1009=$C19)))"),0.2352297015419782)</f>
        <v>0.2352297015</v>
      </c>
      <c r="E19" s="9">
        <f>IFERROR(__xludf.DUMMYFUNCTION("AVERAGE(FILTER('__flatlist__'!E$2:E1009,('__flatlist__'!$B$2:$B1009=$B19),('__flatlist__'!$C$2:$C1009=$C19)))"),5.0)</f>
        <v>5</v>
      </c>
      <c r="F19" s="9">
        <f>IFERROR(__xludf.DUMMYFUNCTION("AVERAGE(FILTER('__flatlist__'!F$2:F1009,('__flatlist__'!$B$2:$B1009=$B19),('__flatlist__'!$C$2:$C1009=$C19)))"),4.4)</f>
        <v>4.4</v>
      </c>
      <c r="G19" s="9">
        <f>IFERROR(__xludf.DUMMYFUNCTION("AVERAGE(FILTER('__flatlist__'!G$2:G1009,('__flatlist__'!$B$2:$B1009=$B19),('__flatlist__'!$C$2:$C1009=$C19)))"),4.8)</f>
        <v>4.8</v>
      </c>
      <c r="H19" s="9">
        <f>IFERROR(__xludf.DUMMYFUNCTION("AVERAGE(FILTER('__flatlist__'!H$2:H1009,('__flatlist__'!$B$2:$B1009=$B19),('__flatlist__'!$C$2:$C1009=$C19)))"),4.8)</f>
        <v>4.8</v>
      </c>
      <c r="I19" s="9">
        <f>IFERROR(__xludf.DUMMYFUNCTION("AVERAGE(FILTER('__flatlist__'!I$2:I1009,('__flatlist__'!$B$2:$B1009=$B19),('__flatlist__'!$C$2:$C1009=$C19)))"),3.6)</f>
        <v>3.6</v>
      </c>
      <c r="J19" s="9">
        <f t="shared" si="1"/>
        <v>4.52</v>
      </c>
      <c r="K19" s="12">
        <f t="shared" si="2"/>
        <v>8</v>
      </c>
      <c r="M19" s="4"/>
      <c r="N19" s="11"/>
    </row>
    <row r="20">
      <c r="A20" s="6"/>
      <c r="B20" s="6" t="s">
        <v>26</v>
      </c>
      <c r="C20" s="7" t="s">
        <v>22</v>
      </c>
      <c r="D20" s="8">
        <f>IFERROR(__xludf.DUMMYFUNCTION("AVERAGE(FILTER('__flatlist__'!D$2:D1009,('__flatlist__'!$B$2:$B1009=$B20),('__flatlist__'!$C$2:$C1009=$C20)))"),0.1893871228539195)</f>
        <v>0.1893871229</v>
      </c>
      <c r="E20" s="9">
        <f>IFERROR(__xludf.DUMMYFUNCTION("AVERAGE(FILTER('__flatlist__'!E$2:E1009,('__flatlist__'!$B$2:$B1009=$B20),('__flatlist__'!$C$2:$C1009=$C20)))"),5.0)</f>
        <v>5</v>
      </c>
      <c r="F20" s="9">
        <f>IFERROR(__xludf.DUMMYFUNCTION("AVERAGE(FILTER('__flatlist__'!F$2:F1009,('__flatlist__'!$B$2:$B1009=$B20),('__flatlist__'!$C$2:$C1009=$C20)))"),4.2)</f>
        <v>4.2</v>
      </c>
      <c r="G20" s="9">
        <f>IFERROR(__xludf.DUMMYFUNCTION("AVERAGE(FILTER('__flatlist__'!G$2:G1009,('__flatlist__'!$B$2:$B1009=$B20),('__flatlist__'!$C$2:$C1009=$C20)))"),5.0)</f>
        <v>5</v>
      </c>
      <c r="H20" s="9">
        <f>IFERROR(__xludf.DUMMYFUNCTION("AVERAGE(FILTER('__flatlist__'!H$2:H1009,('__flatlist__'!$B$2:$B1009=$B20),('__flatlist__'!$C$2:$C1009=$C20)))"),4.2)</f>
        <v>4.2</v>
      </c>
      <c r="I20" s="9">
        <f>IFERROR(__xludf.DUMMYFUNCTION("AVERAGE(FILTER('__flatlist__'!I$2:I1009,('__flatlist__'!$B$2:$B1009=$B20),('__flatlist__'!$C$2:$C1009=$C20)))"),3.6)</f>
        <v>3.6</v>
      </c>
      <c r="J20" s="9">
        <f t="shared" si="1"/>
        <v>4.4</v>
      </c>
      <c r="K20" s="12">
        <f t="shared" si="2"/>
        <v>13</v>
      </c>
      <c r="M20" s="4"/>
      <c r="N20" s="11"/>
    </row>
    <row r="21">
      <c r="A21" s="6"/>
      <c r="B21" s="6" t="s">
        <v>26</v>
      </c>
      <c r="C21" s="7" t="s">
        <v>23</v>
      </c>
      <c r="D21" s="8">
        <f>IFERROR(__xludf.DUMMYFUNCTION("AVERAGE(FILTER('__flatlist__'!D$2:D1009,('__flatlist__'!$B$2:$B1009=$B21),('__flatlist__'!$C$2:$C1009=$C21)))"),0.1673366253105621)</f>
        <v>0.1673366253</v>
      </c>
      <c r="E21" s="9">
        <f>IFERROR(__xludf.DUMMYFUNCTION("AVERAGE(FILTER('__flatlist__'!E$2:E1009,('__flatlist__'!$B$2:$B1009=$B21),('__flatlist__'!$C$2:$C1009=$C21)))"),5.0)</f>
        <v>5</v>
      </c>
      <c r="F21" s="9">
        <f>IFERROR(__xludf.DUMMYFUNCTION("AVERAGE(FILTER('__flatlist__'!F$2:F1009,('__flatlist__'!$B$2:$B1009=$B21),('__flatlist__'!$C$2:$C1009=$C21)))"),4.4)</f>
        <v>4.4</v>
      </c>
      <c r="G21" s="9">
        <f>IFERROR(__xludf.DUMMYFUNCTION("AVERAGE(FILTER('__flatlist__'!G$2:G1009,('__flatlist__'!$B$2:$B1009=$B21),('__flatlist__'!$C$2:$C1009=$C21)))"),4.6)</f>
        <v>4.6</v>
      </c>
      <c r="H21" s="9">
        <f>IFERROR(__xludf.DUMMYFUNCTION("AVERAGE(FILTER('__flatlist__'!H$2:H1009,('__flatlist__'!$B$2:$B1009=$B21),('__flatlist__'!$C$2:$C1009=$C21)))"),5.0)</f>
        <v>5</v>
      </c>
      <c r="I21" s="9">
        <f>IFERROR(__xludf.DUMMYFUNCTION("AVERAGE(FILTER('__flatlist__'!I$2:I1009,('__flatlist__'!$B$2:$B1009=$B21),('__flatlist__'!$C$2:$C1009=$C21)))"),3.6)</f>
        <v>3.6</v>
      </c>
      <c r="J21" s="9">
        <f t="shared" si="1"/>
        <v>4.52</v>
      </c>
      <c r="K21" s="12">
        <f t="shared" si="2"/>
        <v>8</v>
      </c>
      <c r="M21" s="4"/>
      <c r="N21" s="11"/>
    </row>
    <row r="22">
      <c r="A22" s="6"/>
      <c r="B22" s="10" t="s">
        <v>27</v>
      </c>
      <c r="C22" s="7" t="s">
        <v>21</v>
      </c>
      <c r="D22" s="8">
        <f>IFERROR(__xludf.DUMMYFUNCTION("AVERAGE(FILTER('__flatlist__'!D$2:D1009,('__flatlist__'!$B$2:$B1009=$B22),('__flatlist__'!$C$2:$C1009=$C22)))"),0.30188540817392995)</f>
        <v>0.3018854082</v>
      </c>
      <c r="E22" s="9">
        <f>IFERROR(__xludf.DUMMYFUNCTION("AVERAGE(FILTER('__flatlist__'!E$2:E1009,('__flatlist__'!$B$2:$B1009=$B22),('__flatlist__'!$C$2:$C1009=$C22)))"),3.8)</f>
        <v>3.8</v>
      </c>
      <c r="F22" s="9">
        <f>IFERROR(__xludf.DUMMYFUNCTION("AVERAGE(FILTER('__flatlist__'!F$2:F1009,('__flatlist__'!$B$2:$B1009=$B22),('__flatlist__'!$C$2:$C1009=$C22)))"),4.8)</f>
        <v>4.8</v>
      </c>
      <c r="G22" s="9">
        <f>IFERROR(__xludf.DUMMYFUNCTION("AVERAGE(FILTER('__flatlist__'!G$2:G1009,('__flatlist__'!$B$2:$B1009=$B22),('__flatlist__'!$C$2:$C1009=$C22)))"),4.6)</f>
        <v>4.6</v>
      </c>
      <c r="H22" s="9">
        <f>IFERROR(__xludf.DUMMYFUNCTION("AVERAGE(FILTER('__flatlist__'!H$2:H1009,('__flatlist__'!$B$2:$B1009=$B22),('__flatlist__'!$C$2:$C1009=$C22)))"),3.6)</f>
        <v>3.6</v>
      </c>
      <c r="I22" s="9">
        <f>IFERROR(__xludf.DUMMYFUNCTION("AVERAGE(FILTER('__flatlist__'!I$2:I1009,('__flatlist__'!$B$2:$B1009=$B22),('__flatlist__'!$C$2:$C1009=$C22)))"),4.0)</f>
        <v>4</v>
      </c>
      <c r="J22" s="9">
        <f t="shared" si="1"/>
        <v>4.16</v>
      </c>
      <c r="K22" s="12">
        <f t="shared" si="2"/>
        <v>18</v>
      </c>
      <c r="M22" s="4"/>
      <c r="N22" s="11"/>
    </row>
    <row r="23">
      <c r="A23" s="6"/>
      <c r="B23" s="10" t="s">
        <v>27</v>
      </c>
      <c r="C23" s="7" t="s">
        <v>22</v>
      </c>
      <c r="D23" s="8">
        <f>IFERROR(__xludf.DUMMYFUNCTION("AVERAGE(FILTER('__flatlist__'!D$2:D1009,('__flatlist__'!$B$2:$B1009=$B23),('__flatlist__'!$C$2:$C1009=$C23)))"),0.30463496470844026)</f>
        <v>0.3046349647</v>
      </c>
      <c r="E23" s="9">
        <f>IFERROR(__xludf.DUMMYFUNCTION("AVERAGE(FILTER('__flatlist__'!E$2:E1009,('__flatlist__'!$B$2:$B1009=$B23),('__flatlist__'!$C$2:$C1009=$C23)))"),3.2)</f>
        <v>3.2</v>
      </c>
      <c r="F23" s="9">
        <f>IFERROR(__xludf.DUMMYFUNCTION("AVERAGE(FILTER('__flatlist__'!F$2:F1009,('__flatlist__'!$B$2:$B1009=$B23),('__flatlist__'!$C$2:$C1009=$C23)))"),4.8)</f>
        <v>4.8</v>
      </c>
      <c r="G23" s="9">
        <f>IFERROR(__xludf.DUMMYFUNCTION("AVERAGE(FILTER('__flatlist__'!G$2:G1009,('__flatlist__'!$B$2:$B1009=$B23),('__flatlist__'!$C$2:$C1009=$C23)))"),4.8)</f>
        <v>4.8</v>
      </c>
      <c r="H23" s="9">
        <f>IFERROR(__xludf.DUMMYFUNCTION("AVERAGE(FILTER('__flatlist__'!H$2:H1009,('__flatlist__'!$B$2:$B1009=$B23),('__flatlist__'!$C$2:$C1009=$C23)))"),3.6)</f>
        <v>3.6</v>
      </c>
      <c r="I23" s="9">
        <f>IFERROR(__xludf.DUMMYFUNCTION("AVERAGE(FILTER('__flatlist__'!I$2:I1009,('__flatlist__'!$B$2:$B1009=$B23),('__flatlist__'!$C$2:$C1009=$C23)))"),3.6)</f>
        <v>3.6</v>
      </c>
      <c r="J23" s="9">
        <f t="shared" si="1"/>
        <v>4</v>
      </c>
      <c r="K23" s="12">
        <f t="shared" si="2"/>
        <v>19</v>
      </c>
      <c r="M23" s="4"/>
      <c r="N23" s="11"/>
    </row>
    <row r="24">
      <c r="A24" s="6"/>
      <c r="B24" s="10" t="s">
        <v>27</v>
      </c>
      <c r="C24" s="7" t="s">
        <v>8</v>
      </c>
      <c r="D24" s="8">
        <f>IFERROR(__xludf.DUMMYFUNCTION("AVERAGE(FILTER('__flatlist__'!D$2:D1009,('__flatlist__'!$B$2:$B1009=$B24),('__flatlist__'!$C$2:$C1009=$C24)))"),0.32064878710677636)</f>
        <v>0.3206487871</v>
      </c>
      <c r="E24" s="9">
        <f>IFERROR(__xludf.DUMMYFUNCTION("AVERAGE(FILTER('__flatlist__'!E$2:E1009,('__flatlist__'!$B$2:$B1009=$B24),('__flatlist__'!$C$2:$C1009=$C24)))"),3.6)</f>
        <v>3.6</v>
      </c>
      <c r="F24" s="9">
        <f>IFERROR(__xludf.DUMMYFUNCTION("AVERAGE(FILTER('__flatlist__'!F$2:F1009,('__flatlist__'!$B$2:$B1009=$B24),('__flatlist__'!$C$2:$C1009=$C24)))"),5.0)</f>
        <v>5</v>
      </c>
      <c r="G24" s="9">
        <f>IFERROR(__xludf.DUMMYFUNCTION("AVERAGE(FILTER('__flatlist__'!G$2:G1009,('__flatlist__'!$B$2:$B1009=$B24),('__flatlist__'!$C$2:$C1009=$C24)))"),5.0)</f>
        <v>5</v>
      </c>
      <c r="H24" s="9">
        <f>IFERROR(__xludf.DUMMYFUNCTION("AVERAGE(FILTER('__flatlist__'!H$2:H1009,('__flatlist__'!$B$2:$B1009=$B24),('__flatlist__'!$C$2:$C1009=$C24)))"),4.2)</f>
        <v>4.2</v>
      </c>
      <c r="I24" s="9">
        <f>IFERROR(__xludf.DUMMYFUNCTION("AVERAGE(FILTER('__flatlist__'!I$2:I1009,('__flatlist__'!$B$2:$B1009=$B24),('__flatlist__'!$C$2:$C1009=$C24)))"),4.6)</f>
        <v>4.6</v>
      </c>
      <c r="J24" s="9">
        <f t="shared" si="1"/>
        <v>4.48</v>
      </c>
      <c r="K24" s="12">
        <f t="shared" si="2"/>
        <v>11</v>
      </c>
      <c r="M24" s="4"/>
      <c r="N24" s="11"/>
    </row>
    <row r="25">
      <c r="A25" s="6"/>
      <c r="B25" s="10" t="s">
        <v>27</v>
      </c>
      <c r="C25" s="7" t="s">
        <v>23</v>
      </c>
      <c r="D25" s="8">
        <f>IFERROR(__xludf.DUMMYFUNCTION("AVERAGE(FILTER('__flatlist__'!D$2:D1009,('__flatlist__'!$B$2:$B1009=$B25),('__flatlist__'!$C$2:$C1009=$C25)))"),0.16789653097508106)</f>
        <v>0.167896531</v>
      </c>
      <c r="E25" s="9">
        <f>IFERROR(__xludf.DUMMYFUNCTION("AVERAGE(FILTER('__flatlist__'!E$2:E1009,('__flatlist__'!$B$2:$B1009=$B25),('__flatlist__'!$C$2:$C1009=$C25)))"),5.0)</f>
        <v>5</v>
      </c>
      <c r="F25" s="9">
        <f>IFERROR(__xludf.DUMMYFUNCTION("AVERAGE(FILTER('__flatlist__'!F$2:F1009,('__flatlist__'!$B$2:$B1009=$B25),('__flatlist__'!$C$2:$C1009=$C25)))"),5.0)</f>
        <v>5</v>
      </c>
      <c r="G25" s="9">
        <f>IFERROR(__xludf.DUMMYFUNCTION("AVERAGE(FILTER('__flatlist__'!G$2:G1009,('__flatlist__'!$B$2:$B1009=$B25),('__flatlist__'!$C$2:$C1009=$C25)))"),5.0)</f>
        <v>5</v>
      </c>
      <c r="H25" s="9">
        <f>IFERROR(__xludf.DUMMYFUNCTION("AVERAGE(FILTER('__flatlist__'!H$2:H1009,('__flatlist__'!$B$2:$B1009=$B25),('__flatlist__'!$C$2:$C1009=$C25)))"),4.6)</f>
        <v>4.6</v>
      </c>
      <c r="I25" s="9">
        <f>IFERROR(__xludf.DUMMYFUNCTION("AVERAGE(FILTER('__flatlist__'!I$2:I1009,('__flatlist__'!$B$2:$B1009=$B25),('__flatlist__'!$C$2:$C1009=$C25)))"),3.6)</f>
        <v>3.6</v>
      </c>
      <c r="J25" s="9">
        <f t="shared" si="1"/>
        <v>4.64</v>
      </c>
      <c r="K25" s="12">
        <f t="shared" si="2"/>
        <v>2</v>
      </c>
      <c r="M25" s="4"/>
      <c r="N25" s="11"/>
    </row>
    <row r="26">
      <c r="C26" s="7"/>
      <c r="E26" s="9"/>
      <c r="F26" s="9"/>
      <c r="G26" s="9"/>
      <c r="H26" s="9"/>
      <c r="I26" s="9"/>
      <c r="M26" s="4"/>
      <c r="N26" s="11"/>
    </row>
    <row r="27">
      <c r="A27" s="13"/>
      <c r="B27" s="14"/>
      <c r="C27" s="14"/>
      <c r="D27" s="13" t="s">
        <v>28</v>
      </c>
      <c r="E27" s="15"/>
      <c r="F27" s="15"/>
      <c r="G27" s="15"/>
      <c r="H27" s="15"/>
      <c r="I27" s="15"/>
      <c r="J27" s="15"/>
      <c r="K27" s="16"/>
      <c r="M27" s="4"/>
      <c r="N27" s="11"/>
    </row>
    <row r="28">
      <c r="A28" s="17" t="str">
        <f>'🤖 Claude Haiku 3.5'!$A$2</f>
        <v>http://elpais.com/ccaa/2019/10/14/catalunya/1571053877_702844.html</v>
      </c>
      <c r="B28" s="6"/>
      <c r="D28" s="8">
        <f>IFERROR(__xludf.DUMMYFUNCTION("AVERAGE(FILTER('__flatlist__'!D$2:D1009,('__flatlist__'!$A$2:$A1009=$A28)))"),0.2129393424036281)</f>
        <v>0.2129393424</v>
      </c>
      <c r="E28" s="9">
        <f>IFERROR(__xludf.DUMMYFUNCTION("AVERAGE(FILTER('__flatlist__'!E$2:E1009,('__flatlist__'!$A$2:$A1009=$A28)))"),4.142857142857143)</f>
        <v>4.142857143</v>
      </c>
      <c r="F28" s="9">
        <f>IFERROR(__xludf.DUMMYFUNCTION("AVERAGE(FILTER('__flatlist__'!F$2:F1009,('__flatlist__'!$A$2:$A1009=$A28)))"),4.380952380952381)</f>
        <v>4.380952381</v>
      </c>
      <c r="G28" s="9">
        <f>IFERROR(__xludf.DUMMYFUNCTION("AVERAGE(FILTER('__flatlist__'!G$2:G1009,('__flatlist__'!$A$2:$A1009=$A28)))"),4.619047619047619)</f>
        <v>4.619047619</v>
      </c>
      <c r="H28" s="9">
        <f>IFERROR(__xludf.DUMMYFUNCTION("AVERAGE(FILTER('__flatlist__'!H$2:H1009,('__flatlist__'!$A$2:$A1009=$A28)))"),4.571428571428571)</f>
        <v>4.571428571</v>
      </c>
      <c r="I28" s="9">
        <f>IFERROR(__xludf.DUMMYFUNCTION("AVERAGE(FILTER('__flatlist__'!I$2:I1009,('__flatlist__'!$A$2:$A1009=$A28)))"),4.0)</f>
        <v>4</v>
      </c>
      <c r="J28" s="9">
        <f t="shared" ref="J28:J41" si="3">average(E28:I28)</f>
        <v>4.342857143</v>
      </c>
      <c r="K28" s="18"/>
      <c r="M28" s="4"/>
      <c r="N28" s="11"/>
    </row>
    <row r="29">
      <c r="A29" s="17" t="str">
        <f>'🤖 Claude Haiku 3.5'!$A$7</f>
        <v>http://elpais.com/cultura/2019/10/15/actualidad/1571152626_720988.html</v>
      </c>
      <c r="B29" s="6"/>
      <c r="D29" s="8">
        <f>IFERROR(__xludf.DUMMYFUNCTION("AVERAGE(FILTER('__flatlist__'!D$2:D1009,('__flatlist__'!$A$2:$A1009=$A29)))"),0.18156392694063928)</f>
        <v>0.1815639269</v>
      </c>
      <c r="E29" s="9">
        <f>IFERROR(__xludf.DUMMYFUNCTION("AVERAGE(FILTER('__flatlist__'!E$2:E1009,('__flatlist__'!$A$2:$A1009=$A29)))"),4.238095238095238)</f>
        <v>4.238095238</v>
      </c>
      <c r="F29" s="9">
        <f>IFERROR(__xludf.DUMMYFUNCTION("AVERAGE(FILTER('__flatlist__'!F$2:F1009,('__flatlist__'!$A$2:$A1009=$A29)))"),5.0)</f>
        <v>5</v>
      </c>
      <c r="G29" s="9">
        <f>IFERROR(__xludf.DUMMYFUNCTION("AVERAGE(FILTER('__flatlist__'!G$2:G1009,('__flatlist__'!$A$2:$A1009=$A29)))"),4.809523809523809)</f>
        <v>4.80952381</v>
      </c>
      <c r="H29" s="9">
        <f>IFERROR(__xludf.DUMMYFUNCTION("AVERAGE(FILTER('__flatlist__'!H$2:H1009,('__flatlist__'!$A$2:$A1009=$A29)))"),4.333333333333333)</f>
        <v>4.333333333</v>
      </c>
      <c r="I29" s="9">
        <f>IFERROR(__xludf.DUMMYFUNCTION("AVERAGE(FILTER('__flatlist__'!I$2:I1009,('__flatlist__'!$A$2:$A1009=$A29)))"),3.761904761904762)</f>
        <v>3.761904762</v>
      </c>
      <c r="J29" s="9">
        <f t="shared" si="3"/>
        <v>4.428571429</v>
      </c>
      <c r="K29" s="18"/>
      <c r="M29" s="4"/>
      <c r="N29" s="11"/>
    </row>
    <row r="30">
      <c r="A30" s="17" t="str">
        <f>'🤖 Claude Haiku 3.5'!$A$12</f>
        <v>http://elpais.com/ccaa/2019/07/23/madrid/1563898491_008005.html</v>
      </c>
      <c r="B30" s="6"/>
      <c r="D30" s="8">
        <f>IFERROR(__xludf.DUMMYFUNCTION("AVERAGE(FILTER('__flatlist__'!D$2:D1009,('__flatlist__'!$A$2:$A1009=$A30)))"),0.30352393617021284)</f>
        <v>0.3035239362</v>
      </c>
      <c r="E30" s="9">
        <f>IFERROR(__xludf.DUMMYFUNCTION("AVERAGE(FILTER('__flatlist__'!E$2:E1009,('__flatlist__'!$A$2:$A1009=$A30)))"),4.142857142857143)</f>
        <v>4.142857143</v>
      </c>
      <c r="F30" s="9">
        <f>IFERROR(__xludf.DUMMYFUNCTION("AVERAGE(FILTER('__flatlist__'!F$2:F1009,('__flatlist__'!$A$2:$A1009=$A30)))"),5.0)</f>
        <v>5</v>
      </c>
      <c r="G30" s="9">
        <f>IFERROR(__xludf.DUMMYFUNCTION("AVERAGE(FILTER('__flatlist__'!G$2:G1009,('__flatlist__'!$A$2:$A1009=$A30)))"),4.809523809523809)</f>
        <v>4.80952381</v>
      </c>
      <c r="H30" s="9">
        <f>IFERROR(__xludf.DUMMYFUNCTION("AVERAGE(FILTER('__flatlist__'!H$2:H1009,('__flatlist__'!$A$2:$A1009=$A30)))"),4.523809523809524)</f>
        <v>4.523809524</v>
      </c>
      <c r="I30" s="9">
        <f>IFERROR(__xludf.DUMMYFUNCTION("AVERAGE(FILTER('__flatlist__'!I$2:I1009,('__flatlist__'!$A$2:$A1009=$A30)))"),2.9523809523809526)</f>
        <v>2.952380952</v>
      </c>
      <c r="J30" s="9">
        <f t="shared" si="3"/>
        <v>4.285714286</v>
      </c>
      <c r="K30" s="18"/>
      <c r="M30" s="4"/>
      <c r="N30" s="11"/>
    </row>
    <row r="31">
      <c r="A31" s="17" t="str">
        <f>'🤖 Claude Haiku 3.5'!$A$17</f>
        <v>http://elpais.com/elpais/2019/06/28/estilo/1561733550_082135.html</v>
      </c>
      <c r="B31" s="6"/>
      <c r="D31" s="8">
        <f>IFERROR(__xludf.DUMMYFUNCTION("AVERAGE(FILTER('__flatlist__'!D$2:D1009,('__flatlist__'!$A$2:$A1009=$A31)))"),0.19803370786516858)</f>
        <v>0.1980337079</v>
      </c>
      <c r="E31" s="9">
        <f>IFERROR(__xludf.DUMMYFUNCTION("AVERAGE(FILTER('__flatlist__'!E$2:E1009,('__flatlist__'!$A$2:$A1009=$A31)))"),4.285714285714286)</f>
        <v>4.285714286</v>
      </c>
      <c r="F31" s="9">
        <f>IFERROR(__xludf.DUMMYFUNCTION("AVERAGE(FILTER('__flatlist__'!F$2:F1009,('__flatlist__'!$A$2:$A1009=$A31)))"),4.904761904761905)</f>
        <v>4.904761905</v>
      </c>
      <c r="G31" s="9">
        <f>IFERROR(__xludf.DUMMYFUNCTION("AVERAGE(FILTER('__flatlist__'!G$2:G1009,('__flatlist__'!$A$2:$A1009=$A31)))"),4.571428571428571)</f>
        <v>4.571428571</v>
      </c>
      <c r="H31" s="9">
        <f>IFERROR(__xludf.DUMMYFUNCTION("AVERAGE(FILTER('__flatlist__'!H$2:H1009,('__flatlist__'!$A$2:$A1009=$A31)))"),4.0)</f>
        <v>4</v>
      </c>
      <c r="I31" s="9">
        <f>IFERROR(__xludf.DUMMYFUNCTION("AVERAGE(FILTER('__flatlist__'!I$2:I1009,('__flatlist__'!$A$2:$A1009=$A31)))"),4.666666666666667)</f>
        <v>4.666666667</v>
      </c>
      <c r="J31" s="9">
        <f t="shared" si="3"/>
        <v>4.485714286</v>
      </c>
      <c r="K31" s="18"/>
      <c r="M31" s="4"/>
      <c r="N31" s="11"/>
    </row>
    <row r="32">
      <c r="A32" s="19" t="str">
        <f>'🤖 Claude Haiku 3.5'!$A$22</f>
        <v>http://elpais.com/internacional/2019/08/06/mexico/1565054211_863699.html</v>
      </c>
      <c r="B32" s="20"/>
      <c r="C32" s="21"/>
      <c r="D32" s="22">
        <f>IFERROR(__xludf.DUMMYFUNCTION("AVERAGE(FILTER('__flatlist__'!D$2:D1009,('__flatlist__'!$A$2:$A1009=$A32)))"),0.12992334126354746)</f>
        <v>0.1299233413</v>
      </c>
      <c r="E32" s="23">
        <f>IFERROR(__xludf.DUMMYFUNCTION("AVERAGE(FILTER('__flatlist__'!E$2:E1009,('__flatlist__'!$A$2:$A1009=$A32)))"),4.285714285714286)</f>
        <v>4.285714286</v>
      </c>
      <c r="F32" s="23">
        <f>IFERROR(__xludf.DUMMYFUNCTION("AVERAGE(FILTER('__flatlist__'!F$2:F1009,('__flatlist__'!$A$2:$A1009=$A32)))"),4.476190476190476)</f>
        <v>4.476190476</v>
      </c>
      <c r="G32" s="23">
        <f>IFERROR(__xludf.DUMMYFUNCTION("AVERAGE(FILTER('__flatlist__'!G$2:G1009,('__flatlist__'!$A$2:$A1009=$A32)))"),4.761904761904762)</f>
        <v>4.761904762</v>
      </c>
      <c r="H32" s="23">
        <f>IFERROR(__xludf.DUMMYFUNCTION("AVERAGE(FILTER('__flatlist__'!H$2:H1009,('__flatlist__'!$A$2:$A1009=$A32)))"),4.571428571428571)</f>
        <v>4.571428571</v>
      </c>
      <c r="I32" s="23">
        <f>IFERROR(__xludf.DUMMYFUNCTION("AVERAGE(FILTER('__flatlist__'!I$2:I1009,('__flatlist__'!$A$2:$A1009=$A32)))"),4.0476190476190474)</f>
        <v>4.047619048</v>
      </c>
      <c r="J32" s="23">
        <f t="shared" si="3"/>
        <v>4.428571429</v>
      </c>
      <c r="K32" s="18"/>
      <c r="M32" s="4"/>
      <c r="N32" s="11"/>
    </row>
    <row r="33">
      <c r="A33" s="24"/>
      <c r="B33" s="6" t="s">
        <v>20</v>
      </c>
      <c r="D33" s="8">
        <f>IFERROR(__xludf.DUMMYFUNCTION("AVERAGE(FILTER('__flatlist__'!D$2:D1009,('__flatlist__'!$B$2:$B1009=$B33)))"),0.21302518938410397)</f>
        <v>0.2130251894</v>
      </c>
      <c r="E33" s="9">
        <f>IFERROR(__xludf.DUMMYFUNCTION("AVERAGE(FILTER('__flatlist__'!E$2:E1009,('__flatlist__'!$B$2:$B1009=$B33)))"),3.35)</f>
        <v>3.35</v>
      </c>
      <c r="F33" s="9">
        <f>IFERROR(__xludf.DUMMYFUNCTION("AVERAGE(FILTER('__flatlist__'!F$2:F1009,('__flatlist__'!$B$2:$B1009=$B33)))"),4.85)</f>
        <v>4.85</v>
      </c>
      <c r="G33" s="9">
        <f>IFERROR(__xludf.DUMMYFUNCTION("AVERAGE(FILTER('__flatlist__'!G$2:G1009,('__flatlist__'!$B$2:$B1009=$B33)))"),4.1)</f>
        <v>4.1</v>
      </c>
      <c r="H33" s="9">
        <f>IFERROR(__xludf.DUMMYFUNCTION("AVERAGE(FILTER('__flatlist__'!H$2:H1009,('__flatlist__'!$B$2:$B1009=$B33)))"),4.05)</f>
        <v>4.05</v>
      </c>
      <c r="I33" s="9">
        <f>IFERROR(__xludf.DUMMYFUNCTION("AVERAGE(FILTER('__flatlist__'!I$2:I1009,('__flatlist__'!$B$2:$B1009=$B33)))"),4.05)</f>
        <v>4.05</v>
      </c>
      <c r="J33" s="9">
        <f t="shared" si="3"/>
        <v>4.08</v>
      </c>
      <c r="K33" s="25">
        <f t="shared" ref="K33:K37" si="4">rank(J33,$J$33:$J$37,FALSE)</f>
        <v>5</v>
      </c>
      <c r="M33" s="4"/>
      <c r="N33" s="11"/>
    </row>
    <row r="34">
      <c r="A34" s="24"/>
      <c r="B34" s="6" t="s">
        <v>24</v>
      </c>
      <c r="D34" s="8">
        <f>IFERROR(__xludf.DUMMYFUNCTION("AVERAGE(FILTER('__flatlist__'!D$2:D1009,('__flatlist__'!$B$2:$B1009=$B34)))"),0.2406552060917928)</f>
        <v>0.2406552061</v>
      </c>
      <c r="E34" s="9">
        <f>IFERROR(__xludf.DUMMYFUNCTION("AVERAGE(FILTER('__flatlist__'!E$2:E1009,('__flatlist__'!$B$2:$B1009=$B34)))"),4.45)</f>
        <v>4.45</v>
      </c>
      <c r="F34" s="9">
        <f>IFERROR(__xludf.DUMMYFUNCTION("AVERAGE(FILTER('__flatlist__'!F$2:F1009,('__flatlist__'!$B$2:$B1009=$B34)))"),4.75)</f>
        <v>4.75</v>
      </c>
      <c r="G34" s="9">
        <f>IFERROR(__xludf.DUMMYFUNCTION("AVERAGE(FILTER('__flatlist__'!G$2:G1009,('__flatlist__'!$B$2:$B1009=$B34)))"),4.75)</f>
        <v>4.75</v>
      </c>
      <c r="H34" s="9">
        <f>IFERROR(__xludf.DUMMYFUNCTION("AVERAGE(FILTER('__flatlist__'!H$2:H1009,('__flatlist__'!$B$2:$B1009=$B34)))"),4.8)</f>
        <v>4.8</v>
      </c>
      <c r="I34" s="9">
        <f>IFERROR(__xludf.DUMMYFUNCTION("AVERAGE(FILTER('__flatlist__'!I$2:I1009,('__flatlist__'!$B$2:$B1009=$B34)))"),3.7)</f>
        <v>3.7</v>
      </c>
      <c r="J34" s="9">
        <f t="shared" si="3"/>
        <v>4.49</v>
      </c>
      <c r="K34" s="26">
        <f t="shared" si="4"/>
        <v>3</v>
      </c>
      <c r="M34" s="4"/>
      <c r="N34" s="11"/>
    </row>
    <row r="35">
      <c r="A35" s="24"/>
      <c r="B35" s="6" t="s">
        <v>25</v>
      </c>
      <c r="D35" s="8">
        <f>IFERROR(__xludf.DUMMYFUNCTION("AVERAGE(FILTER('__flatlist__'!D$2:D1009,('__flatlist__'!$B$2:$B1009=$B35)))"),0.22569362374374466)</f>
        <v>0.2256936237</v>
      </c>
      <c r="E35" s="9">
        <f>IFERROR(__xludf.DUMMYFUNCTION("AVERAGE(FILTER('__flatlist__'!E$2:E1009,('__flatlist__'!$B$2:$B1009=$B35)))"),4.55)</f>
        <v>4.55</v>
      </c>
      <c r="F35" s="9">
        <f>IFERROR(__xludf.DUMMYFUNCTION("AVERAGE(FILTER('__flatlist__'!F$2:F1009,('__flatlist__'!$B$2:$B1009=$B35)))"),4.85)</f>
        <v>4.85</v>
      </c>
      <c r="G35" s="9">
        <f>IFERROR(__xludf.DUMMYFUNCTION("AVERAGE(FILTER('__flatlist__'!G$2:G1009,('__flatlist__'!$B$2:$B1009=$B35)))"),5.0)</f>
        <v>5</v>
      </c>
      <c r="H35" s="9">
        <f>IFERROR(__xludf.DUMMYFUNCTION("AVERAGE(FILTER('__flatlist__'!H$2:H1009,('__flatlist__'!$B$2:$B1009=$B35)))"),4.45)</f>
        <v>4.45</v>
      </c>
      <c r="I35" s="9">
        <f>IFERROR(__xludf.DUMMYFUNCTION("AVERAGE(FILTER('__flatlist__'!I$2:I1009,('__flatlist__'!$B$2:$B1009=$B35)))"),4.3)</f>
        <v>4.3</v>
      </c>
      <c r="J35" s="9">
        <f t="shared" si="3"/>
        <v>4.63</v>
      </c>
      <c r="K35" s="26">
        <f t="shared" si="4"/>
        <v>1</v>
      </c>
      <c r="M35" s="4"/>
      <c r="N35" s="11"/>
    </row>
    <row r="36">
      <c r="A36" s="6"/>
      <c r="B36" s="6" t="s">
        <v>26</v>
      </c>
      <c r="D36" s="8">
        <f>IFERROR(__xludf.DUMMYFUNCTION("AVERAGE(FILTER('__flatlist__'!D$2:D1009,('__flatlist__'!$B$2:$B1009=$B36)))"),0.22922324488954393)</f>
        <v>0.2292232449</v>
      </c>
      <c r="E36" s="9">
        <f>IFERROR(__xludf.DUMMYFUNCTION("AVERAGE(FILTER('__flatlist__'!E$2:E1009,('__flatlist__'!$B$2:$B1009=$B36)))"),4.7)</f>
        <v>4.7</v>
      </c>
      <c r="F36" s="9">
        <f>IFERROR(__xludf.DUMMYFUNCTION("AVERAGE(FILTER('__flatlist__'!F$2:F1009,('__flatlist__'!$B$2:$B1009=$B36)))"),4.4)</f>
        <v>4.4</v>
      </c>
      <c r="G36" s="9">
        <f>IFERROR(__xludf.DUMMYFUNCTION("AVERAGE(FILTER('__flatlist__'!G$2:G1009,('__flatlist__'!$B$2:$B1009=$B36)))"),4.85)</f>
        <v>4.85</v>
      </c>
      <c r="H36" s="9">
        <f>IFERROR(__xludf.DUMMYFUNCTION("AVERAGE(FILTER('__flatlist__'!H$2:H1009,('__flatlist__'!$B$2:$B1009=$B36)))"),4.75)</f>
        <v>4.75</v>
      </c>
      <c r="I36" s="9">
        <f>IFERROR(__xludf.DUMMYFUNCTION("AVERAGE(FILTER('__flatlist__'!I$2:I1009,('__flatlist__'!$B$2:$B1009=$B36)))"),3.9)</f>
        <v>3.9</v>
      </c>
      <c r="J36" s="9">
        <f t="shared" si="3"/>
        <v>4.52</v>
      </c>
      <c r="K36" s="26">
        <f t="shared" si="4"/>
        <v>2</v>
      </c>
      <c r="M36" s="4"/>
      <c r="N36" s="11"/>
    </row>
    <row r="37">
      <c r="A37" s="24"/>
      <c r="B37" s="10" t="s">
        <v>27</v>
      </c>
      <c r="D37" s="8">
        <f>IFERROR(__xludf.DUMMYFUNCTION("AVERAGE(FILTER('__flatlist__'!D$2:D1009,('__flatlist__'!$B$2:$B1009=$B37)))"),0.273766422741057)</f>
        <v>0.2737664227</v>
      </c>
      <c r="E37" s="9">
        <f>IFERROR(__xludf.DUMMYFUNCTION("AVERAGE(FILTER('__flatlist__'!E$2:E1009,('__flatlist__'!$B$2:$B1009=$B37)))"),3.9)</f>
        <v>3.9</v>
      </c>
      <c r="F37" s="9">
        <f>IFERROR(__xludf.DUMMYFUNCTION("AVERAGE(FILTER('__flatlist__'!F$2:F1009,('__flatlist__'!$B$2:$B1009=$B37)))"),4.9)</f>
        <v>4.9</v>
      </c>
      <c r="G37" s="9">
        <f>IFERROR(__xludf.DUMMYFUNCTION("AVERAGE(FILTER('__flatlist__'!G$2:G1009,('__flatlist__'!$B$2:$B1009=$B37)))"),4.85)</f>
        <v>4.85</v>
      </c>
      <c r="H37" s="9">
        <f>IFERROR(__xludf.DUMMYFUNCTION("AVERAGE(FILTER('__flatlist__'!H$2:H1009,('__flatlist__'!$B$2:$B1009=$B37)))"),4.0)</f>
        <v>4</v>
      </c>
      <c r="I37" s="9">
        <f>IFERROR(__xludf.DUMMYFUNCTION("AVERAGE(FILTER('__flatlist__'!I$2:I1009,('__flatlist__'!$B$2:$B1009=$B37)))"),3.95)</f>
        <v>3.95</v>
      </c>
      <c r="J37" s="9">
        <f t="shared" si="3"/>
        <v>4.32</v>
      </c>
      <c r="K37" s="27">
        <f t="shared" si="4"/>
        <v>4</v>
      </c>
      <c r="M37" s="4"/>
      <c r="N37" s="11"/>
    </row>
    <row r="38">
      <c r="A38" s="28"/>
      <c r="B38" s="29"/>
      <c r="C38" s="30" t="s">
        <v>21</v>
      </c>
      <c r="D38" s="31">
        <f>IFERROR(__xludf.DUMMYFUNCTION("AVERAGE(FILTER('__flatlist__'!D$2:D1009,('__flatlist__'!$C$2:$C1009=$C38)))"),0.2545915447601635)</f>
        <v>0.2545915448</v>
      </c>
      <c r="E38" s="32">
        <f>IFERROR(__xludf.DUMMYFUNCTION("AVERAGE(FILTER('__flatlist__'!E$2:E1009,('__flatlist__'!$C$2:$C1009=$C38)))"),4.44)</f>
        <v>4.44</v>
      </c>
      <c r="F38" s="32">
        <f>IFERROR(__xludf.DUMMYFUNCTION("AVERAGE(FILTER('__flatlist__'!F$2:F1009,('__flatlist__'!$C$2:$C1009=$C38)))"),4.68)</f>
        <v>4.68</v>
      </c>
      <c r="G38" s="32">
        <f>IFERROR(__xludf.DUMMYFUNCTION("AVERAGE(FILTER('__flatlist__'!G$2:G1009,('__flatlist__'!$C$2:$C1009=$C38)))"),4.8)</f>
        <v>4.8</v>
      </c>
      <c r="H38" s="32">
        <f>IFERROR(__xludf.DUMMYFUNCTION("AVERAGE(FILTER('__flatlist__'!H$2:H1009,('__flatlist__'!$C$2:$C1009=$C38)))"),4.36)</f>
        <v>4.36</v>
      </c>
      <c r="I38" s="32">
        <f>IFERROR(__xludf.DUMMYFUNCTION("AVERAGE(FILTER('__flatlist__'!I$2:I1009,('__flatlist__'!$C$2:$C1009=$C38)))"),3.84)</f>
        <v>3.84</v>
      </c>
      <c r="J38" s="32">
        <f t="shared" si="3"/>
        <v>4.424</v>
      </c>
      <c r="K38" s="26">
        <f t="shared" ref="K38:K41" si="5">rank(J38,$J$38:$J$41,FALSE)</f>
        <v>2</v>
      </c>
      <c r="M38" s="4"/>
      <c r="N38" s="11"/>
    </row>
    <row r="39">
      <c r="A39" s="33"/>
      <c r="C39" s="7" t="s">
        <v>22</v>
      </c>
      <c r="D39" s="8">
        <f>IFERROR(__xludf.DUMMYFUNCTION("AVERAGE(FILTER('__flatlist__'!D$2:D1009,('__flatlist__'!$C$2:$C1009=$C39)))"),0.2072736555893963)</f>
        <v>0.2072736556</v>
      </c>
      <c r="E39" s="11">
        <f>IFERROR(__xludf.DUMMYFUNCTION("AVERAGE(FILTER('__flatlist__'!E$2:E1009,('__flatlist__'!$C$2:$C1009=$C39)))"),4.4)</f>
        <v>4.4</v>
      </c>
      <c r="F39" s="11">
        <f>IFERROR(__xludf.DUMMYFUNCTION("AVERAGE(FILTER('__flatlist__'!F$2:F1009,('__flatlist__'!$C$2:$C1009=$C39)))"),4.68)</f>
        <v>4.68</v>
      </c>
      <c r="G39" s="11">
        <f>IFERROR(__xludf.DUMMYFUNCTION("AVERAGE(FILTER('__flatlist__'!G$2:G1009,('__flatlist__'!$C$2:$C1009=$C39)))"),4.96)</f>
        <v>4.96</v>
      </c>
      <c r="H39" s="11">
        <f>IFERROR(__xludf.DUMMYFUNCTION("AVERAGE(FILTER('__flatlist__'!H$2:H1009,('__flatlist__'!$C$2:$C1009=$C39)))"),4.24)</f>
        <v>4.24</v>
      </c>
      <c r="I39" s="11">
        <f>IFERROR(__xludf.DUMMYFUNCTION("AVERAGE(FILTER('__flatlist__'!I$2:I1009,('__flatlist__'!$C$2:$C1009=$C39)))"),3.6)</f>
        <v>3.6</v>
      </c>
      <c r="J39" s="11">
        <f t="shared" si="3"/>
        <v>4.376</v>
      </c>
      <c r="K39" s="26">
        <f t="shared" si="5"/>
        <v>3</v>
      </c>
      <c r="M39" s="4"/>
      <c r="N39" s="11"/>
    </row>
    <row r="40">
      <c r="A40" s="33"/>
      <c r="C40" s="7" t="s">
        <v>8</v>
      </c>
      <c r="D40" s="8">
        <f>IFERROR(__xludf.DUMMYFUNCTION("AVERAGE(FILTER('__flatlist__'!D$2:D1009,('__flatlist__'!$C$2:$C1009=$C40)))"),0.29461136978498975)</f>
        <v>0.2946113698</v>
      </c>
      <c r="E40" s="11">
        <f>IFERROR(__xludf.DUMMYFUNCTION("AVERAGE(FILTER('__flatlist__'!E$2:E1009,('__flatlist__'!$C$2:$C1009=$C40)))"),3.48)</f>
        <v>3.48</v>
      </c>
      <c r="F40" s="11">
        <f>IFERROR(__xludf.DUMMYFUNCTION("AVERAGE(FILTER('__flatlist__'!F$2:F1009,('__flatlist__'!$C$2:$C1009=$C40)))"),4.76)</f>
        <v>4.76</v>
      </c>
      <c r="G40" s="11">
        <f>IFERROR(__xludf.DUMMYFUNCTION("AVERAGE(FILTER('__flatlist__'!G$2:G1009,('__flatlist__'!$C$2:$C1009=$C40)))"),4.96)</f>
        <v>4.96</v>
      </c>
      <c r="H40" s="11">
        <f>IFERROR(__xludf.DUMMYFUNCTION("AVERAGE(FILTER('__flatlist__'!H$2:H1009,('__flatlist__'!$C$2:$C1009=$C40)))"),4.48)</f>
        <v>4.48</v>
      </c>
      <c r="I40" s="11">
        <f>IFERROR(__xludf.DUMMYFUNCTION("AVERAGE(FILTER('__flatlist__'!I$2:I1009,('__flatlist__'!$C$2:$C1009=$C40)))"),4.8)</f>
        <v>4.8</v>
      </c>
      <c r="J40" s="11">
        <f t="shared" si="3"/>
        <v>4.496</v>
      </c>
      <c r="K40" s="26">
        <f t="shared" si="5"/>
        <v>1</v>
      </c>
      <c r="M40" s="4"/>
      <c r="N40" s="11"/>
    </row>
    <row r="41">
      <c r="A41" s="34"/>
      <c r="B41" s="21"/>
      <c r="C41" s="35" t="s">
        <v>23</v>
      </c>
      <c r="D41" s="22">
        <f>IFERROR(__xludf.DUMMYFUNCTION("AVERAGE(FILTER('__flatlist__'!D$2:D1009,('__flatlist__'!$C$2:$C1009=$C41)))"),0.18941437934564437)</f>
        <v>0.1894143793</v>
      </c>
      <c r="E41" s="36">
        <f>IFERROR(__xludf.DUMMYFUNCTION("AVERAGE(FILTER('__flatlist__'!E$2:E1009,('__flatlist__'!$C$2:$C1009=$C41)))"),4.44)</f>
        <v>4.44</v>
      </c>
      <c r="F41" s="36">
        <f>IFERROR(__xludf.DUMMYFUNCTION("AVERAGE(FILTER('__flatlist__'!F$2:F1009,('__flatlist__'!$C$2:$C1009=$C41)))"),4.88)</f>
        <v>4.88</v>
      </c>
      <c r="G41" s="36">
        <f>IFERROR(__xludf.DUMMYFUNCTION("AVERAGE(FILTER('__flatlist__'!G$2:G1009,('__flatlist__'!$C$2:$C1009=$C41)))"),4.12)</f>
        <v>4.12</v>
      </c>
      <c r="H41" s="36">
        <f>IFERROR(__xludf.DUMMYFUNCTION("AVERAGE(FILTER('__flatlist__'!H$2:H1009,('__flatlist__'!$C$2:$C1009=$C41)))"),4.56)</f>
        <v>4.56</v>
      </c>
      <c r="I41" s="36">
        <f>IFERROR(__xludf.DUMMYFUNCTION("AVERAGE(FILTER('__flatlist__'!I$2:I1009,('__flatlist__'!$C$2:$C1009=$C41)))"),3.68)</f>
        <v>3.68</v>
      </c>
      <c r="J41" s="36">
        <f t="shared" si="3"/>
        <v>4.336</v>
      </c>
      <c r="K41" s="27">
        <f t="shared" si="5"/>
        <v>4</v>
      </c>
      <c r="M41" s="4"/>
      <c r="N41" s="11"/>
    </row>
    <row r="42">
      <c r="A42" s="4"/>
      <c r="B42" s="4"/>
      <c r="C42" s="11"/>
    </row>
    <row r="43">
      <c r="A43" s="37"/>
      <c r="B43" s="38"/>
      <c r="C43" s="38"/>
      <c r="D43" s="37" t="s">
        <v>29</v>
      </c>
      <c r="I43" s="39"/>
      <c r="M43" s="4"/>
      <c r="N43" s="11"/>
    </row>
    <row r="44" hidden="1">
      <c r="A44" s="40" t="str">
        <f t="shared" ref="A44:A53" si="6">#REF!</f>
        <v>#REF!</v>
      </c>
      <c r="B44" s="41"/>
      <c r="C44" s="29"/>
      <c r="D44" s="31" t="str">
        <f>IFERROR(__xludf.DUMMYFUNCTION("STDEV(FILTER('__flatlist__'!D$2:D1009,('__flatlist__'!$A$2:$A1009=$A44)))"),"#N/A")</f>
        <v>#N/A</v>
      </c>
      <c r="E44" s="32" t="str">
        <f>IFERROR(__xludf.DUMMYFUNCTION("STDEV(FILTER('__flatlist__'!E$2:E1009,('__flatlist__'!$A$2:$A1009=$A44)))"),"#N/A")</f>
        <v>#N/A</v>
      </c>
      <c r="F44" s="32" t="str">
        <f>IFERROR(__xludf.DUMMYFUNCTION("STDEV(FILTER('__flatlist__'!F$2:F1009,('__flatlist__'!$A$2:$A1009=$A44)))"),"#N/A")</f>
        <v>#N/A</v>
      </c>
      <c r="G44" s="32" t="str">
        <f>IFERROR(__xludf.DUMMYFUNCTION("STDEV(FILTER('__flatlist__'!G$2:G1009,('__flatlist__'!$A$2:$A1009=$A44)))"),"#N/A")</f>
        <v>#N/A</v>
      </c>
      <c r="H44" s="32" t="str">
        <f>IFERROR(__xludf.DUMMYFUNCTION("STDEV(FILTER('__flatlist__'!H$2:H1009,('__flatlist__'!$A$2:$A1009=$A44)))"),"#N/A")</f>
        <v>#N/A</v>
      </c>
      <c r="I44" s="42" t="str">
        <f>IFERROR(__xludf.DUMMYFUNCTION("STDEV(FILTER('__flatlist__'!I$2:I1009,('__flatlist__'!$A$2:$A1009=$A44)))"),"#N/A")</f>
        <v>#N/A</v>
      </c>
      <c r="M44" s="4"/>
      <c r="N44" s="11"/>
    </row>
    <row r="45" hidden="1">
      <c r="A45" s="43" t="str">
        <f t="shared" si="6"/>
        <v>#REF!</v>
      </c>
      <c r="B45" s="6"/>
      <c r="D45" s="8" t="str">
        <f>IFERROR(__xludf.DUMMYFUNCTION("STDEV(FILTER('__flatlist__'!D$2:D1009,('__flatlist__'!$A$2:$A1009=$A45)))"),"#N/A")</f>
        <v>#N/A</v>
      </c>
      <c r="E45" s="11" t="str">
        <f>IFERROR(__xludf.DUMMYFUNCTION("STDEV(FILTER('__flatlist__'!E$2:E1009,('__flatlist__'!$A$2:$A1009=$A45)))"),"#N/A")</f>
        <v>#N/A</v>
      </c>
      <c r="F45" s="11" t="str">
        <f>IFERROR(__xludf.DUMMYFUNCTION("STDEV(FILTER('__flatlist__'!F$2:F1009,('__flatlist__'!$A$2:$A1009=$A45)))"),"#N/A")</f>
        <v>#N/A</v>
      </c>
      <c r="G45" s="11" t="str">
        <f>IFERROR(__xludf.DUMMYFUNCTION("STDEV(FILTER('__flatlist__'!G$2:G1009,('__flatlist__'!$A$2:$A1009=$A45)))"),"#N/A")</f>
        <v>#N/A</v>
      </c>
      <c r="H45" s="11" t="str">
        <f>IFERROR(__xludf.DUMMYFUNCTION("STDEV(FILTER('__flatlist__'!H$2:H1009,('__flatlist__'!$A$2:$A1009=$A45)))"),"#N/A")</f>
        <v>#N/A</v>
      </c>
      <c r="I45" s="44" t="str">
        <f>IFERROR(__xludf.DUMMYFUNCTION("STDEV(FILTER('__flatlist__'!I$2:I1009,('__flatlist__'!$A$2:$A1009=$A45)))"),"#N/A")</f>
        <v>#N/A</v>
      </c>
      <c r="M45" s="4"/>
      <c r="N45" s="11"/>
    </row>
    <row r="46" hidden="1">
      <c r="A46" s="43" t="str">
        <f t="shared" si="6"/>
        <v>#REF!</v>
      </c>
      <c r="B46" s="6"/>
      <c r="D46" s="8" t="str">
        <f>IFERROR(__xludf.DUMMYFUNCTION("STDEV(FILTER('__flatlist__'!D$2:D1009,('__flatlist__'!$A$2:$A1009=$A46)))"),"#N/A")</f>
        <v>#N/A</v>
      </c>
      <c r="E46" s="11" t="str">
        <f>IFERROR(__xludf.DUMMYFUNCTION("STDEV(FILTER('__flatlist__'!E$2:E1009,('__flatlist__'!$A$2:$A1009=$A46)))"),"#N/A")</f>
        <v>#N/A</v>
      </c>
      <c r="F46" s="11" t="str">
        <f>IFERROR(__xludf.DUMMYFUNCTION("STDEV(FILTER('__flatlist__'!F$2:F1009,('__flatlist__'!$A$2:$A1009=$A46)))"),"#N/A")</f>
        <v>#N/A</v>
      </c>
      <c r="G46" s="11" t="str">
        <f>IFERROR(__xludf.DUMMYFUNCTION("STDEV(FILTER('__flatlist__'!G$2:G1009,('__flatlist__'!$A$2:$A1009=$A46)))"),"#N/A")</f>
        <v>#N/A</v>
      </c>
      <c r="H46" s="11" t="str">
        <f>IFERROR(__xludf.DUMMYFUNCTION("STDEV(FILTER('__flatlist__'!H$2:H1009,('__flatlist__'!$A$2:$A1009=$A46)))"),"#N/A")</f>
        <v>#N/A</v>
      </c>
      <c r="I46" s="44" t="str">
        <f>IFERROR(__xludf.DUMMYFUNCTION("STDEV(FILTER('__flatlist__'!I$2:I1009,('__flatlist__'!$A$2:$A1009=$A46)))"),"#N/A")</f>
        <v>#N/A</v>
      </c>
      <c r="M46" s="4"/>
      <c r="N46" s="11"/>
    </row>
    <row r="47" hidden="1">
      <c r="A47" s="43" t="str">
        <f t="shared" si="6"/>
        <v>#REF!</v>
      </c>
      <c r="B47" s="6"/>
      <c r="D47" s="8" t="str">
        <f>IFERROR(__xludf.DUMMYFUNCTION("STDEV(FILTER('__flatlist__'!D$2:D1009,('__flatlist__'!$A$2:$A1009=$A47)))"),"#N/A")</f>
        <v>#N/A</v>
      </c>
      <c r="E47" s="11" t="str">
        <f>IFERROR(__xludf.DUMMYFUNCTION("STDEV(FILTER('__flatlist__'!E$2:E1009,('__flatlist__'!$A$2:$A1009=$A47)))"),"#N/A")</f>
        <v>#N/A</v>
      </c>
      <c r="F47" s="11" t="str">
        <f>IFERROR(__xludf.DUMMYFUNCTION("STDEV(FILTER('__flatlist__'!F$2:F1009,('__flatlist__'!$A$2:$A1009=$A47)))"),"#N/A")</f>
        <v>#N/A</v>
      </c>
      <c r="G47" s="11" t="str">
        <f>IFERROR(__xludf.DUMMYFUNCTION("STDEV(FILTER('__flatlist__'!G$2:G1009,('__flatlist__'!$A$2:$A1009=$A47)))"),"#N/A")</f>
        <v>#N/A</v>
      </c>
      <c r="H47" s="11" t="str">
        <f>IFERROR(__xludf.DUMMYFUNCTION("STDEV(FILTER('__flatlist__'!H$2:H1009,('__flatlist__'!$A$2:$A1009=$A47)))"),"#N/A")</f>
        <v>#N/A</v>
      </c>
      <c r="I47" s="44" t="str">
        <f>IFERROR(__xludf.DUMMYFUNCTION("STDEV(FILTER('__flatlist__'!I$2:I1009,('__flatlist__'!$A$2:$A1009=$A47)))"),"#N/A")</f>
        <v>#N/A</v>
      </c>
      <c r="M47" s="4"/>
      <c r="N47" s="11"/>
    </row>
    <row r="48" hidden="1">
      <c r="A48" s="43" t="str">
        <f t="shared" si="6"/>
        <v>#REF!</v>
      </c>
      <c r="B48" s="6"/>
      <c r="D48" s="8" t="str">
        <f>IFERROR(__xludf.DUMMYFUNCTION("STDEV(FILTER('__flatlist__'!D$2:D1009,('__flatlist__'!$A$2:$A1009=$A48)))"),"#N/A")</f>
        <v>#N/A</v>
      </c>
      <c r="E48" s="11" t="str">
        <f>IFERROR(__xludf.DUMMYFUNCTION("STDEV(FILTER('__flatlist__'!E$2:E1009,('__flatlist__'!$A$2:$A1009=$A48)))"),"#N/A")</f>
        <v>#N/A</v>
      </c>
      <c r="F48" s="11" t="str">
        <f>IFERROR(__xludf.DUMMYFUNCTION("STDEV(FILTER('__flatlist__'!F$2:F1009,('__flatlist__'!$A$2:$A1009=$A48)))"),"#N/A")</f>
        <v>#N/A</v>
      </c>
      <c r="G48" s="11" t="str">
        <f>IFERROR(__xludf.DUMMYFUNCTION("STDEV(FILTER('__flatlist__'!G$2:G1009,('__flatlist__'!$A$2:$A1009=$A48)))"),"#N/A")</f>
        <v>#N/A</v>
      </c>
      <c r="H48" s="11" t="str">
        <f>IFERROR(__xludf.DUMMYFUNCTION("STDEV(FILTER('__flatlist__'!H$2:H1009,('__flatlist__'!$A$2:$A1009=$A48)))"),"#N/A")</f>
        <v>#N/A</v>
      </c>
      <c r="I48" s="44" t="str">
        <f>IFERROR(__xludf.DUMMYFUNCTION("STDEV(FILTER('__flatlist__'!I$2:I1009,('__flatlist__'!$A$2:$A1009=$A48)))"),"#N/A")</f>
        <v>#N/A</v>
      </c>
      <c r="M48" s="4"/>
      <c r="N48" s="11"/>
    </row>
    <row r="49" hidden="1">
      <c r="A49" s="43" t="str">
        <f t="shared" si="6"/>
        <v>#REF!</v>
      </c>
      <c r="B49" s="6"/>
      <c r="D49" s="8" t="str">
        <f>IFERROR(__xludf.DUMMYFUNCTION("STDEV(FILTER('__flatlist__'!D$2:D1009,('__flatlist__'!$A$2:$A1009=$A49)))"),"#N/A")</f>
        <v>#N/A</v>
      </c>
      <c r="E49" s="11" t="str">
        <f>IFERROR(__xludf.DUMMYFUNCTION("STDEV(FILTER('__flatlist__'!E$2:E1009,('__flatlist__'!$A$2:$A1009=$A49)))"),"#N/A")</f>
        <v>#N/A</v>
      </c>
      <c r="F49" s="11" t="str">
        <f>IFERROR(__xludf.DUMMYFUNCTION("STDEV(FILTER('__flatlist__'!F$2:F1009,('__flatlist__'!$A$2:$A1009=$A49)))"),"#N/A")</f>
        <v>#N/A</v>
      </c>
      <c r="G49" s="11" t="str">
        <f>IFERROR(__xludf.DUMMYFUNCTION("STDEV(FILTER('__flatlist__'!G$2:G1009,('__flatlist__'!$A$2:$A1009=$A49)))"),"#N/A")</f>
        <v>#N/A</v>
      </c>
      <c r="H49" s="11" t="str">
        <f>IFERROR(__xludf.DUMMYFUNCTION("STDEV(FILTER('__flatlist__'!H$2:H1009,('__flatlist__'!$A$2:$A1009=$A49)))"),"#N/A")</f>
        <v>#N/A</v>
      </c>
      <c r="I49" s="44" t="str">
        <f>IFERROR(__xludf.DUMMYFUNCTION("STDEV(FILTER('__flatlist__'!I$2:I1009,('__flatlist__'!$A$2:$A1009=$A49)))"),"#N/A")</f>
        <v>#N/A</v>
      </c>
      <c r="M49" s="4"/>
      <c r="N49" s="11"/>
    </row>
    <row r="50" hidden="1">
      <c r="A50" s="43" t="str">
        <f t="shared" si="6"/>
        <v>#REF!</v>
      </c>
      <c r="B50" s="6"/>
      <c r="D50" s="8" t="str">
        <f>IFERROR(__xludf.DUMMYFUNCTION("STDEV(FILTER('__flatlist__'!D$2:D1009,('__flatlist__'!$A$2:$A1009=$A50)))"),"#N/A")</f>
        <v>#N/A</v>
      </c>
      <c r="E50" s="11" t="str">
        <f>IFERROR(__xludf.DUMMYFUNCTION("STDEV(FILTER('__flatlist__'!E$2:E1009,('__flatlist__'!$A$2:$A1009=$A50)))"),"#N/A")</f>
        <v>#N/A</v>
      </c>
      <c r="F50" s="11" t="str">
        <f>IFERROR(__xludf.DUMMYFUNCTION("STDEV(FILTER('__flatlist__'!F$2:F1009,('__flatlist__'!$A$2:$A1009=$A50)))"),"#N/A")</f>
        <v>#N/A</v>
      </c>
      <c r="G50" s="11" t="str">
        <f>IFERROR(__xludf.DUMMYFUNCTION("STDEV(FILTER('__flatlist__'!G$2:G1009,('__flatlist__'!$A$2:$A1009=$A50)))"),"#N/A")</f>
        <v>#N/A</v>
      </c>
      <c r="H50" s="11" t="str">
        <f>IFERROR(__xludf.DUMMYFUNCTION("STDEV(FILTER('__flatlist__'!H$2:H1009,('__flatlist__'!$A$2:$A1009=$A50)))"),"#N/A")</f>
        <v>#N/A</v>
      </c>
      <c r="I50" s="44" t="str">
        <f>IFERROR(__xludf.DUMMYFUNCTION("STDEV(FILTER('__flatlist__'!I$2:I1009,('__flatlist__'!$A$2:$A1009=$A50)))"),"#N/A")</f>
        <v>#N/A</v>
      </c>
      <c r="M50" s="4"/>
      <c r="N50" s="11"/>
    </row>
    <row r="51" hidden="1">
      <c r="A51" s="43" t="str">
        <f t="shared" si="6"/>
        <v>#REF!</v>
      </c>
      <c r="B51" s="6"/>
      <c r="D51" s="8" t="str">
        <f>IFERROR(__xludf.DUMMYFUNCTION("STDEV(FILTER('__flatlist__'!D$2:D1009,('__flatlist__'!$A$2:$A1009=$A51)))"),"#N/A")</f>
        <v>#N/A</v>
      </c>
      <c r="E51" s="11" t="str">
        <f>IFERROR(__xludf.DUMMYFUNCTION("STDEV(FILTER('__flatlist__'!E$2:E1009,('__flatlist__'!$A$2:$A1009=$A51)))"),"#N/A")</f>
        <v>#N/A</v>
      </c>
      <c r="F51" s="11" t="str">
        <f>IFERROR(__xludf.DUMMYFUNCTION("STDEV(FILTER('__flatlist__'!F$2:F1009,('__flatlist__'!$A$2:$A1009=$A51)))"),"#N/A")</f>
        <v>#N/A</v>
      </c>
      <c r="G51" s="11" t="str">
        <f>IFERROR(__xludf.DUMMYFUNCTION("STDEV(FILTER('__flatlist__'!G$2:G1009,('__flatlist__'!$A$2:$A1009=$A51)))"),"#N/A")</f>
        <v>#N/A</v>
      </c>
      <c r="H51" s="11" t="str">
        <f>IFERROR(__xludf.DUMMYFUNCTION("STDEV(FILTER('__flatlist__'!H$2:H1009,('__flatlist__'!$A$2:$A1009=$A51)))"),"#N/A")</f>
        <v>#N/A</v>
      </c>
      <c r="I51" s="44" t="str">
        <f>IFERROR(__xludf.DUMMYFUNCTION("STDEV(FILTER('__flatlist__'!I$2:I1009,('__flatlist__'!$A$2:$A1009=$A51)))"),"#N/A")</f>
        <v>#N/A</v>
      </c>
      <c r="M51" s="4"/>
      <c r="N51" s="11"/>
    </row>
    <row r="52" hidden="1">
      <c r="A52" s="43" t="str">
        <f t="shared" si="6"/>
        <v>#REF!</v>
      </c>
      <c r="B52" s="6"/>
      <c r="D52" s="8" t="str">
        <f>IFERROR(__xludf.DUMMYFUNCTION("STDEV(FILTER('__flatlist__'!D$2:D1009,('__flatlist__'!$A$2:$A1009=$A52)))"),"#N/A")</f>
        <v>#N/A</v>
      </c>
      <c r="E52" s="11" t="str">
        <f>IFERROR(__xludf.DUMMYFUNCTION("STDEV(FILTER('__flatlist__'!E$2:E1009,('__flatlist__'!$A$2:$A1009=$A52)))"),"#N/A")</f>
        <v>#N/A</v>
      </c>
      <c r="F52" s="11" t="str">
        <f>IFERROR(__xludf.DUMMYFUNCTION("STDEV(FILTER('__flatlist__'!F$2:F1009,('__flatlist__'!$A$2:$A1009=$A52)))"),"#N/A")</f>
        <v>#N/A</v>
      </c>
      <c r="G52" s="11" t="str">
        <f>IFERROR(__xludf.DUMMYFUNCTION("STDEV(FILTER('__flatlist__'!G$2:G1009,('__flatlist__'!$A$2:$A1009=$A52)))"),"#N/A")</f>
        <v>#N/A</v>
      </c>
      <c r="H52" s="11" t="str">
        <f>IFERROR(__xludf.DUMMYFUNCTION("STDEV(FILTER('__flatlist__'!H$2:H1009,('__flatlist__'!$A$2:$A1009=$A52)))"),"#N/A")</f>
        <v>#N/A</v>
      </c>
      <c r="I52" s="44" t="str">
        <f>IFERROR(__xludf.DUMMYFUNCTION("STDEV(FILTER('__flatlist__'!I$2:I1009,('__flatlist__'!$A$2:$A1009=$A52)))"),"#N/A")</f>
        <v>#N/A</v>
      </c>
      <c r="M52" s="4"/>
      <c r="N52" s="11"/>
    </row>
    <row r="53" hidden="1">
      <c r="A53" s="45" t="str">
        <f t="shared" si="6"/>
        <v>#REF!</v>
      </c>
      <c r="B53" s="20"/>
      <c r="C53" s="21"/>
      <c r="D53" s="22" t="str">
        <f>IFERROR(__xludf.DUMMYFUNCTION("STDEV(FILTER('__flatlist__'!D$2:D1009,('__flatlist__'!$A$2:$A1009=$A53)))"),"#N/A")</f>
        <v>#N/A</v>
      </c>
      <c r="E53" s="36" t="str">
        <f>IFERROR(__xludf.DUMMYFUNCTION("STDEV(FILTER('__flatlist__'!E$2:E1009,('__flatlist__'!$A$2:$A1009=$A53)))"),"#N/A")</f>
        <v>#N/A</v>
      </c>
      <c r="F53" s="36" t="str">
        <f>IFERROR(__xludf.DUMMYFUNCTION("STDEV(FILTER('__flatlist__'!F$2:F1009,('__flatlist__'!$A$2:$A1009=$A53)))"),"#N/A")</f>
        <v>#N/A</v>
      </c>
      <c r="G53" s="36" t="str">
        <f>IFERROR(__xludf.DUMMYFUNCTION("STDEV(FILTER('__flatlist__'!G$2:G1009,('__flatlist__'!$A$2:$A1009=$A53)))"),"#N/A")</f>
        <v>#N/A</v>
      </c>
      <c r="H53" s="36" t="str">
        <f>IFERROR(__xludf.DUMMYFUNCTION("STDEV(FILTER('__flatlist__'!H$2:H1009,('__flatlist__'!$A$2:$A1009=$A53)))"),"#N/A")</f>
        <v>#N/A</v>
      </c>
      <c r="I53" s="46" t="str">
        <f>IFERROR(__xludf.DUMMYFUNCTION("STDEV(FILTER('__flatlist__'!I$2:I1009,('__flatlist__'!$A$2:$A1009=$A53)))"),"#N/A")</f>
        <v>#N/A</v>
      </c>
      <c r="M53" s="4"/>
      <c r="N53" s="11"/>
    </row>
    <row r="54">
      <c r="A54" s="24"/>
      <c r="B54" s="6" t="s">
        <v>20</v>
      </c>
      <c r="D54" s="8">
        <f>IFERROR(__xludf.DUMMYFUNCTION("STDEV(FILTER('__flatlist__'!D$2:D1009,('__flatlist__'!$B$2:$B1009=$B54)))"),0.05396582452264002)</f>
        <v>0.05396582452</v>
      </c>
      <c r="E54" s="11">
        <f>IFERROR(__xludf.DUMMYFUNCTION("STDEV(FILTER('__flatlist__'!E$2:E1009,('__flatlist__'!$B$2:$B1009=$B54)))"),1.0894228312566052)</f>
        <v>1.089422831</v>
      </c>
      <c r="F54" s="11">
        <f>IFERROR(__xludf.DUMMYFUNCTION("STDEV(FILTER('__flatlist__'!F$2:F1009,('__flatlist__'!$B$2:$B1009=$B54)))"),0.3663475485325235)</f>
        <v>0.3663475485</v>
      </c>
      <c r="G54" s="11">
        <f>IFERROR(__xludf.DUMMYFUNCTION("STDEV(FILTER('__flatlist__'!G$2:G1009,('__flatlist__'!$B$2:$B1009=$B54)))"),1.6189665319514628)</f>
        <v>1.618966532</v>
      </c>
      <c r="H54" s="11">
        <f>IFERROR(__xludf.DUMMYFUNCTION("STDEV(FILTER('__flatlist__'!H$2:H1009,('__flatlist__'!$B$2:$B1009=$B54)))"),0.223606797749979)</f>
        <v>0.2236067977</v>
      </c>
      <c r="I54" s="44">
        <f>IFERROR(__xludf.DUMMYFUNCTION("STDEV(FILTER('__flatlist__'!I$2:I1009,('__flatlist__'!$B$2:$B1009=$B54)))"),0.998683343734455)</f>
        <v>0.9986833437</v>
      </c>
      <c r="M54" s="4"/>
      <c r="N54" s="11"/>
    </row>
    <row r="55">
      <c r="A55" s="24"/>
      <c r="B55" s="6" t="s">
        <v>24</v>
      </c>
      <c r="D55" s="8">
        <f>IFERROR(__xludf.DUMMYFUNCTION("STDEV(FILTER('__flatlist__'!D$2:D1009,('__flatlist__'!$B$2:$B1009=$B55)))"),0.14388354245604915)</f>
        <v>0.1438835425</v>
      </c>
      <c r="E55" s="11">
        <f>IFERROR(__xludf.DUMMYFUNCTION("STDEV(FILTER('__flatlist__'!E$2:E1009,('__flatlist__'!$B$2:$B1009=$B55)))"),0.7591546545162482)</f>
        <v>0.7591546545</v>
      </c>
      <c r="F55" s="11">
        <f>IFERROR(__xludf.DUMMYFUNCTION("STDEV(FILTER('__flatlist__'!F$2:F1009,('__flatlist__'!$B$2:$B1009=$B55)))"),0.550119604220181)</f>
        <v>0.5501196042</v>
      </c>
      <c r="G55" s="11">
        <f>IFERROR(__xludf.DUMMYFUNCTION("STDEV(FILTER('__flatlist__'!G$2:G1009,('__flatlist__'!$B$2:$B1009=$B55)))"),0.910465468000326)</f>
        <v>0.910465468</v>
      </c>
      <c r="H55" s="11">
        <f>IFERROR(__xludf.DUMMYFUNCTION("STDEV(FILTER('__flatlist__'!H$2:H1009,('__flatlist__'!$B$2:$B1009=$B55)))"),0.6155870112510924)</f>
        <v>0.6155870113</v>
      </c>
      <c r="I55" s="44">
        <f>IFERROR(__xludf.DUMMYFUNCTION("STDEV(FILTER('__flatlist__'!I$2:I1009,('__flatlist__'!$B$2:$B1009=$B55)))"),1.1285761872936695)</f>
        <v>1.128576187</v>
      </c>
      <c r="M55" s="4"/>
      <c r="N55" s="11"/>
    </row>
    <row r="56">
      <c r="A56" s="24"/>
      <c r="B56" s="6" t="s">
        <v>25</v>
      </c>
      <c r="D56" s="8">
        <f>IFERROR(__xludf.DUMMYFUNCTION("STDEV(FILTER('__flatlist__'!D$2:D1009,('__flatlist__'!$B$2:$B1009=$B56)))"),0.11241841363916211)</f>
        <v>0.1124184136</v>
      </c>
      <c r="E56" s="11">
        <f>IFERROR(__xludf.DUMMYFUNCTION("STDEV(FILTER('__flatlist__'!E$2:E1009,('__flatlist__'!$B$2:$B1009=$B56)))"),0.6048053188292994)</f>
        <v>0.6048053188</v>
      </c>
      <c r="F56" s="11">
        <f>IFERROR(__xludf.DUMMYFUNCTION("STDEV(FILTER('__flatlist__'!F$2:F1009,('__flatlist__'!$B$2:$B1009=$B56)))"),0.3663475485325234)</f>
        <v>0.3663475485</v>
      </c>
      <c r="G56" s="11">
        <f>IFERROR(__xludf.DUMMYFUNCTION("STDEV(FILTER('__flatlist__'!G$2:G1009,('__flatlist__'!$B$2:$B1009=$B56)))"),0.0)</f>
        <v>0</v>
      </c>
      <c r="H56" s="11">
        <f>IFERROR(__xludf.DUMMYFUNCTION("STDEV(FILTER('__flatlist__'!H$2:H1009,('__flatlist__'!$B$2:$B1009=$B56)))"),0.7591546545162482)</f>
        <v>0.7591546545</v>
      </c>
      <c r="I56" s="44">
        <f>IFERROR(__xludf.DUMMYFUNCTION("STDEV(FILTER('__flatlist__'!I$2:I1009,('__flatlist__'!$B$2:$B1009=$B56)))"),0.9233805168766387)</f>
        <v>0.9233805169</v>
      </c>
      <c r="M56" s="4"/>
      <c r="N56" s="11"/>
    </row>
    <row r="57">
      <c r="A57" s="6"/>
      <c r="B57" s="6" t="s">
        <v>26</v>
      </c>
      <c r="D57" s="8">
        <f>IFERROR(__xludf.DUMMYFUNCTION("STDEV(FILTER('__flatlist__'!D$2:D1009,('__flatlist__'!$B$2:$B1009=$B57)))"),0.10653313827981506)</f>
        <v>0.1065331383</v>
      </c>
      <c r="E57" s="11">
        <f>IFERROR(__xludf.DUMMYFUNCTION("STDEV(FILTER('__flatlist__'!E$2:E1009,('__flatlist__'!$B$2:$B1009=$B57)))"),0.6569466853317862)</f>
        <v>0.6569466853</v>
      </c>
      <c r="F57" s="11">
        <f>IFERROR(__xludf.DUMMYFUNCTION("STDEV(FILTER('__flatlist__'!F$2:F1009,('__flatlist__'!$B$2:$B1009=$B57)))"),0.6805570473787205)</f>
        <v>0.6805570474</v>
      </c>
      <c r="G57" s="11">
        <f>IFERROR(__xludf.DUMMYFUNCTION("STDEV(FILTER('__flatlist__'!G$2:G1009,('__flatlist__'!$B$2:$B1009=$B57)))"),0.48936048492959283)</f>
        <v>0.4893604849</v>
      </c>
      <c r="H57" s="11">
        <f>IFERROR(__xludf.DUMMYFUNCTION("STDEV(FILTER('__flatlist__'!H$2:H1009,('__flatlist__'!$B$2:$B1009=$B57)))"),0.44426165831931913)</f>
        <v>0.4442616583</v>
      </c>
      <c r="I57" s="44">
        <f>IFERROR(__xludf.DUMMYFUNCTION("STDEV(FILTER('__flatlist__'!I$2:I1009,('__flatlist__'!$B$2:$B1009=$B57)))"),1.0711528467275953)</f>
        <v>1.071152847</v>
      </c>
      <c r="M57" s="4"/>
      <c r="N57" s="11"/>
    </row>
    <row r="58">
      <c r="A58" s="24"/>
      <c r="B58" s="6" t="s">
        <v>27</v>
      </c>
      <c r="D58" s="8">
        <f>IFERROR(__xludf.DUMMYFUNCTION("STDEV(FILTER('__flatlist__'!D$2:D1009,('__flatlist__'!$B$2:$B1009=$B58)))"),0.09726385447961172)</f>
        <v>0.09726385448</v>
      </c>
      <c r="E58" s="11">
        <f>IFERROR(__xludf.DUMMYFUNCTION("STDEV(FILTER('__flatlist__'!E$2:E1009,('__flatlist__'!$B$2:$B1009=$B58)))"),0.9119095061289915)</f>
        <v>0.9119095061</v>
      </c>
      <c r="F58" s="11">
        <f>IFERROR(__xludf.DUMMYFUNCTION("STDEV(FILTER('__flatlist__'!F$2:F1009,('__flatlist__'!$B$2:$B1009=$B58)))"),0.3077935056255463)</f>
        <v>0.3077935056</v>
      </c>
      <c r="G58" s="11">
        <f>IFERROR(__xludf.DUMMYFUNCTION("STDEV(FILTER('__flatlist__'!G$2:G1009,('__flatlist__'!$B$2:$B1009=$B58)))"),0.3663475485325235)</f>
        <v>0.3663475485</v>
      </c>
      <c r="H58" s="11">
        <f>IFERROR(__xludf.DUMMYFUNCTION("STDEV(FILTER('__flatlist__'!H$2:H1009,('__flatlist__'!$B$2:$B1009=$B58)))"),0.7947194142390261)</f>
        <v>0.7947194142</v>
      </c>
      <c r="I58" s="44">
        <f>IFERROR(__xludf.DUMMYFUNCTION("STDEV(FILTER('__flatlist__'!I$2:I1009,('__flatlist__'!$B$2:$B1009=$B58)))"),0.9445132413883325)</f>
        <v>0.9445132414</v>
      </c>
      <c r="M58" s="4"/>
      <c r="N58" s="11"/>
    </row>
    <row r="59">
      <c r="A59" s="28"/>
      <c r="B59" s="29"/>
      <c r="C59" s="30" t="s">
        <v>21</v>
      </c>
      <c r="D59" s="31">
        <f>IFERROR(__xludf.DUMMYFUNCTION("STDEV(FILTER('__flatlist__'!D$2:D1009,('__flatlist__'!$C$2:$C1009=$C59)))"),0.07748866231249087)</f>
        <v>0.07748866231</v>
      </c>
      <c r="E59" s="32">
        <f>IFERROR(__xludf.DUMMYFUNCTION("STDEV(FILTER('__flatlist__'!E$2:E1009,('__flatlist__'!$C$2:$C1009=$C59)))"),0.916515138991168)</f>
        <v>0.916515139</v>
      </c>
      <c r="F59" s="32">
        <f>IFERROR(__xludf.DUMMYFUNCTION("STDEV(FILTER('__flatlist__'!F$2:F1009,('__flatlist__'!$C$2:$C1009=$C59)))"),0.5567764362830022)</f>
        <v>0.5567764363</v>
      </c>
      <c r="G59" s="32">
        <f>IFERROR(__xludf.DUMMYFUNCTION("STDEV(FILTER('__flatlist__'!G$2:G1009,('__flatlist__'!$C$2:$C1009=$C59)))"),0.4082482904638631)</f>
        <v>0.4082482905</v>
      </c>
      <c r="H59" s="32">
        <f>IFERROR(__xludf.DUMMYFUNCTION("STDEV(FILTER('__flatlist__'!H$2:H1009,('__flatlist__'!$C$2:$C1009=$C59)))"),0.8103497187428812)</f>
        <v>0.8103497187</v>
      </c>
      <c r="I59" s="42">
        <f>IFERROR(__xludf.DUMMYFUNCTION("STDEV(FILTER('__flatlist__'!I$2:I1009,('__flatlist__'!$C$2:$C1009=$C59)))"),1.0279429296739515)</f>
        <v>1.02794293</v>
      </c>
      <c r="M59" s="4"/>
      <c r="N59" s="11"/>
    </row>
    <row r="60">
      <c r="A60" s="33"/>
      <c r="C60" s="7" t="s">
        <v>22</v>
      </c>
      <c r="D60" s="8">
        <f>IFERROR(__xludf.DUMMYFUNCTION("STDEV(FILTER('__flatlist__'!D$2:D1009,('__flatlist__'!$C$2:$C1009=$C60)))"),0.07431404125192584)</f>
        <v>0.07431404125</v>
      </c>
      <c r="E60" s="11">
        <f>IFERROR(__xludf.DUMMYFUNCTION("STDEV(FILTER('__flatlist__'!E$2:E1009,('__flatlist__'!$C$2:$C1009=$C60)))"),0.866025403784439)</f>
        <v>0.8660254038</v>
      </c>
      <c r="F60" s="11">
        <f>IFERROR(__xludf.DUMMYFUNCTION("STDEV(FILTER('__flatlist__'!F$2:F1009,('__flatlist__'!$C$2:$C1009=$C60)))"),0.5567764362830024)</f>
        <v>0.5567764363</v>
      </c>
      <c r="G60" s="11">
        <f>IFERROR(__xludf.DUMMYFUNCTION("STDEV(FILTER('__flatlist__'!G$2:G1009,('__flatlist__'!$C$2:$C1009=$C60)))"),0.2)</f>
        <v>0.2</v>
      </c>
      <c r="H60" s="11">
        <f>IFERROR(__xludf.DUMMYFUNCTION("STDEV(FILTER('__flatlist__'!H$2:H1009,('__flatlist__'!$C$2:$C1009=$C60)))"),0.7234178138070236)</f>
        <v>0.7234178138</v>
      </c>
      <c r="I60" s="44">
        <f>IFERROR(__xludf.DUMMYFUNCTION("STDEV(FILTER('__flatlist__'!I$2:I1009,('__flatlist__'!$C$2:$C1009=$C60)))"),0.9999999999999999)</f>
        <v>1</v>
      </c>
      <c r="M60" s="4"/>
      <c r="N60" s="11"/>
    </row>
    <row r="61">
      <c r="A61" s="33"/>
      <c r="C61" s="7" t="s">
        <v>8</v>
      </c>
      <c r="D61" s="8">
        <f>IFERROR(__xludf.DUMMYFUNCTION("STDEV(FILTER('__flatlist__'!D$2:D1009,('__flatlist__'!$C$2:$C1009=$C61)))"),0.1513613595719722)</f>
        <v>0.1513613596</v>
      </c>
      <c r="E61" s="11">
        <f>IFERROR(__xludf.DUMMYFUNCTION("STDEV(FILTER('__flatlist__'!E$2:E1009,('__flatlist__'!$C$2:$C1009=$C61)))"),0.7141428428542852)</f>
        <v>0.7141428429</v>
      </c>
      <c r="F61" s="11">
        <f>IFERROR(__xludf.DUMMYFUNCTION("STDEV(FILTER('__flatlist__'!F$2:F1009,('__flatlist__'!$C$2:$C1009=$C61)))"),0.4358898943540672)</f>
        <v>0.4358898944</v>
      </c>
      <c r="G61" s="11">
        <f>IFERROR(__xludf.DUMMYFUNCTION("STDEV(FILTER('__flatlist__'!G$2:G1009,('__flatlist__'!$C$2:$C1009=$C61)))"),0.19999999999999996)</f>
        <v>0.2</v>
      </c>
      <c r="H61" s="11">
        <f>IFERROR(__xludf.DUMMYFUNCTION("STDEV(FILTER('__flatlist__'!H$2:H1009,('__flatlist__'!$C$2:$C1009=$C61)))"),0.5099019513592784)</f>
        <v>0.5099019514</v>
      </c>
      <c r="I61" s="44">
        <f>IFERROR(__xludf.DUMMYFUNCTION("STDEV(FILTER('__flatlist__'!I$2:I1009,('__flatlist__'!$C$2:$C1009=$C61)))"),0.4082482904638631)</f>
        <v>0.4082482905</v>
      </c>
      <c r="M61" s="4"/>
      <c r="N61" s="11"/>
    </row>
    <row r="62">
      <c r="A62" s="34"/>
      <c r="B62" s="21"/>
      <c r="C62" s="35" t="s">
        <v>23</v>
      </c>
      <c r="D62" s="22">
        <f>IFERROR(__xludf.DUMMYFUNCTION("STDEV(FILTER('__flatlist__'!D$2:D1009,('__flatlist__'!$C$2:$C1009=$C62)))"),0.07383456321408889)</f>
        <v>0.07383456321</v>
      </c>
      <c r="E62" s="36">
        <f>IFERROR(__xludf.DUMMYFUNCTION("STDEV(FILTER('__flatlist__'!E$2:E1009,('__flatlist__'!$C$2:$C1009=$C62)))"),0.9609023536933048)</f>
        <v>0.9609023537</v>
      </c>
      <c r="F62" s="36">
        <f>IFERROR(__xludf.DUMMYFUNCTION("STDEV(FILTER('__flatlist__'!F$2:F1009,('__flatlist__'!$C$2:$C1009=$C62)))"),0.439696865275764)</f>
        <v>0.4396968653</v>
      </c>
      <c r="G62" s="36">
        <f>IFERROR(__xludf.DUMMYFUNCTION("STDEV(FILTER('__flatlist__'!G$2:G1009,('__flatlist__'!$C$2:$C1009=$C62)))"),1.6411378166788229)</f>
        <v>1.641137817</v>
      </c>
      <c r="H62" s="36">
        <f>IFERROR(__xludf.DUMMYFUNCTION("STDEV(FILTER('__flatlist__'!H$2:H1009,('__flatlist__'!$C$2:$C1009=$C62)))"),0.6506407098647713)</f>
        <v>0.6506407099</v>
      </c>
      <c r="I62" s="46">
        <f>IFERROR(__xludf.DUMMYFUNCTION("STDEV(FILTER('__flatlist__'!I$2:I1009,('__flatlist__'!$C$2:$C1009=$C62)))"),1.0295630140987)</f>
        <v>1.029563014</v>
      </c>
      <c r="M62" s="4"/>
      <c r="N62" s="11"/>
    </row>
    <row r="63">
      <c r="M63" s="4"/>
      <c r="N63" s="11"/>
    </row>
    <row r="64">
      <c r="M64" s="4"/>
      <c r="N64" s="11"/>
    </row>
    <row r="65">
      <c r="M65" s="4"/>
      <c r="N65" s="11"/>
    </row>
    <row r="66">
      <c r="M66" s="4"/>
      <c r="N66" s="11"/>
    </row>
    <row r="67">
      <c r="D67" s="47"/>
      <c r="M67" s="4"/>
      <c r="N67" s="11"/>
    </row>
    <row r="68">
      <c r="M68" s="4"/>
      <c r="N68" s="11"/>
    </row>
    <row r="69">
      <c r="M69" s="4"/>
      <c r="N69" s="11"/>
    </row>
    <row r="70">
      <c r="M70" s="4"/>
      <c r="N70" s="11"/>
    </row>
    <row r="71">
      <c r="M71" s="4"/>
      <c r="N71" s="11"/>
    </row>
    <row r="72">
      <c r="M72" s="4"/>
      <c r="N72" s="11"/>
    </row>
    <row r="73">
      <c r="M73" s="4"/>
      <c r="N73" s="11"/>
    </row>
    <row r="74">
      <c r="M74" s="4"/>
      <c r="N74" s="11"/>
    </row>
    <row r="75">
      <c r="M75" s="4"/>
      <c r="N75" s="11"/>
    </row>
    <row r="76">
      <c r="M76" s="4"/>
      <c r="N76" s="11"/>
    </row>
    <row r="77">
      <c r="M77" s="4"/>
      <c r="N77" s="11"/>
    </row>
    <row r="78">
      <c r="M78" s="4"/>
      <c r="N78" s="11"/>
    </row>
    <row r="79">
      <c r="M79" s="4"/>
      <c r="N79" s="11"/>
    </row>
    <row r="80">
      <c r="M80" s="4"/>
      <c r="N80" s="11"/>
    </row>
    <row r="81">
      <c r="M81" s="4"/>
      <c r="N81" s="11"/>
    </row>
    <row r="82">
      <c r="M82" s="4"/>
      <c r="N82" s="11"/>
    </row>
    <row r="83">
      <c r="M83" s="4"/>
      <c r="N83" s="11"/>
    </row>
    <row r="84">
      <c r="M84" s="4"/>
      <c r="N84" s="11"/>
    </row>
    <row r="85">
      <c r="M85" s="4"/>
      <c r="N85" s="11"/>
    </row>
    <row r="86">
      <c r="M86" s="4"/>
      <c r="N86" s="11"/>
    </row>
    <row r="87">
      <c r="M87" s="4"/>
      <c r="N87" s="11"/>
    </row>
    <row r="88">
      <c r="M88" s="4"/>
      <c r="N88" s="11"/>
    </row>
    <row r="89">
      <c r="M89" s="4"/>
      <c r="N89" s="11"/>
    </row>
    <row r="90">
      <c r="M90" s="4"/>
      <c r="N90" s="11"/>
    </row>
    <row r="91">
      <c r="M91" s="4"/>
      <c r="N91" s="11"/>
    </row>
    <row r="92">
      <c r="M92" s="4"/>
      <c r="N92" s="11"/>
    </row>
    <row r="93">
      <c r="M93" s="4"/>
      <c r="N93" s="11"/>
    </row>
    <row r="94">
      <c r="M94" s="4"/>
      <c r="N94" s="11"/>
    </row>
    <row r="95">
      <c r="M95" s="4"/>
      <c r="N95" s="11"/>
    </row>
    <row r="96">
      <c r="M96" s="4"/>
      <c r="N96" s="11"/>
    </row>
    <row r="97">
      <c r="M97" s="4"/>
      <c r="N97" s="11"/>
    </row>
    <row r="98">
      <c r="M98" s="4"/>
      <c r="N98" s="11"/>
    </row>
    <row r="99">
      <c r="M99" s="4"/>
      <c r="N99" s="11"/>
    </row>
    <row r="100">
      <c r="M100" s="4"/>
      <c r="N100" s="11"/>
    </row>
    <row r="101">
      <c r="M101" s="4"/>
      <c r="N101" s="11"/>
    </row>
    <row r="102">
      <c r="M102" s="4"/>
      <c r="N102" s="11"/>
    </row>
    <row r="103">
      <c r="M103" s="4"/>
      <c r="N103" s="11"/>
    </row>
    <row r="104">
      <c r="M104" s="4"/>
      <c r="N104" s="11"/>
    </row>
    <row r="105">
      <c r="M105" s="4"/>
      <c r="N105" s="11"/>
    </row>
    <row r="106">
      <c r="M106" s="4"/>
      <c r="N106" s="11"/>
    </row>
    <row r="107">
      <c r="M107" s="4"/>
      <c r="N107" s="11"/>
    </row>
    <row r="108">
      <c r="M108" s="4"/>
      <c r="N108" s="11"/>
    </row>
    <row r="109">
      <c r="M109" s="4"/>
      <c r="N109" s="11"/>
    </row>
    <row r="110">
      <c r="M110" s="4"/>
      <c r="N110" s="11"/>
    </row>
    <row r="111">
      <c r="M111" s="4"/>
      <c r="N111" s="11"/>
    </row>
    <row r="112">
      <c r="M112" s="4"/>
      <c r="N112" s="11"/>
    </row>
    <row r="113">
      <c r="M113" s="4"/>
      <c r="N113" s="11"/>
    </row>
    <row r="114">
      <c r="M114" s="4"/>
      <c r="N114" s="11"/>
    </row>
    <row r="115">
      <c r="M115" s="4"/>
      <c r="N115" s="11"/>
    </row>
    <row r="116">
      <c r="M116" s="4"/>
      <c r="N116" s="11"/>
    </row>
    <row r="117">
      <c r="M117" s="4"/>
      <c r="N117" s="11"/>
    </row>
    <row r="118">
      <c r="M118" s="4"/>
      <c r="N118" s="11"/>
    </row>
    <row r="119">
      <c r="M119" s="4"/>
      <c r="N119" s="11"/>
    </row>
    <row r="120">
      <c r="M120" s="4"/>
      <c r="N120" s="11"/>
    </row>
    <row r="121">
      <c r="M121" s="4"/>
      <c r="N121" s="11"/>
    </row>
    <row r="122">
      <c r="M122" s="4"/>
      <c r="N122" s="11"/>
    </row>
    <row r="123">
      <c r="M123" s="4"/>
      <c r="N123" s="11"/>
    </row>
    <row r="124">
      <c r="M124" s="4"/>
      <c r="N124" s="11"/>
    </row>
    <row r="125">
      <c r="M125" s="4"/>
      <c r="N125" s="11"/>
    </row>
    <row r="126">
      <c r="M126" s="4"/>
      <c r="N126" s="11"/>
    </row>
    <row r="127">
      <c r="M127" s="4"/>
      <c r="N127" s="11"/>
    </row>
    <row r="128">
      <c r="M128" s="4"/>
      <c r="N128" s="11"/>
    </row>
    <row r="129">
      <c r="M129" s="4"/>
      <c r="N129" s="11"/>
    </row>
    <row r="130">
      <c r="M130" s="4"/>
      <c r="N130" s="11"/>
    </row>
    <row r="131">
      <c r="M131" s="4"/>
      <c r="N131" s="11"/>
    </row>
    <row r="132">
      <c r="M132" s="4"/>
      <c r="N132" s="11"/>
    </row>
    <row r="133">
      <c r="M133" s="4"/>
      <c r="N133" s="11"/>
    </row>
    <row r="134">
      <c r="M134" s="4"/>
      <c r="N134" s="11"/>
    </row>
    <row r="135">
      <c r="M135" s="4"/>
      <c r="N135" s="11"/>
    </row>
    <row r="136">
      <c r="M136" s="4"/>
      <c r="N136" s="11"/>
    </row>
    <row r="137">
      <c r="M137" s="4"/>
      <c r="N137" s="11"/>
    </row>
    <row r="138">
      <c r="M138" s="4"/>
      <c r="N138" s="11"/>
    </row>
    <row r="139">
      <c r="M139" s="4"/>
      <c r="N139" s="11"/>
    </row>
    <row r="140">
      <c r="M140" s="4"/>
      <c r="N140" s="11"/>
    </row>
    <row r="141">
      <c r="M141" s="4"/>
      <c r="N141" s="11"/>
    </row>
    <row r="142">
      <c r="M142" s="4"/>
      <c r="N142" s="11"/>
    </row>
    <row r="143">
      <c r="M143" s="4"/>
      <c r="N143" s="11"/>
    </row>
    <row r="144">
      <c r="M144" s="4"/>
      <c r="N144" s="11"/>
    </row>
    <row r="145">
      <c r="M145" s="4"/>
      <c r="N145" s="11"/>
    </row>
    <row r="146">
      <c r="M146" s="4"/>
      <c r="N146" s="11"/>
    </row>
    <row r="147">
      <c r="M147" s="4"/>
      <c r="N147" s="11"/>
    </row>
    <row r="148">
      <c r="M148" s="4"/>
      <c r="N148" s="11"/>
    </row>
    <row r="149">
      <c r="M149" s="4"/>
      <c r="N149" s="11"/>
    </row>
    <row r="150">
      <c r="M150" s="4"/>
      <c r="N150" s="11"/>
    </row>
    <row r="151">
      <c r="M151" s="4"/>
      <c r="N151" s="11"/>
    </row>
    <row r="152">
      <c r="M152" s="4"/>
      <c r="N152" s="11"/>
    </row>
    <row r="153">
      <c r="M153" s="4"/>
      <c r="N153" s="11"/>
    </row>
    <row r="154">
      <c r="M154" s="4"/>
      <c r="N154" s="11"/>
    </row>
    <row r="155">
      <c r="M155" s="4"/>
      <c r="N155" s="11"/>
    </row>
    <row r="156">
      <c r="M156" s="4"/>
      <c r="N156" s="11"/>
    </row>
    <row r="157">
      <c r="M157" s="4"/>
      <c r="N157" s="11"/>
    </row>
    <row r="158">
      <c r="M158" s="4"/>
      <c r="N158" s="11"/>
    </row>
    <row r="159">
      <c r="M159" s="4"/>
      <c r="N159" s="11"/>
    </row>
    <row r="160">
      <c r="M160" s="4"/>
      <c r="N160" s="11"/>
    </row>
    <row r="161">
      <c r="M161" s="4"/>
      <c r="N161" s="11"/>
    </row>
    <row r="162">
      <c r="M162" s="4"/>
      <c r="N162" s="11"/>
    </row>
    <row r="163">
      <c r="M163" s="4"/>
      <c r="N163" s="11"/>
    </row>
    <row r="164">
      <c r="M164" s="4"/>
      <c r="N164" s="11"/>
    </row>
    <row r="165">
      <c r="M165" s="4"/>
      <c r="N165" s="11"/>
    </row>
    <row r="166">
      <c r="M166" s="4"/>
      <c r="N166" s="11"/>
    </row>
    <row r="167">
      <c r="M167" s="4"/>
      <c r="N167" s="11"/>
    </row>
    <row r="168">
      <c r="M168" s="4"/>
      <c r="N168" s="11"/>
    </row>
    <row r="169">
      <c r="M169" s="4"/>
      <c r="N169" s="11"/>
    </row>
    <row r="170">
      <c r="M170" s="4"/>
      <c r="N170" s="11"/>
    </row>
    <row r="171">
      <c r="M171" s="4"/>
      <c r="N171" s="11"/>
    </row>
    <row r="172">
      <c r="M172" s="4"/>
      <c r="N172" s="11"/>
    </row>
    <row r="173">
      <c r="M173" s="4"/>
      <c r="N173" s="11"/>
    </row>
    <row r="174">
      <c r="M174" s="4"/>
      <c r="N174" s="11"/>
    </row>
    <row r="175">
      <c r="M175" s="4"/>
      <c r="N175" s="11"/>
    </row>
    <row r="176">
      <c r="M176" s="4"/>
      <c r="N176" s="11"/>
    </row>
    <row r="177">
      <c r="M177" s="4"/>
      <c r="N177" s="11"/>
    </row>
    <row r="178">
      <c r="M178" s="4"/>
      <c r="N178" s="11"/>
    </row>
    <row r="179">
      <c r="M179" s="4"/>
      <c r="N179" s="11"/>
    </row>
    <row r="180">
      <c r="M180" s="4"/>
      <c r="N180" s="11"/>
    </row>
    <row r="181">
      <c r="M181" s="4"/>
      <c r="N181" s="11"/>
    </row>
    <row r="182">
      <c r="M182" s="4"/>
      <c r="N182" s="11"/>
    </row>
    <row r="183">
      <c r="M183" s="4"/>
      <c r="N183" s="11"/>
    </row>
    <row r="184">
      <c r="M184" s="4"/>
      <c r="N184" s="11"/>
    </row>
    <row r="185">
      <c r="M185" s="4"/>
      <c r="N185" s="11"/>
    </row>
    <row r="186">
      <c r="M186" s="4"/>
      <c r="N186" s="11"/>
    </row>
    <row r="187">
      <c r="M187" s="4"/>
      <c r="N187" s="11"/>
    </row>
    <row r="188">
      <c r="M188" s="4"/>
      <c r="N188" s="11"/>
    </row>
    <row r="189">
      <c r="M189" s="4"/>
      <c r="N189" s="11"/>
    </row>
    <row r="190">
      <c r="M190" s="4"/>
      <c r="N190" s="11"/>
    </row>
    <row r="191">
      <c r="M191" s="4"/>
      <c r="N191" s="11"/>
    </row>
    <row r="192">
      <c r="M192" s="4"/>
      <c r="N192" s="11"/>
    </row>
    <row r="193">
      <c r="M193" s="4"/>
      <c r="N193" s="11"/>
    </row>
    <row r="194">
      <c r="M194" s="4"/>
      <c r="N194" s="11"/>
    </row>
    <row r="195">
      <c r="M195" s="4"/>
      <c r="N195" s="11"/>
    </row>
    <row r="196">
      <c r="M196" s="4"/>
      <c r="N196" s="11"/>
    </row>
    <row r="197">
      <c r="M197" s="4"/>
      <c r="N197" s="11"/>
    </row>
    <row r="198">
      <c r="M198" s="4"/>
      <c r="N198" s="11"/>
    </row>
    <row r="199">
      <c r="M199" s="4"/>
      <c r="N199" s="11"/>
    </row>
    <row r="200">
      <c r="M200" s="4"/>
      <c r="N200" s="11"/>
    </row>
    <row r="201">
      <c r="M201" s="4"/>
      <c r="N201" s="11"/>
    </row>
    <row r="202">
      <c r="M202" s="4"/>
      <c r="N202" s="11"/>
    </row>
    <row r="203">
      <c r="M203" s="4"/>
      <c r="N203" s="11"/>
    </row>
    <row r="204">
      <c r="M204" s="4"/>
      <c r="N204" s="11"/>
    </row>
    <row r="205">
      <c r="M205" s="4"/>
      <c r="N205" s="11"/>
    </row>
    <row r="206">
      <c r="M206" s="4"/>
      <c r="N206" s="11"/>
    </row>
    <row r="207">
      <c r="M207" s="4"/>
      <c r="N207" s="11"/>
    </row>
    <row r="208">
      <c r="M208" s="4"/>
      <c r="N208" s="11"/>
    </row>
    <row r="209">
      <c r="M209" s="4"/>
      <c r="N209" s="11"/>
    </row>
    <row r="210">
      <c r="M210" s="4"/>
      <c r="N210" s="11"/>
    </row>
    <row r="211">
      <c r="M211" s="4"/>
      <c r="N211" s="11"/>
    </row>
    <row r="212">
      <c r="M212" s="4"/>
      <c r="N212" s="11"/>
    </row>
    <row r="213">
      <c r="M213" s="4"/>
      <c r="N213" s="11"/>
    </row>
    <row r="214">
      <c r="M214" s="4"/>
      <c r="N214" s="11"/>
    </row>
    <row r="215">
      <c r="M215" s="4"/>
      <c r="N215" s="11"/>
    </row>
    <row r="216">
      <c r="M216" s="4"/>
      <c r="N216" s="11"/>
    </row>
    <row r="217">
      <c r="M217" s="4"/>
      <c r="N217" s="11"/>
    </row>
    <row r="218">
      <c r="M218" s="4"/>
      <c r="N218" s="11"/>
    </row>
    <row r="219">
      <c r="M219" s="4"/>
      <c r="N219" s="11"/>
    </row>
    <row r="220">
      <c r="M220" s="4"/>
      <c r="N220" s="11"/>
    </row>
    <row r="221">
      <c r="M221" s="4"/>
      <c r="N221" s="11"/>
    </row>
    <row r="222">
      <c r="M222" s="4"/>
      <c r="N222" s="11"/>
    </row>
    <row r="223">
      <c r="M223" s="4"/>
      <c r="N223" s="11"/>
    </row>
    <row r="224">
      <c r="M224" s="4"/>
      <c r="N224" s="11"/>
    </row>
    <row r="225">
      <c r="M225" s="4"/>
      <c r="N225" s="11"/>
    </row>
    <row r="226">
      <c r="M226" s="4"/>
      <c r="N226" s="11"/>
    </row>
    <row r="227">
      <c r="M227" s="4"/>
      <c r="N227" s="11"/>
    </row>
    <row r="228">
      <c r="M228" s="4"/>
      <c r="N228" s="11"/>
    </row>
    <row r="229">
      <c r="M229" s="4"/>
      <c r="N229" s="11"/>
    </row>
    <row r="230">
      <c r="M230" s="4"/>
      <c r="N230" s="11"/>
    </row>
    <row r="231">
      <c r="M231" s="4"/>
      <c r="N231" s="11"/>
    </row>
    <row r="232">
      <c r="M232" s="4"/>
      <c r="N232" s="11"/>
    </row>
    <row r="233">
      <c r="M233" s="4"/>
      <c r="N233" s="11"/>
    </row>
    <row r="234">
      <c r="M234" s="4"/>
      <c r="N234" s="11"/>
    </row>
    <row r="235">
      <c r="M235" s="4"/>
      <c r="N235" s="11"/>
    </row>
    <row r="236">
      <c r="M236" s="4"/>
      <c r="N236" s="11"/>
    </row>
    <row r="237">
      <c r="M237" s="4"/>
      <c r="N237" s="11"/>
    </row>
    <row r="238">
      <c r="M238" s="4"/>
      <c r="N238" s="11"/>
    </row>
    <row r="239">
      <c r="M239" s="4"/>
      <c r="N239" s="11"/>
    </row>
    <row r="240">
      <c r="M240" s="4"/>
      <c r="N240" s="11"/>
    </row>
    <row r="241">
      <c r="M241" s="4"/>
      <c r="N241" s="11"/>
    </row>
    <row r="242">
      <c r="M242" s="4"/>
      <c r="N242" s="11"/>
    </row>
    <row r="243">
      <c r="M243" s="4"/>
      <c r="N243" s="11"/>
    </row>
    <row r="244">
      <c r="M244" s="4"/>
      <c r="N244" s="11"/>
    </row>
    <row r="245">
      <c r="M245" s="4"/>
      <c r="N245" s="11"/>
    </row>
    <row r="246">
      <c r="M246" s="4"/>
      <c r="N246" s="11"/>
    </row>
    <row r="247">
      <c r="M247" s="4"/>
      <c r="N247" s="11"/>
    </row>
    <row r="248">
      <c r="M248" s="4"/>
      <c r="N248" s="11"/>
    </row>
    <row r="249">
      <c r="M249" s="4"/>
      <c r="N249" s="11"/>
    </row>
    <row r="250">
      <c r="M250" s="4"/>
      <c r="N250" s="11"/>
    </row>
    <row r="251">
      <c r="M251" s="4"/>
      <c r="N251" s="11"/>
    </row>
    <row r="252">
      <c r="M252" s="4"/>
      <c r="N252" s="11"/>
    </row>
    <row r="253">
      <c r="M253" s="4"/>
      <c r="N253" s="11"/>
    </row>
    <row r="254">
      <c r="M254" s="4"/>
      <c r="N254" s="11"/>
    </row>
    <row r="255">
      <c r="M255" s="4"/>
      <c r="N255" s="11"/>
    </row>
    <row r="256">
      <c r="M256" s="4"/>
      <c r="N256" s="11"/>
    </row>
    <row r="257">
      <c r="M257" s="4"/>
      <c r="N257" s="11"/>
    </row>
    <row r="258">
      <c r="M258" s="4"/>
      <c r="N258" s="11"/>
    </row>
    <row r="259">
      <c r="M259" s="4"/>
      <c r="N259" s="11"/>
    </row>
    <row r="260">
      <c r="M260" s="4"/>
      <c r="N260" s="11"/>
    </row>
    <row r="261">
      <c r="M261" s="4"/>
      <c r="N261" s="11"/>
    </row>
    <row r="262">
      <c r="M262" s="4"/>
      <c r="N262" s="11"/>
    </row>
    <row r="263">
      <c r="M263" s="4"/>
      <c r="N263" s="11"/>
    </row>
    <row r="264">
      <c r="M264" s="4"/>
      <c r="N264" s="11"/>
    </row>
    <row r="265">
      <c r="M265" s="4"/>
      <c r="N265" s="11"/>
    </row>
    <row r="266">
      <c r="M266" s="4"/>
      <c r="N266" s="11"/>
    </row>
    <row r="267">
      <c r="M267" s="4"/>
      <c r="N267" s="11"/>
    </row>
    <row r="268">
      <c r="M268" s="4"/>
      <c r="N268" s="11"/>
    </row>
    <row r="269">
      <c r="M269" s="4"/>
      <c r="N269" s="11"/>
    </row>
    <row r="270">
      <c r="M270" s="4"/>
      <c r="N270" s="11"/>
    </row>
    <row r="271">
      <c r="M271" s="4"/>
      <c r="N271" s="11"/>
    </row>
    <row r="272">
      <c r="M272" s="4"/>
      <c r="N272" s="11"/>
    </row>
    <row r="273">
      <c r="M273" s="4"/>
      <c r="N273" s="11"/>
    </row>
    <row r="274">
      <c r="M274" s="4"/>
      <c r="N274" s="11"/>
    </row>
    <row r="275">
      <c r="M275" s="4"/>
      <c r="N275" s="11"/>
    </row>
    <row r="276">
      <c r="M276" s="4"/>
      <c r="N276" s="11"/>
    </row>
    <row r="277">
      <c r="M277" s="4"/>
      <c r="N277" s="11"/>
    </row>
    <row r="278">
      <c r="M278" s="4"/>
      <c r="N278" s="11"/>
    </row>
    <row r="279">
      <c r="M279" s="4"/>
      <c r="N279" s="11"/>
    </row>
    <row r="280">
      <c r="M280" s="4"/>
      <c r="N280" s="11"/>
    </row>
    <row r="281">
      <c r="M281" s="4"/>
      <c r="N281" s="11"/>
    </row>
    <row r="282">
      <c r="M282" s="4"/>
      <c r="N282" s="11"/>
    </row>
    <row r="283">
      <c r="M283" s="4"/>
      <c r="N283" s="11"/>
    </row>
    <row r="284">
      <c r="M284" s="4"/>
      <c r="N284" s="11"/>
    </row>
    <row r="285">
      <c r="M285" s="4"/>
      <c r="N285" s="11"/>
    </row>
    <row r="286">
      <c r="M286" s="4"/>
      <c r="N286" s="11"/>
    </row>
    <row r="287">
      <c r="M287" s="4"/>
      <c r="N287" s="11"/>
    </row>
    <row r="288">
      <c r="M288" s="4"/>
      <c r="N288" s="11"/>
    </row>
    <row r="289">
      <c r="M289" s="4"/>
      <c r="N289" s="11"/>
    </row>
    <row r="290">
      <c r="M290" s="4"/>
      <c r="N290" s="11"/>
    </row>
    <row r="291">
      <c r="M291" s="4"/>
      <c r="N291" s="11"/>
    </row>
    <row r="292">
      <c r="M292" s="4"/>
      <c r="N292" s="11"/>
    </row>
    <row r="293">
      <c r="M293" s="4"/>
      <c r="N293" s="11"/>
    </row>
    <row r="294">
      <c r="M294" s="4"/>
      <c r="N294" s="11"/>
    </row>
    <row r="295">
      <c r="M295" s="4"/>
      <c r="N295" s="11"/>
    </row>
    <row r="296">
      <c r="M296" s="4"/>
      <c r="N296" s="11"/>
    </row>
    <row r="297">
      <c r="M297" s="4"/>
      <c r="N297" s="11"/>
    </row>
    <row r="298">
      <c r="M298" s="4"/>
      <c r="N298" s="11"/>
    </row>
    <row r="299">
      <c r="M299" s="4"/>
      <c r="N299" s="11"/>
    </row>
    <row r="300">
      <c r="M300" s="4"/>
      <c r="N300" s="11"/>
    </row>
    <row r="301">
      <c r="M301" s="4"/>
      <c r="N301" s="11"/>
    </row>
    <row r="302">
      <c r="M302" s="4"/>
      <c r="N302" s="11"/>
    </row>
    <row r="303">
      <c r="M303" s="4"/>
      <c r="N303" s="11"/>
    </row>
    <row r="304">
      <c r="M304" s="4"/>
      <c r="N304" s="11"/>
    </row>
    <row r="305">
      <c r="M305" s="4"/>
      <c r="N305" s="11"/>
    </row>
    <row r="306">
      <c r="M306" s="4"/>
      <c r="N306" s="11"/>
    </row>
    <row r="307">
      <c r="M307" s="4"/>
      <c r="N307" s="11"/>
    </row>
    <row r="308">
      <c r="M308" s="4"/>
      <c r="N308" s="11"/>
    </row>
    <row r="309">
      <c r="M309" s="4"/>
      <c r="N309" s="11"/>
    </row>
    <row r="310">
      <c r="M310" s="4"/>
      <c r="N310" s="11"/>
    </row>
    <row r="311">
      <c r="M311" s="4"/>
      <c r="N311" s="11"/>
    </row>
    <row r="312">
      <c r="M312" s="4"/>
      <c r="N312" s="11"/>
    </row>
    <row r="313">
      <c r="M313" s="4"/>
      <c r="N313" s="11"/>
    </row>
    <row r="314">
      <c r="M314" s="4"/>
      <c r="N314" s="11"/>
    </row>
    <row r="315">
      <c r="M315" s="4"/>
      <c r="N315" s="11"/>
    </row>
    <row r="316">
      <c r="M316" s="4"/>
      <c r="N316" s="11"/>
    </row>
    <row r="317">
      <c r="M317" s="4"/>
      <c r="N317" s="11"/>
    </row>
    <row r="318">
      <c r="M318" s="4"/>
      <c r="N318" s="11"/>
    </row>
    <row r="319">
      <c r="M319" s="4"/>
      <c r="N319" s="11"/>
    </row>
    <row r="320">
      <c r="M320" s="4"/>
      <c r="N320" s="11"/>
    </row>
    <row r="321">
      <c r="M321" s="4"/>
      <c r="N321" s="11"/>
    </row>
    <row r="322">
      <c r="M322" s="4"/>
      <c r="N322" s="11"/>
    </row>
    <row r="323">
      <c r="M323" s="4"/>
      <c r="N323" s="11"/>
    </row>
    <row r="324">
      <c r="M324" s="4"/>
      <c r="N324" s="11"/>
    </row>
    <row r="325">
      <c r="M325" s="4"/>
      <c r="N325" s="11"/>
    </row>
    <row r="326">
      <c r="M326" s="4"/>
      <c r="N326" s="11"/>
    </row>
    <row r="327">
      <c r="M327" s="4"/>
      <c r="N327" s="11"/>
    </row>
    <row r="328">
      <c r="M328" s="4"/>
      <c r="N328" s="11"/>
    </row>
    <row r="329">
      <c r="M329" s="4"/>
      <c r="N329" s="11"/>
    </row>
    <row r="330">
      <c r="M330" s="4"/>
      <c r="N330" s="11"/>
    </row>
    <row r="331">
      <c r="M331" s="4"/>
      <c r="N331" s="11"/>
    </row>
    <row r="332">
      <c r="M332" s="4"/>
      <c r="N332" s="11"/>
    </row>
    <row r="333">
      <c r="M333" s="4"/>
      <c r="N333" s="11"/>
    </row>
    <row r="334">
      <c r="M334" s="4"/>
      <c r="N334" s="11"/>
    </row>
    <row r="335">
      <c r="M335" s="4"/>
      <c r="N335" s="11"/>
    </row>
    <row r="336">
      <c r="M336" s="4"/>
      <c r="N336" s="11"/>
    </row>
    <row r="337">
      <c r="M337" s="4"/>
      <c r="N337" s="11"/>
    </row>
    <row r="338">
      <c r="M338" s="4"/>
      <c r="N338" s="11"/>
    </row>
    <row r="339">
      <c r="M339" s="4"/>
      <c r="N339" s="11"/>
    </row>
    <row r="340">
      <c r="M340" s="4"/>
      <c r="N340" s="11"/>
    </row>
    <row r="341">
      <c r="M341" s="4"/>
      <c r="N341" s="11"/>
    </row>
    <row r="342">
      <c r="M342" s="4"/>
      <c r="N342" s="11"/>
    </row>
    <row r="343">
      <c r="M343" s="4"/>
      <c r="N343" s="11"/>
    </row>
    <row r="344">
      <c r="M344" s="4"/>
      <c r="N344" s="11"/>
    </row>
    <row r="345">
      <c r="M345" s="4"/>
      <c r="N345" s="11"/>
    </row>
    <row r="346">
      <c r="M346" s="4"/>
      <c r="N346" s="11"/>
    </row>
    <row r="347">
      <c r="M347" s="4"/>
      <c r="N347" s="11"/>
    </row>
    <row r="348">
      <c r="M348" s="4"/>
      <c r="N348" s="11"/>
    </row>
    <row r="349">
      <c r="M349" s="4"/>
      <c r="N349" s="11"/>
    </row>
    <row r="350">
      <c r="M350" s="4"/>
      <c r="N350" s="11"/>
    </row>
    <row r="351">
      <c r="M351" s="4"/>
      <c r="N351" s="11"/>
    </row>
    <row r="352">
      <c r="M352" s="4"/>
      <c r="N352" s="11"/>
    </row>
    <row r="353">
      <c r="M353" s="4"/>
      <c r="N353" s="11"/>
    </row>
    <row r="354">
      <c r="M354" s="4"/>
      <c r="N354" s="11"/>
    </row>
    <row r="355">
      <c r="M355" s="4"/>
      <c r="N355" s="11"/>
    </row>
    <row r="356">
      <c r="M356" s="4"/>
      <c r="N356" s="11"/>
    </row>
    <row r="357">
      <c r="M357" s="4"/>
      <c r="N357" s="11"/>
    </row>
    <row r="358">
      <c r="M358" s="4"/>
      <c r="N358" s="11"/>
    </row>
    <row r="359">
      <c r="M359" s="4"/>
      <c r="N359" s="11"/>
    </row>
    <row r="360">
      <c r="M360" s="4"/>
      <c r="N360" s="11"/>
    </row>
    <row r="361">
      <c r="M361" s="4"/>
      <c r="N361" s="11"/>
    </row>
    <row r="362">
      <c r="M362" s="4"/>
      <c r="N362" s="11"/>
    </row>
    <row r="363">
      <c r="M363" s="4"/>
      <c r="N363" s="11"/>
    </row>
    <row r="364">
      <c r="M364" s="4"/>
      <c r="N364" s="11"/>
    </row>
    <row r="365">
      <c r="M365" s="4"/>
      <c r="N365" s="11"/>
    </row>
    <row r="366">
      <c r="M366" s="4"/>
      <c r="N366" s="11"/>
    </row>
    <row r="367">
      <c r="M367" s="4"/>
      <c r="N367" s="11"/>
    </row>
    <row r="368">
      <c r="M368" s="4"/>
      <c r="N368" s="11"/>
    </row>
    <row r="369">
      <c r="M369" s="4"/>
      <c r="N369" s="11"/>
    </row>
    <row r="370">
      <c r="M370" s="4"/>
      <c r="N370" s="11"/>
    </row>
    <row r="371">
      <c r="M371" s="4"/>
      <c r="N371" s="11"/>
    </row>
    <row r="372">
      <c r="M372" s="4"/>
      <c r="N372" s="11"/>
    </row>
    <row r="373">
      <c r="M373" s="4"/>
      <c r="N373" s="11"/>
    </row>
    <row r="374">
      <c r="M374" s="4"/>
      <c r="N374" s="11"/>
    </row>
    <row r="375">
      <c r="M375" s="4"/>
      <c r="N375" s="11"/>
    </row>
    <row r="376">
      <c r="M376" s="4"/>
      <c r="N376" s="11"/>
    </row>
    <row r="377">
      <c r="M377" s="4"/>
      <c r="N377" s="11"/>
    </row>
    <row r="378">
      <c r="M378" s="4"/>
      <c r="N378" s="11"/>
    </row>
    <row r="379">
      <c r="M379" s="4"/>
      <c r="N379" s="11"/>
    </row>
    <row r="380">
      <c r="M380" s="4"/>
      <c r="N380" s="11"/>
    </row>
    <row r="381">
      <c r="M381" s="4"/>
      <c r="N381" s="11"/>
    </row>
    <row r="382">
      <c r="M382" s="4"/>
      <c r="N382" s="11"/>
    </row>
    <row r="383">
      <c r="M383" s="4"/>
      <c r="N383" s="11"/>
    </row>
    <row r="384">
      <c r="M384" s="4"/>
      <c r="N384" s="11"/>
    </row>
    <row r="385">
      <c r="M385" s="4"/>
      <c r="N385" s="11"/>
    </row>
    <row r="386">
      <c r="M386" s="4"/>
      <c r="N386" s="11"/>
    </row>
    <row r="387">
      <c r="M387" s="4"/>
      <c r="N387" s="11"/>
    </row>
    <row r="388">
      <c r="M388" s="4"/>
      <c r="N388" s="11"/>
    </row>
    <row r="389">
      <c r="M389" s="4"/>
      <c r="N389" s="11"/>
    </row>
    <row r="390">
      <c r="M390" s="4"/>
      <c r="N390" s="11"/>
    </row>
    <row r="391">
      <c r="M391" s="4"/>
      <c r="N391" s="11"/>
    </row>
    <row r="392">
      <c r="M392" s="4"/>
      <c r="N392" s="11"/>
    </row>
    <row r="393">
      <c r="M393" s="4"/>
      <c r="N393" s="11"/>
    </row>
    <row r="394">
      <c r="M394" s="4"/>
      <c r="N394" s="11"/>
    </row>
    <row r="395">
      <c r="M395" s="4"/>
      <c r="N395" s="11"/>
    </row>
    <row r="396">
      <c r="M396" s="4"/>
      <c r="N396" s="11"/>
    </row>
    <row r="397">
      <c r="M397" s="4"/>
      <c r="N397" s="11"/>
    </row>
    <row r="398">
      <c r="M398" s="4"/>
      <c r="N398" s="11"/>
    </row>
    <row r="399">
      <c r="M399" s="4"/>
      <c r="N399" s="11"/>
    </row>
    <row r="400">
      <c r="M400" s="4"/>
      <c r="N400" s="11"/>
    </row>
    <row r="401">
      <c r="M401" s="4"/>
      <c r="N401" s="11"/>
    </row>
    <row r="402">
      <c r="M402" s="4"/>
      <c r="N402" s="11"/>
    </row>
    <row r="403">
      <c r="M403" s="4"/>
      <c r="N403" s="11"/>
    </row>
    <row r="404">
      <c r="M404" s="4"/>
      <c r="N404" s="11"/>
    </row>
    <row r="405">
      <c r="M405" s="4"/>
      <c r="N405" s="11"/>
    </row>
    <row r="406">
      <c r="M406" s="4"/>
      <c r="N406" s="11"/>
    </row>
    <row r="407">
      <c r="M407" s="4"/>
      <c r="N407" s="11"/>
    </row>
    <row r="408">
      <c r="M408" s="4"/>
      <c r="N408" s="11"/>
    </row>
    <row r="409">
      <c r="M409" s="4"/>
      <c r="N409" s="11"/>
    </row>
    <row r="410">
      <c r="M410" s="4"/>
      <c r="N410" s="11"/>
    </row>
    <row r="411">
      <c r="M411" s="4"/>
      <c r="N411" s="11"/>
    </row>
    <row r="412">
      <c r="M412" s="4"/>
      <c r="N412" s="11"/>
    </row>
    <row r="413">
      <c r="M413" s="4"/>
      <c r="N413" s="11"/>
    </row>
    <row r="414">
      <c r="M414" s="4"/>
      <c r="N414" s="11"/>
    </row>
    <row r="415">
      <c r="M415" s="4"/>
      <c r="N415" s="11"/>
    </row>
    <row r="416">
      <c r="M416" s="4"/>
      <c r="N416" s="11"/>
    </row>
    <row r="417">
      <c r="M417" s="4"/>
      <c r="N417" s="11"/>
    </row>
    <row r="418">
      <c r="M418" s="4"/>
      <c r="N418" s="11"/>
    </row>
    <row r="419">
      <c r="M419" s="4"/>
      <c r="N419" s="11"/>
    </row>
    <row r="420">
      <c r="M420" s="4"/>
      <c r="N420" s="11"/>
    </row>
    <row r="421">
      <c r="M421" s="4"/>
      <c r="N421" s="11"/>
    </row>
    <row r="422">
      <c r="M422" s="4"/>
      <c r="N422" s="11"/>
    </row>
    <row r="423">
      <c r="M423" s="4"/>
      <c r="N423" s="11"/>
    </row>
    <row r="424">
      <c r="M424" s="4"/>
      <c r="N424" s="11"/>
    </row>
    <row r="425">
      <c r="M425" s="4"/>
      <c r="N425" s="11"/>
    </row>
    <row r="426">
      <c r="M426" s="4"/>
      <c r="N426" s="11"/>
    </row>
    <row r="427">
      <c r="M427" s="4"/>
      <c r="N427" s="11"/>
    </row>
    <row r="428">
      <c r="M428" s="4"/>
      <c r="N428" s="11"/>
    </row>
    <row r="429">
      <c r="M429" s="4"/>
      <c r="N429" s="11"/>
    </row>
    <row r="430">
      <c r="M430" s="4"/>
      <c r="N430" s="11"/>
    </row>
    <row r="431">
      <c r="M431" s="4"/>
      <c r="N431" s="11"/>
    </row>
    <row r="432">
      <c r="M432" s="4"/>
      <c r="N432" s="11"/>
    </row>
    <row r="433">
      <c r="M433" s="4"/>
      <c r="N433" s="11"/>
    </row>
    <row r="434">
      <c r="M434" s="4"/>
      <c r="N434" s="11"/>
    </row>
    <row r="435">
      <c r="M435" s="4"/>
      <c r="N435" s="11"/>
    </row>
    <row r="436">
      <c r="M436" s="4"/>
      <c r="N436" s="11"/>
    </row>
    <row r="437">
      <c r="M437" s="4"/>
      <c r="N437" s="11"/>
    </row>
    <row r="438">
      <c r="M438" s="4"/>
      <c r="N438" s="11"/>
    </row>
    <row r="439">
      <c r="M439" s="4"/>
      <c r="N439" s="11"/>
    </row>
    <row r="440">
      <c r="M440" s="4"/>
      <c r="N440" s="11"/>
    </row>
    <row r="441">
      <c r="M441" s="4"/>
      <c r="N441" s="11"/>
    </row>
    <row r="442">
      <c r="M442" s="4"/>
      <c r="N442" s="11"/>
    </row>
    <row r="443">
      <c r="M443" s="4"/>
      <c r="N443" s="11"/>
    </row>
    <row r="444">
      <c r="M444" s="4"/>
      <c r="N444" s="11"/>
    </row>
    <row r="445">
      <c r="M445" s="4"/>
      <c r="N445" s="11"/>
    </row>
    <row r="446">
      <c r="M446" s="4"/>
      <c r="N446" s="11"/>
    </row>
    <row r="447">
      <c r="M447" s="4"/>
      <c r="N447" s="11"/>
    </row>
    <row r="448">
      <c r="M448" s="4"/>
      <c r="N448" s="11"/>
    </row>
    <row r="449">
      <c r="M449" s="4"/>
      <c r="N449" s="11"/>
    </row>
    <row r="450">
      <c r="M450" s="4"/>
      <c r="N450" s="11"/>
    </row>
    <row r="451">
      <c r="M451" s="4"/>
      <c r="N451" s="11"/>
    </row>
    <row r="452">
      <c r="M452" s="4"/>
      <c r="N452" s="11"/>
    </row>
    <row r="453">
      <c r="M453" s="4"/>
      <c r="N453" s="11"/>
    </row>
    <row r="454">
      <c r="M454" s="4"/>
      <c r="N454" s="11"/>
    </row>
    <row r="455">
      <c r="M455" s="4"/>
      <c r="N455" s="11"/>
    </row>
    <row r="456">
      <c r="M456" s="4"/>
      <c r="N456" s="11"/>
    </row>
    <row r="457">
      <c r="M457" s="4"/>
      <c r="N457" s="11"/>
    </row>
    <row r="458">
      <c r="M458" s="4"/>
      <c r="N458" s="11"/>
    </row>
    <row r="459">
      <c r="M459" s="4"/>
      <c r="N459" s="11"/>
    </row>
    <row r="460">
      <c r="M460" s="4"/>
      <c r="N460" s="11"/>
    </row>
    <row r="461">
      <c r="M461" s="4"/>
      <c r="N461" s="11"/>
    </row>
    <row r="462">
      <c r="M462" s="4"/>
      <c r="N462" s="11"/>
    </row>
    <row r="463">
      <c r="M463" s="4"/>
      <c r="N463" s="11"/>
    </row>
    <row r="464">
      <c r="M464" s="4"/>
      <c r="N464" s="11"/>
    </row>
    <row r="465">
      <c r="M465" s="4"/>
      <c r="N465" s="11"/>
    </row>
    <row r="466">
      <c r="M466" s="4"/>
      <c r="N466" s="11"/>
    </row>
    <row r="467">
      <c r="M467" s="4"/>
      <c r="N467" s="11"/>
    </row>
    <row r="468">
      <c r="M468" s="4"/>
      <c r="N468" s="11"/>
    </row>
    <row r="469">
      <c r="M469" s="4"/>
      <c r="N469" s="11"/>
    </row>
    <row r="470">
      <c r="M470" s="4"/>
      <c r="N470" s="11"/>
    </row>
    <row r="471">
      <c r="M471" s="4"/>
      <c r="N471" s="11"/>
    </row>
    <row r="472">
      <c r="M472" s="4"/>
      <c r="N472" s="11"/>
    </row>
    <row r="473">
      <c r="M473" s="4"/>
      <c r="N473" s="11"/>
    </row>
    <row r="474">
      <c r="M474" s="4"/>
      <c r="N474" s="11"/>
    </row>
    <row r="475">
      <c r="M475" s="4"/>
      <c r="N475" s="11"/>
    </row>
    <row r="476">
      <c r="M476" s="4"/>
      <c r="N476" s="11"/>
    </row>
    <row r="477">
      <c r="M477" s="4"/>
      <c r="N477" s="11"/>
    </row>
    <row r="478">
      <c r="M478" s="4"/>
      <c r="N478" s="11"/>
    </row>
    <row r="479">
      <c r="M479" s="4"/>
      <c r="N479" s="11"/>
    </row>
    <row r="480">
      <c r="M480" s="4"/>
      <c r="N480" s="11"/>
    </row>
    <row r="481">
      <c r="M481" s="4"/>
      <c r="N481" s="11"/>
    </row>
    <row r="482">
      <c r="M482" s="4"/>
      <c r="N482" s="11"/>
    </row>
    <row r="483">
      <c r="M483" s="4"/>
      <c r="N483" s="11"/>
    </row>
    <row r="484">
      <c r="M484" s="4"/>
      <c r="N484" s="11"/>
    </row>
    <row r="485">
      <c r="M485" s="4"/>
      <c r="N485" s="11"/>
    </row>
    <row r="486">
      <c r="M486" s="4"/>
      <c r="N486" s="11"/>
    </row>
    <row r="487">
      <c r="M487" s="4"/>
      <c r="N487" s="11"/>
    </row>
    <row r="488">
      <c r="M488" s="4"/>
      <c r="N488" s="11"/>
    </row>
    <row r="489">
      <c r="M489" s="4"/>
      <c r="N489" s="11"/>
    </row>
    <row r="490">
      <c r="M490" s="4"/>
      <c r="N490" s="11"/>
    </row>
    <row r="491">
      <c r="M491" s="4"/>
      <c r="N491" s="11"/>
    </row>
    <row r="492">
      <c r="M492" s="4"/>
      <c r="N492" s="11"/>
    </row>
    <row r="493">
      <c r="M493" s="4"/>
      <c r="N493" s="11"/>
    </row>
    <row r="494">
      <c r="M494" s="4"/>
      <c r="N494" s="11"/>
    </row>
    <row r="495">
      <c r="M495" s="4"/>
      <c r="N495" s="11"/>
    </row>
    <row r="496">
      <c r="M496" s="4"/>
      <c r="N496" s="11"/>
    </row>
    <row r="497">
      <c r="M497" s="4"/>
      <c r="N497" s="11"/>
    </row>
    <row r="498">
      <c r="M498" s="4"/>
      <c r="N498" s="11"/>
    </row>
    <row r="499">
      <c r="M499" s="4"/>
      <c r="N499" s="11"/>
    </row>
    <row r="500">
      <c r="M500" s="4"/>
      <c r="N500" s="11"/>
    </row>
    <row r="501">
      <c r="M501" s="4"/>
      <c r="N501" s="11"/>
    </row>
    <row r="502">
      <c r="M502" s="4"/>
      <c r="N502" s="11"/>
    </row>
    <row r="503">
      <c r="M503" s="4"/>
      <c r="N503" s="11"/>
    </row>
    <row r="504">
      <c r="M504" s="4"/>
      <c r="N504" s="11"/>
    </row>
    <row r="505">
      <c r="M505" s="4"/>
      <c r="N505" s="11"/>
    </row>
    <row r="506">
      <c r="M506" s="4"/>
      <c r="N506" s="11"/>
    </row>
    <row r="507">
      <c r="M507" s="4"/>
      <c r="N507" s="11"/>
    </row>
    <row r="508">
      <c r="M508" s="4"/>
      <c r="N508" s="11"/>
    </row>
    <row r="509">
      <c r="M509" s="4"/>
      <c r="N509" s="11"/>
    </row>
    <row r="510">
      <c r="M510" s="4"/>
      <c r="N510" s="11"/>
    </row>
    <row r="511">
      <c r="M511" s="4"/>
      <c r="N511" s="11"/>
    </row>
    <row r="512">
      <c r="M512" s="4"/>
      <c r="N512" s="11"/>
    </row>
    <row r="513">
      <c r="M513" s="4"/>
      <c r="N513" s="11"/>
    </row>
    <row r="514">
      <c r="M514" s="4"/>
      <c r="N514" s="11"/>
    </row>
    <row r="515">
      <c r="M515" s="4"/>
      <c r="N515" s="11"/>
    </row>
    <row r="516">
      <c r="M516" s="4"/>
      <c r="N516" s="11"/>
    </row>
    <row r="517">
      <c r="M517" s="4"/>
      <c r="N517" s="11"/>
    </row>
    <row r="518">
      <c r="M518" s="4"/>
      <c r="N518" s="11"/>
    </row>
    <row r="519">
      <c r="M519" s="4"/>
      <c r="N519" s="11"/>
    </row>
    <row r="520">
      <c r="M520" s="4"/>
      <c r="N520" s="11"/>
    </row>
    <row r="521">
      <c r="M521" s="4"/>
      <c r="N521" s="11"/>
    </row>
    <row r="522">
      <c r="M522" s="4"/>
      <c r="N522" s="11"/>
    </row>
    <row r="523">
      <c r="M523" s="4"/>
      <c r="N523" s="11"/>
    </row>
    <row r="524">
      <c r="M524" s="4"/>
      <c r="N524" s="11"/>
    </row>
    <row r="525">
      <c r="M525" s="4"/>
      <c r="N525" s="11"/>
    </row>
    <row r="526">
      <c r="M526" s="4"/>
      <c r="N526" s="11"/>
    </row>
    <row r="527">
      <c r="M527" s="4"/>
      <c r="N527" s="11"/>
    </row>
    <row r="528">
      <c r="M528" s="4"/>
      <c r="N528" s="11"/>
    </row>
    <row r="529">
      <c r="M529" s="4"/>
      <c r="N529" s="11"/>
    </row>
    <row r="530">
      <c r="M530" s="4"/>
      <c r="N530" s="11"/>
    </row>
    <row r="531">
      <c r="M531" s="4"/>
      <c r="N531" s="11"/>
    </row>
    <row r="532">
      <c r="M532" s="4"/>
      <c r="N532" s="11"/>
    </row>
    <row r="533">
      <c r="M533" s="4"/>
      <c r="N533" s="11"/>
    </row>
    <row r="534">
      <c r="M534" s="4"/>
      <c r="N534" s="11"/>
    </row>
    <row r="535">
      <c r="M535" s="4"/>
      <c r="N535" s="11"/>
    </row>
    <row r="536">
      <c r="M536" s="4"/>
      <c r="N536" s="11"/>
    </row>
    <row r="537">
      <c r="M537" s="4"/>
      <c r="N537" s="11"/>
    </row>
    <row r="538">
      <c r="M538" s="4"/>
      <c r="N538" s="11"/>
    </row>
    <row r="539">
      <c r="M539" s="4"/>
      <c r="N539" s="11"/>
    </row>
    <row r="540">
      <c r="M540" s="4"/>
      <c r="N540" s="11"/>
    </row>
    <row r="541">
      <c r="M541" s="4"/>
      <c r="N541" s="11"/>
    </row>
    <row r="542">
      <c r="M542" s="4"/>
      <c r="N542" s="11"/>
    </row>
    <row r="543">
      <c r="M543" s="4"/>
      <c r="N543" s="11"/>
    </row>
    <row r="544">
      <c r="M544" s="4"/>
      <c r="N544" s="11"/>
    </row>
    <row r="545">
      <c r="M545" s="4"/>
      <c r="N545" s="11"/>
    </row>
    <row r="546">
      <c r="M546" s="4"/>
      <c r="N546" s="11"/>
    </row>
    <row r="547">
      <c r="M547" s="4"/>
      <c r="N547" s="11"/>
    </row>
    <row r="548">
      <c r="M548" s="4"/>
      <c r="N548" s="11"/>
    </row>
    <row r="549">
      <c r="M549" s="4"/>
      <c r="N549" s="11"/>
    </row>
    <row r="550">
      <c r="M550" s="4"/>
      <c r="N550" s="11"/>
    </row>
    <row r="551">
      <c r="M551" s="4"/>
      <c r="N551" s="11"/>
    </row>
    <row r="552">
      <c r="M552" s="4"/>
      <c r="N552" s="11"/>
    </row>
    <row r="553">
      <c r="M553" s="4"/>
      <c r="N553" s="11"/>
    </row>
    <row r="554">
      <c r="M554" s="4"/>
      <c r="N554" s="11"/>
    </row>
    <row r="555">
      <c r="M555" s="4"/>
      <c r="N555" s="11"/>
    </row>
    <row r="556">
      <c r="M556" s="4"/>
      <c r="N556" s="11"/>
    </row>
    <row r="557">
      <c r="M557" s="4"/>
      <c r="N557" s="11"/>
    </row>
    <row r="558">
      <c r="M558" s="4"/>
      <c r="N558" s="11"/>
    </row>
    <row r="559">
      <c r="M559" s="4"/>
      <c r="N559" s="11"/>
    </row>
    <row r="560">
      <c r="M560" s="4"/>
      <c r="N560" s="11"/>
    </row>
    <row r="561">
      <c r="M561" s="4"/>
      <c r="N561" s="11"/>
    </row>
    <row r="562">
      <c r="M562" s="4"/>
      <c r="N562" s="11"/>
    </row>
    <row r="563">
      <c r="M563" s="4"/>
      <c r="N563" s="11"/>
    </row>
    <row r="564">
      <c r="M564" s="4"/>
      <c r="N564" s="11"/>
    </row>
    <row r="565">
      <c r="M565" s="4"/>
      <c r="N565" s="11"/>
    </row>
    <row r="566">
      <c r="M566" s="4"/>
      <c r="N566" s="11"/>
    </row>
    <row r="567">
      <c r="M567" s="4"/>
      <c r="N567" s="11"/>
    </row>
    <row r="568">
      <c r="M568" s="4"/>
      <c r="N568" s="11"/>
    </row>
    <row r="569">
      <c r="M569" s="4"/>
      <c r="N569" s="11"/>
    </row>
    <row r="570">
      <c r="M570" s="4"/>
      <c r="N570" s="11"/>
    </row>
    <row r="571">
      <c r="M571" s="4"/>
      <c r="N571" s="11"/>
    </row>
    <row r="572">
      <c r="M572" s="4"/>
      <c r="N572" s="11"/>
    </row>
    <row r="573">
      <c r="M573" s="4"/>
      <c r="N573" s="11"/>
    </row>
    <row r="574">
      <c r="M574" s="4"/>
      <c r="N574" s="11"/>
    </row>
    <row r="575">
      <c r="M575" s="4"/>
      <c r="N575" s="11"/>
    </row>
    <row r="576">
      <c r="M576" s="4"/>
      <c r="N576" s="11"/>
    </row>
    <row r="577">
      <c r="M577" s="4"/>
      <c r="N577" s="11"/>
    </row>
    <row r="578">
      <c r="M578" s="4"/>
      <c r="N578" s="11"/>
    </row>
    <row r="579">
      <c r="M579" s="4"/>
      <c r="N579" s="11"/>
    </row>
    <row r="580">
      <c r="M580" s="4"/>
      <c r="N580" s="11"/>
    </row>
    <row r="581">
      <c r="M581" s="4"/>
      <c r="N581" s="11"/>
    </row>
    <row r="582">
      <c r="M582" s="4"/>
      <c r="N582" s="11"/>
    </row>
    <row r="583">
      <c r="M583" s="4"/>
      <c r="N583" s="11"/>
    </row>
    <row r="584">
      <c r="M584" s="4"/>
      <c r="N584" s="11"/>
    </row>
    <row r="585">
      <c r="M585" s="4"/>
      <c r="N585" s="11"/>
    </row>
    <row r="586">
      <c r="M586" s="4"/>
      <c r="N586" s="11"/>
    </row>
    <row r="587">
      <c r="M587" s="4"/>
      <c r="N587" s="11"/>
    </row>
    <row r="588">
      <c r="M588" s="4"/>
      <c r="N588" s="11"/>
    </row>
    <row r="589">
      <c r="M589" s="4"/>
      <c r="N589" s="11"/>
    </row>
    <row r="590">
      <c r="M590" s="4"/>
      <c r="N590" s="11"/>
    </row>
    <row r="591">
      <c r="M591" s="4"/>
      <c r="N591" s="11"/>
    </row>
    <row r="592">
      <c r="M592" s="4"/>
      <c r="N592" s="11"/>
    </row>
    <row r="593">
      <c r="M593" s="4"/>
      <c r="N593" s="11"/>
    </row>
    <row r="594">
      <c r="M594" s="4"/>
      <c r="N594" s="11"/>
    </row>
    <row r="595">
      <c r="M595" s="4"/>
      <c r="N595" s="11"/>
    </row>
    <row r="596">
      <c r="M596" s="4"/>
      <c r="N596" s="11"/>
    </row>
    <row r="597">
      <c r="M597" s="4"/>
      <c r="N597" s="11"/>
    </row>
    <row r="598">
      <c r="M598" s="4"/>
      <c r="N598" s="11"/>
    </row>
    <row r="599">
      <c r="M599" s="4"/>
      <c r="N599" s="11"/>
    </row>
    <row r="600">
      <c r="M600" s="4"/>
      <c r="N600" s="11"/>
    </row>
    <row r="601">
      <c r="M601" s="4"/>
      <c r="N601" s="11"/>
    </row>
    <row r="602">
      <c r="M602" s="4"/>
      <c r="N602" s="11"/>
    </row>
    <row r="603">
      <c r="M603" s="4"/>
      <c r="N603" s="11"/>
    </row>
    <row r="604">
      <c r="M604" s="4"/>
      <c r="N604" s="11"/>
    </row>
    <row r="605">
      <c r="M605" s="4"/>
      <c r="N605" s="11"/>
    </row>
    <row r="606">
      <c r="M606" s="4"/>
      <c r="N606" s="11"/>
    </row>
    <row r="607">
      <c r="M607" s="4"/>
      <c r="N607" s="11"/>
    </row>
    <row r="608">
      <c r="M608" s="4"/>
      <c r="N608" s="11"/>
    </row>
    <row r="609">
      <c r="M609" s="4"/>
      <c r="N609" s="11"/>
    </row>
    <row r="610">
      <c r="M610" s="4"/>
      <c r="N610" s="11"/>
    </row>
    <row r="611">
      <c r="M611" s="4"/>
      <c r="N611" s="11"/>
    </row>
    <row r="612">
      <c r="M612" s="4"/>
      <c r="N612" s="11"/>
    </row>
    <row r="613">
      <c r="M613" s="4"/>
      <c r="N613" s="11"/>
    </row>
    <row r="614">
      <c r="M614" s="4"/>
      <c r="N614" s="11"/>
    </row>
    <row r="615">
      <c r="M615" s="4"/>
      <c r="N615" s="11"/>
    </row>
    <row r="616">
      <c r="M616" s="4"/>
      <c r="N616" s="11"/>
    </row>
    <row r="617">
      <c r="M617" s="4"/>
      <c r="N617" s="11"/>
    </row>
    <row r="618">
      <c r="M618" s="4"/>
      <c r="N618" s="11"/>
    </row>
    <row r="619">
      <c r="M619" s="4"/>
      <c r="N619" s="11"/>
    </row>
    <row r="620">
      <c r="M620" s="4"/>
      <c r="N620" s="11"/>
    </row>
    <row r="621">
      <c r="M621" s="4"/>
      <c r="N621" s="11"/>
    </row>
    <row r="622">
      <c r="M622" s="4"/>
      <c r="N622" s="11"/>
    </row>
    <row r="623">
      <c r="M623" s="4"/>
      <c r="N623" s="11"/>
    </row>
    <row r="624">
      <c r="M624" s="4"/>
      <c r="N624" s="11"/>
    </row>
    <row r="625">
      <c r="M625" s="4"/>
      <c r="N625" s="11"/>
    </row>
    <row r="626">
      <c r="M626" s="4"/>
      <c r="N626" s="11"/>
    </row>
    <row r="627">
      <c r="M627" s="4"/>
      <c r="N627" s="11"/>
    </row>
    <row r="628">
      <c r="M628" s="4"/>
      <c r="N628" s="11"/>
    </row>
    <row r="629">
      <c r="M629" s="4"/>
      <c r="N629" s="11"/>
    </row>
    <row r="630">
      <c r="M630" s="4"/>
      <c r="N630" s="11"/>
    </row>
    <row r="631">
      <c r="M631" s="4"/>
      <c r="N631" s="11"/>
    </row>
    <row r="632">
      <c r="M632" s="4"/>
      <c r="N632" s="11"/>
    </row>
    <row r="633">
      <c r="M633" s="4"/>
      <c r="N633" s="11"/>
    </row>
    <row r="634">
      <c r="M634" s="4"/>
      <c r="N634" s="11"/>
    </row>
    <row r="635">
      <c r="M635" s="4"/>
      <c r="N635" s="11"/>
    </row>
    <row r="636">
      <c r="M636" s="4"/>
      <c r="N636" s="11"/>
    </row>
    <row r="637">
      <c r="M637" s="4"/>
      <c r="N637" s="11"/>
    </row>
    <row r="638">
      <c r="M638" s="4"/>
      <c r="N638" s="11"/>
    </row>
    <row r="639">
      <c r="M639" s="4"/>
      <c r="N639" s="11"/>
    </row>
    <row r="640">
      <c r="M640" s="4"/>
      <c r="N640" s="11"/>
    </row>
    <row r="641">
      <c r="M641" s="4"/>
      <c r="N641" s="11"/>
    </row>
    <row r="642">
      <c r="M642" s="4"/>
      <c r="N642" s="11"/>
    </row>
    <row r="643">
      <c r="M643" s="4"/>
      <c r="N643" s="11"/>
    </row>
    <row r="644">
      <c r="M644" s="4"/>
      <c r="N644" s="11"/>
    </row>
    <row r="645">
      <c r="M645" s="4"/>
      <c r="N645" s="11"/>
    </row>
    <row r="646">
      <c r="M646" s="4"/>
      <c r="N646" s="11"/>
    </row>
    <row r="647">
      <c r="M647" s="4"/>
      <c r="N647" s="11"/>
    </row>
    <row r="648">
      <c r="M648" s="4"/>
      <c r="N648" s="11"/>
    </row>
    <row r="649">
      <c r="M649" s="4"/>
      <c r="N649" s="11"/>
    </row>
    <row r="650">
      <c r="M650" s="4"/>
      <c r="N650" s="11"/>
    </row>
    <row r="651">
      <c r="M651" s="4"/>
      <c r="N651" s="11"/>
    </row>
    <row r="652">
      <c r="M652" s="4"/>
      <c r="N652" s="11"/>
    </row>
    <row r="653">
      <c r="M653" s="4"/>
      <c r="N653" s="11"/>
    </row>
    <row r="654">
      <c r="M654" s="4"/>
      <c r="N654" s="11"/>
    </row>
    <row r="655">
      <c r="M655" s="4"/>
      <c r="N655" s="11"/>
    </row>
    <row r="656">
      <c r="M656" s="4"/>
      <c r="N656" s="11"/>
    </row>
    <row r="657">
      <c r="M657" s="4"/>
      <c r="N657" s="11"/>
    </row>
    <row r="658">
      <c r="M658" s="4"/>
      <c r="N658" s="11"/>
    </row>
    <row r="659">
      <c r="M659" s="4"/>
      <c r="N659" s="11"/>
    </row>
    <row r="660">
      <c r="M660" s="4"/>
      <c r="N660" s="11"/>
    </row>
    <row r="661">
      <c r="M661" s="4"/>
      <c r="N661" s="11"/>
    </row>
    <row r="662">
      <c r="M662" s="4"/>
      <c r="N662" s="11"/>
    </row>
    <row r="663">
      <c r="M663" s="4"/>
      <c r="N663" s="11"/>
    </row>
    <row r="664">
      <c r="M664" s="4"/>
      <c r="N664" s="11"/>
    </row>
    <row r="665">
      <c r="M665" s="4"/>
      <c r="N665" s="11"/>
    </row>
    <row r="666">
      <c r="M666" s="4"/>
      <c r="N666" s="11"/>
    </row>
    <row r="667">
      <c r="M667" s="4"/>
      <c r="N667" s="11"/>
    </row>
    <row r="668">
      <c r="M668" s="4"/>
      <c r="N668" s="11"/>
    </row>
    <row r="669">
      <c r="M669" s="4"/>
      <c r="N669" s="11"/>
    </row>
    <row r="670">
      <c r="M670" s="4"/>
      <c r="N670" s="11"/>
    </row>
    <row r="671">
      <c r="M671" s="4"/>
      <c r="N671" s="11"/>
    </row>
    <row r="672">
      <c r="M672" s="4"/>
      <c r="N672" s="11"/>
    </row>
    <row r="673">
      <c r="M673" s="4"/>
      <c r="N673" s="11"/>
    </row>
    <row r="674">
      <c r="M674" s="4"/>
      <c r="N674" s="11"/>
    </row>
    <row r="675">
      <c r="M675" s="4"/>
      <c r="N675" s="11"/>
    </row>
    <row r="676">
      <c r="M676" s="4"/>
      <c r="N676" s="11"/>
    </row>
    <row r="677">
      <c r="M677" s="4"/>
      <c r="N677" s="11"/>
    </row>
    <row r="678">
      <c r="M678" s="4"/>
      <c r="N678" s="11"/>
    </row>
    <row r="679">
      <c r="M679" s="4"/>
      <c r="N679" s="11"/>
    </row>
    <row r="680">
      <c r="M680" s="4"/>
      <c r="N680" s="11"/>
    </row>
    <row r="681">
      <c r="M681" s="4"/>
      <c r="N681" s="11"/>
    </row>
    <row r="682">
      <c r="M682" s="4"/>
      <c r="N682" s="11"/>
    </row>
    <row r="683">
      <c r="M683" s="4"/>
      <c r="N683" s="11"/>
    </row>
    <row r="684">
      <c r="M684" s="4"/>
      <c r="N684" s="11"/>
    </row>
    <row r="685">
      <c r="M685" s="4"/>
      <c r="N685" s="11"/>
    </row>
    <row r="686">
      <c r="M686" s="4"/>
      <c r="N686" s="11"/>
    </row>
    <row r="687">
      <c r="M687" s="4"/>
      <c r="N687" s="11"/>
    </row>
    <row r="688">
      <c r="M688" s="4"/>
      <c r="N688" s="11"/>
    </row>
    <row r="689">
      <c r="M689" s="4"/>
      <c r="N689" s="11"/>
    </row>
    <row r="690">
      <c r="M690" s="4"/>
      <c r="N690" s="11"/>
    </row>
    <row r="691">
      <c r="M691" s="4"/>
      <c r="N691" s="11"/>
    </row>
    <row r="692">
      <c r="M692" s="4"/>
      <c r="N692" s="11"/>
    </row>
    <row r="693">
      <c r="M693" s="4"/>
      <c r="N693" s="11"/>
    </row>
    <row r="694">
      <c r="M694" s="4"/>
      <c r="N694" s="11"/>
    </row>
    <row r="695">
      <c r="M695" s="4"/>
      <c r="N695" s="11"/>
    </row>
    <row r="696">
      <c r="M696" s="4"/>
      <c r="N696" s="11"/>
    </row>
    <row r="697">
      <c r="M697" s="4"/>
      <c r="N697" s="11"/>
    </row>
    <row r="698">
      <c r="M698" s="4"/>
      <c r="N698" s="11"/>
    </row>
    <row r="699">
      <c r="M699" s="4"/>
      <c r="N699" s="11"/>
    </row>
    <row r="700">
      <c r="M700" s="4"/>
      <c r="N700" s="11"/>
    </row>
    <row r="701">
      <c r="M701" s="4"/>
      <c r="N701" s="11"/>
    </row>
    <row r="702">
      <c r="M702" s="4"/>
      <c r="N702" s="11"/>
    </row>
    <row r="703">
      <c r="M703" s="4"/>
      <c r="N703" s="11"/>
    </row>
    <row r="704">
      <c r="M704" s="4"/>
      <c r="N704" s="11"/>
    </row>
    <row r="705">
      <c r="M705" s="4"/>
      <c r="N705" s="11"/>
    </row>
    <row r="706">
      <c r="M706" s="4"/>
      <c r="N706" s="11"/>
    </row>
    <row r="707">
      <c r="M707" s="4"/>
      <c r="N707" s="11"/>
    </row>
    <row r="708">
      <c r="M708" s="4"/>
      <c r="N708" s="11"/>
    </row>
    <row r="709">
      <c r="M709" s="4"/>
      <c r="N709" s="11"/>
    </row>
    <row r="710">
      <c r="M710" s="4"/>
      <c r="N710" s="11"/>
    </row>
    <row r="711">
      <c r="M711" s="4"/>
      <c r="N711" s="11"/>
    </row>
    <row r="712">
      <c r="M712" s="4"/>
      <c r="N712" s="11"/>
    </row>
    <row r="713">
      <c r="M713" s="4"/>
      <c r="N713" s="11"/>
    </row>
    <row r="714">
      <c r="M714" s="4"/>
      <c r="N714" s="11"/>
    </row>
    <row r="715">
      <c r="M715" s="4"/>
      <c r="N715" s="11"/>
    </row>
    <row r="716">
      <c r="M716" s="4"/>
      <c r="N716" s="11"/>
    </row>
    <row r="717">
      <c r="M717" s="4"/>
      <c r="N717" s="11"/>
    </row>
    <row r="718">
      <c r="M718" s="4"/>
      <c r="N718" s="11"/>
    </row>
    <row r="719">
      <c r="M719" s="4"/>
      <c r="N719" s="11"/>
    </row>
    <row r="720">
      <c r="M720" s="4"/>
      <c r="N720" s="11"/>
    </row>
    <row r="721">
      <c r="M721" s="4"/>
      <c r="N721" s="11"/>
    </row>
    <row r="722">
      <c r="M722" s="4"/>
      <c r="N722" s="11"/>
    </row>
    <row r="723">
      <c r="M723" s="4"/>
      <c r="N723" s="11"/>
    </row>
    <row r="724">
      <c r="M724" s="4"/>
      <c r="N724" s="11"/>
    </row>
    <row r="725">
      <c r="M725" s="4"/>
      <c r="N725" s="11"/>
    </row>
    <row r="726">
      <c r="M726" s="4"/>
      <c r="N726" s="11"/>
    </row>
    <row r="727">
      <c r="M727" s="4"/>
      <c r="N727" s="11"/>
    </row>
    <row r="728">
      <c r="M728" s="4"/>
      <c r="N728" s="11"/>
    </row>
    <row r="729">
      <c r="M729" s="4"/>
      <c r="N729" s="11"/>
    </row>
    <row r="730">
      <c r="M730" s="4"/>
      <c r="N730" s="11"/>
    </row>
    <row r="731">
      <c r="M731" s="4"/>
      <c r="N731" s="11"/>
    </row>
    <row r="732">
      <c r="M732" s="4"/>
      <c r="N732" s="11"/>
    </row>
    <row r="733">
      <c r="M733" s="4"/>
      <c r="N733" s="11"/>
    </row>
    <row r="734">
      <c r="M734" s="4"/>
      <c r="N734" s="11"/>
    </row>
    <row r="735">
      <c r="M735" s="4"/>
      <c r="N735" s="11"/>
    </row>
    <row r="736">
      <c r="M736" s="4"/>
      <c r="N736" s="11"/>
    </row>
    <row r="737">
      <c r="M737" s="4"/>
      <c r="N737" s="11"/>
    </row>
    <row r="738">
      <c r="M738" s="4"/>
      <c r="N738" s="11"/>
    </row>
    <row r="739">
      <c r="M739" s="4"/>
      <c r="N739" s="11"/>
    </row>
    <row r="740">
      <c r="M740" s="4"/>
      <c r="N740" s="11"/>
    </row>
    <row r="741">
      <c r="M741" s="4"/>
      <c r="N741" s="11"/>
    </row>
    <row r="742">
      <c r="M742" s="4"/>
      <c r="N742" s="11"/>
    </row>
    <row r="743">
      <c r="M743" s="4"/>
      <c r="N743" s="11"/>
    </row>
    <row r="744">
      <c r="M744" s="4"/>
      <c r="N744" s="11"/>
    </row>
    <row r="745">
      <c r="M745" s="4"/>
      <c r="N745" s="11"/>
    </row>
    <row r="746">
      <c r="M746" s="4"/>
      <c r="N746" s="11"/>
    </row>
    <row r="747">
      <c r="M747" s="4"/>
      <c r="N747" s="11"/>
    </row>
    <row r="748">
      <c r="M748" s="4"/>
      <c r="N748" s="11"/>
    </row>
    <row r="749">
      <c r="M749" s="4"/>
      <c r="N749" s="11"/>
    </row>
    <row r="750">
      <c r="M750" s="4"/>
      <c r="N750" s="11"/>
    </row>
    <row r="751">
      <c r="M751" s="4"/>
      <c r="N751" s="11"/>
    </row>
    <row r="752">
      <c r="M752" s="4"/>
      <c r="N752" s="11"/>
    </row>
    <row r="753">
      <c r="M753" s="4"/>
      <c r="N753" s="11"/>
    </row>
    <row r="754">
      <c r="M754" s="4"/>
      <c r="N754" s="11"/>
    </row>
    <row r="755">
      <c r="M755" s="4"/>
      <c r="N755" s="11"/>
    </row>
    <row r="756">
      <c r="M756" s="4"/>
      <c r="N756" s="11"/>
    </row>
    <row r="757">
      <c r="M757" s="4"/>
      <c r="N757" s="11"/>
    </row>
    <row r="758">
      <c r="M758" s="4"/>
      <c r="N758" s="11"/>
    </row>
    <row r="759">
      <c r="M759" s="4"/>
      <c r="N759" s="11"/>
    </row>
    <row r="760">
      <c r="M760" s="4"/>
      <c r="N760" s="11"/>
    </row>
    <row r="761">
      <c r="M761" s="4"/>
      <c r="N761" s="11"/>
    </row>
    <row r="762">
      <c r="M762" s="4"/>
      <c r="N762" s="11"/>
    </row>
    <row r="763">
      <c r="M763" s="4"/>
      <c r="N763" s="11"/>
    </row>
    <row r="764">
      <c r="M764" s="4"/>
      <c r="N764" s="11"/>
    </row>
    <row r="765">
      <c r="M765" s="4"/>
      <c r="N765" s="11"/>
    </row>
    <row r="766">
      <c r="M766" s="4"/>
      <c r="N766" s="11"/>
    </row>
    <row r="767">
      <c r="M767" s="4"/>
      <c r="N767" s="11"/>
    </row>
    <row r="768">
      <c r="M768" s="4"/>
      <c r="N768" s="11"/>
    </row>
    <row r="769">
      <c r="M769" s="4"/>
      <c r="N769" s="11"/>
    </row>
    <row r="770">
      <c r="M770" s="4"/>
      <c r="N770" s="11"/>
    </row>
    <row r="771">
      <c r="M771" s="4"/>
      <c r="N771" s="11"/>
    </row>
    <row r="772">
      <c r="M772" s="4"/>
      <c r="N772" s="11"/>
    </row>
    <row r="773">
      <c r="M773" s="4"/>
      <c r="N773" s="11"/>
    </row>
    <row r="774">
      <c r="M774" s="4"/>
      <c r="N774" s="11"/>
    </row>
    <row r="775">
      <c r="M775" s="4"/>
      <c r="N775" s="11"/>
    </row>
    <row r="776">
      <c r="M776" s="4"/>
      <c r="N776" s="11"/>
    </row>
    <row r="777">
      <c r="M777" s="4"/>
      <c r="N777" s="11"/>
    </row>
    <row r="778">
      <c r="M778" s="4"/>
      <c r="N778" s="11"/>
    </row>
    <row r="779">
      <c r="M779" s="4"/>
      <c r="N779" s="11"/>
    </row>
    <row r="780">
      <c r="M780" s="4"/>
      <c r="N780" s="11"/>
    </row>
    <row r="781">
      <c r="M781" s="4"/>
      <c r="N781" s="11"/>
    </row>
    <row r="782">
      <c r="M782" s="4"/>
      <c r="N782" s="11"/>
    </row>
    <row r="783">
      <c r="M783" s="4"/>
      <c r="N783" s="11"/>
    </row>
    <row r="784">
      <c r="M784" s="4"/>
      <c r="N784" s="11"/>
    </row>
    <row r="785">
      <c r="M785" s="4"/>
      <c r="N785" s="11"/>
    </row>
    <row r="786">
      <c r="M786" s="4"/>
      <c r="N786" s="11"/>
    </row>
    <row r="787">
      <c r="M787" s="4"/>
      <c r="N787" s="11"/>
    </row>
    <row r="788">
      <c r="M788" s="4"/>
      <c r="N788" s="11"/>
    </row>
    <row r="789">
      <c r="M789" s="4"/>
      <c r="N789" s="11"/>
    </row>
    <row r="790">
      <c r="M790" s="4"/>
      <c r="N790" s="11"/>
    </row>
    <row r="791">
      <c r="M791" s="4"/>
      <c r="N791" s="11"/>
    </row>
    <row r="792">
      <c r="M792" s="4"/>
      <c r="N792" s="11"/>
    </row>
    <row r="793">
      <c r="M793" s="4"/>
      <c r="N793" s="11"/>
    </row>
    <row r="794">
      <c r="M794" s="4"/>
      <c r="N794" s="11"/>
    </row>
    <row r="795">
      <c r="M795" s="4"/>
      <c r="N795" s="11"/>
    </row>
    <row r="796">
      <c r="M796" s="4"/>
      <c r="N796" s="11"/>
    </row>
    <row r="797">
      <c r="M797" s="4"/>
      <c r="N797" s="11"/>
    </row>
    <row r="798">
      <c r="M798" s="4"/>
      <c r="N798" s="11"/>
    </row>
    <row r="799">
      <c r="M799" s="4"/>
      <c r="N799" s="11"/>
    </row>
    <row r="800">
      <c r="M800" s="4"/>
      <c r="N800" s="11"/>
    </row>
    <row r="801">
      <c r="M801" s="4"/>
      <c r="N801" s="11"/>
    </row>
    <row r="802">
      <c r="M802" s="4"/>
      <c r="N802" s="11"/>
    </row>
    <row r="803">
      <c r="M803" s="4"/>
      <c r="N803" s="11"/>
    </row>
    <row r="804">
      <c r="M804" s="4"/>
      <c r="N804" s="11"/>
    </row>
    <row r="805">
      <c r="M805" s="4"/>
      <c r="N805" s="11"/>
    </row>
    <row r="806">
      <c r="M806" s="4"/>
      <c r="N806" s="11"/>
    </row>
    <row r="807">
      <c r="M807" s="4"/>
      <c r="N807" s="11"/>
    </row>
    <row r="808">
      <c r="M808" s="4"/>
      <c r="N808" s="11"/>
    </row>
    <row r="809">
      <c r="M809" s="4"/>
      <c r="N809" s="11"/>
    </row>
    <row r="810">
      <c r="M810" s="4"/>
      <c r="N810" s="11"/>
    </row>
    <row r="811">
      <c r="M811" s="4"/>
      <c r="N811" s="11"/>
    </row>
    <row r="812">
      <c r="M812" s="4"/>
      <c r="N812" s="11"/>
    </row>
    <row r="813">
      <c r="M813" s="4"/>
      <c r="N813" s="11"/>
    </row>
    <row r="814">
      <c r="M814" s="4"/>
      <c r="N814" s="11"/>
    </row>
    <row r="815">
      <c r="M815" s="4"/>
      <c r="N815" s="11"/>
    </row>
    <row r="816">
      <c r="M816" s="4"/>
      <c r="N816" s="11"/>
    </row>
    <row r="817">
      <c r="M817" s="4"/>
      <c r="N817" s="11"/>
    </row>
    <row r="818">
      <c r="M818" s="4"/>
      <c r="N818" s="11"/>
    </row>
    <row r="819">
      <c r="M819" s="4"/>
      <c r="N819" s="11"/>
    </row>
    <row r="820">
      <c r="M820" s="4"/>
      <c r="N820" s="11"/>
    </row>
    <row r="821">
      <c r="M821" s="4"/>
      <c r="N821" s="11"/>
    </row>
    <row r="822">
      <c r="M822" s="4"/>
      <c r="N822" s="11"/>
    </row>
    <row r="823">
      <c r="M823" s="4"/>
      <c r="N823" s="11"/>
    </row>
    <row r="824">
      <c r="M824" s="4"/>
      <c r="N824" s="11"/>
    </row>
    <row r="825">
      <c r="M825" s="4"/>
      <c r="N825" s="11"/>
    </row>
    <row r="826">
      <c r="M826" s="4"/>
      <c r="N826" s="11"/>
    </row>
    <row r="827">
      <c r="M827" s="4"/>
      <c r="N827" s="11"/>
    </row>
    <row r="828">
      <c r="M828" s="4"/>
      <c r="N828" s="11"/>
    </row>
    <row r="829">
      <c r="M829" s="4"/>
      <c r="N829" s="11"/>
    </row>
    <row r="830">
      <c r="M830" s="4"/>
      <c r="N830" s="11"/>
    </row>
    <row r="831">
      <c r="M831" s="4"/>
      <c r="N831" s="11"/>
    </row>
    <row r="832">
      <c r="M832" s="4"/>
      <c r="N832" s="11"/>
    </row>
    <row r="833">
      <c r="M833" s="4"/>
      <c r="N833" s="11"/>
    </row>
    <row r="834">
      <c r="M834" s="4"/>
      <c r="N834" s="11"/>
    </row>
    <row r="835">
      <c r="M835" s="4"/>
      <c r="N835" s="11"/>
    </row>
    <row r="836">
      <c r="M836" s="4"/>
      <c r="N836" s="11"/>
    </row>
    <row r="837">
      <c r="M837" s="4"/>
      <c r="N837" s="11"/>
    </row>
    <row r="838">
      <c r="M838" s="4"/>
      <c r="N838" s="11"/>
    </row>
    <row r="839">
      <c r="M839" s="4"/>
      <c r="N839" s="11"/>
    </row>
    <row r="840">
      <c r="M840" s="4"/>
      <c r="N840" s="11"/>
    </row>
    <row r="841">
      <c r="M841" s="4"/>
      <c r="N841" s="11"/>
    </row>
    <row r="842">
      <c r="M842" s="4"/>
      <c r="N842" s="11"/>
    </row>
    <row r="843">
      <c r="M843" s="4"/>
      <c r="N843" s="11"/>
    </row>
    <row r="844">
      <c r="M844" s="4"/>
      <c r="N844" s="11"/>
    </row>
    <row r="845">
      <c r="M845" s="4"/>
      <c r="N845" s="11"/>
    </row>
    <row r="846">
      <c r="M846" s="4"/>
      <c r="N846" s="11"/>
    </row>
    <row r="847">
      <c r="M847" s="4"/>
      <c r="N847" s="11"/>
    </row>
    <row r="848">
      <c r="M848" s="4"/>
      <c r="N848" s="11"/>
    </row>
    <row r="849">
      <c r="M849" s="4"/>
      <c r="N849" s="11"/>
    </row>
    <row r="850">
      <c r="M850" s="4"/>
      <c r="N850" s="11"/>
    </row>
    <row r="851">
      <c r="M851" s="4"/>
      <c r="N851" s="11"/>
    </row>
    <row r="852">
      <c r="M852" s="4"/>
      <c r="N852" s="11"/>
    </row>
    <row r="853">
      <c r="M853" s="4"/>
      <c r="N853" s="11"/>
    </row>
    <row r="854">
      <c r="M854" s="4"/>
      <c r="N854" s="11"/>
    </row>
    <row r="855">
      <c r="M855" s="4"/>
      <c r="N855" s="11"/>
    </row>
    <row r="856">
      <c r="M856" s="4"/>
      <c r="N856" s="11"/>
    </row>
    <row r="857">
      <c r="M857" s="4"/>
      <c r="N857" s="11"/>
    </row>
    <row r="858">
      <c r="M858" s="4"/>
      <c r="N858" s="11"/>
    </row>
    <row r="859">
      <c r="M859" s="4"/>
      <c r="N859" s="11"/>
    </row>
    <row r="860">
      <c r="M860" s="4"/>
      <c r="N860" s="11"/>
    </row>
    <row r="861">
      <c r="M861" s="4"/>
      <c r="N861" s="11"/>
    </row>
    <row r="862">
      <c r="M862" s="4"/>
      <c r="N862" s="11"/>
    </row>
    <row r="863">
      <c r="M863" s="4"/>
      <c r="N863" s="11"/>
    </row>
    <row r="864">
      <c r="M864" s="4"/>
      <c r="N864" s="11"/>
    </row>
    <row r="865">
      <c r="M865" s="4"/>
      <c r="N865" s="11"/>
    </row>
    <row r="866">
      <c r="M866" s="4"/>
      <c r="N866" s="11"/>
    </row>
    <row r="867">
      <c r="M867" s="4"/>
      <c r="N867" s="11"/>
    </row>
    <row r="868">
      <c r="M868" s="4"/>
      <c r="N868" s="11"/>
    </row>
    <row r="869">
      <c r="M869" s="4"/>
      <c r="N869" s="11"/>
    </row>
    <row r="870">
      <c r="M870" s="4"/>
      <c r="N870" s="11"/>
    </row>
    <row r="871">
      <c r="M871" s="4"/>
      <c r="N871" s="11"/>
    </row>
    <row r="872">
      <c r="M872" s="4"/>
      <c r="N872" s="11"/>
    </row>
    <row r="873">
      <c r="M873" s="4"/>
      <c r="N873" s="11"/>
    </row>
    <row r="874">
      <c r="M874" s="4"/>
      <c r="N874" s="11"/>
    </row>
    <row r="875">
      <c r="M875" s="4"/>
      <c r="N875" s="11"/>
    </row>
    <row r="876">
      <c r="M876" s="4"/>
      <c r="N876" s="11"/>
    </row>
    <row r="877">
      <c r="M877" s="4"/>
      <c r="N877" s="11"/>
    </row>
    <row r="878">
      <c r="M878" s="4"/>
      <c r="N878" s="11"/>
    </row>
    <row r="879">
      <c r="M879" s="4"/>
      <c r="N879" s="11"/>
    </row>
    <row r="880">
      <c r="M880" s="4"/>
      <c r="N880" s="11"/>
    </row>
    <row r="881">
      <c r="M881" s="4"/>
      <c r="N881" s="11"/>
    </row>
    <row r="882">
      <c r="M882" s="4"/>
      <c r="N882" s="11"/>
    </row>
    <row r="883">
      <c r="M883" s="4"/>
      <c r="N883" s="11"/>
    </row>
    <row r="884">
      <c r="M884" s="4"/>
      <c r="N884" s="11"/>
    </row>
    <row r="885">
      <c r="M885" s="4"/>
      <c r="N885" s="11"/>
    </row>
    <row r="886">
      <c r="M886" s="4"/>
      <c r="N886" s="11"/>
    </row>
    <row r="887">
      <c r="M887" s="4"/>
      <c r="N887" s="11"/>
    </row>
    <row r="888">
      <c r="M888" s="4"/>
      <c r="N888" s="11"/>
    </row>
    <row r="889">
      <c r="M889" s="4"/>
      <c r="N889" s="11"/>
    </row>
    <row r="890">
      <c r="M890" s="4"/>
      <c r="N890" s="11"/>
    </row>
    <row r="891">
      <c r="M891" s="4"/>
      <c r="N891" s="11"/>
    </row>
    <row r="892">
      <c r="M892" s="4"/>
      <c r="N892" s="11"/>
    </row>
    <row r="893">
      <c r="M893" s="4"/>
      <c r="N893" s="11"/>
    </row>
    <row r="894">
      <c r="M894" s="4"/>
      <c r="N894" s="11"/>
    </row>
    <row r="895">
      <c r="M895" s="4"/>
      <c r="N895" s="11"/>
    </row>
    <row r="896">
      <c r="M896" s="4"/>
      <c r="N896" s="11"/>
    </row>
    <row r="897">
      <c r="M897" s="4"/>
      <c r="N897" s="11"/>
    </row>
    <row r="898">
      <c r="M898" s="4"/>
      <c r="N898" s="11"/>
    </row>
    <row r="899">
      <c r="M899" s="4"/>
      <c r="N899" s="11"/>
    </row>
    <row r="900">
      <c r="M900" s="4"/>
      <c r="N900" s="11"/>
    </row>
    <row r="901">
      <c r="M901" s="4"/>
      <c r="N901" s="11"/>
    </row>
    <row r="902">
      <c r="M902" s="4"/>
      <c r="N902" s="11"/>
    </row>
    <row r="903">
      <c r="M903" s="4"/>
      <c r="N903" s="11"/>
    </row>
    <row r="904">
      <c r="M904" s="4"/>
      <c r="N904" s="11"/>
    </row>
    <row r="905">
      <c r="M905" s="4"/>
      <c r="N905" s="11"/>
    </row>
    <row r="906">
      <c r="M906" s="4"/>
      <c r="N906" s="11"/>
    </row>
    <row r="907">
      <c r="M907" s="4"/>
      <c r="N907" s="11"/>
    </row>
    <row r="908">
      <c r="M908" s="4"/>
      <c r="N908" s="11"/>
    </row>
    <row r="909">
      <c r="M909" s="4"/>
      <c r="N909" s="11"/>
    </row>
    <row r="910">
      <c r="M910" s="4"/>
      <c r="N910" s="11"/>
    </row>
    <row r="911">
      <c r="M911" s="4"/>
      <c r="N911" s="11"/>
    </row>
    <row r="912">
      <c r="M912" s="4"/>
      <c r="N912" s="11"/>
    </row>
    <row r="913">
      <c r="M913" s="4"/>
      <c r="N913" s="11"/>
    </row>
    <row r="914">
      <c r="M914" s="4"/>
      <c r="N914" s="11"/>
    </row>
    <row r="915">
      <c r="M915" s="4"/>
      <c r="N915" s="11"/>
    </row>
    <row r="916">
      <c r="M916" s="4"/>
      <c r="N916" s="11"/>
    </row>
    <row r="917">
      <c r="M917" s="4"/>
      <c r="N917" s="11"/>
    </row>
    <row r="918">
      <c r="M918" s="4"/>
      <c r="N918" s="11"/>
    </row>
    <row r="919">
      <c r="M919" s="4"/>
      <c r="N919" s="11"/>
    </row>
    <row r="920">
      <c r="M920" s="4"/>
      <c r="N920" s="11"/>
    </row>
    <row r="921">
      <c r="M921" s="4"/>
      <c r="N921" s="11"/>
    </row>
    <row r="922">
      <c r="M922" s="4"/>
      <c r="N922" s="11"/>
    </row>
    <row r="923">
      <c r="M923" s="4"/>
      <c r="N923" s="11"/>
    </row>
    <row r="924">
      <c r="M924" s="4"/>
      <c r="N924" s="11"/>
    </row>
    <row r="925">
      <c r="M925" s="4"/>
      <c r="N925" s="11"/>
    </row>
    <row r="926">
      <c r="M926" s="4"/>
      <c r="N926" s="11"/>
    </row>
    <row r="927">
      <c r="M927" s="4"/>
      <c r="N927" s="11"/>
    </row>
    <row r="928">
      <c r="M928" s="4"/>
      <c r="N928" s="11"/>
    </row>
    <row r="929">
      <c r="M929" s="4"/>
      <c r="N929" s="11"/>
    </row>
    <row r="930">
      <c r="M930" s="4"/>
      <c r="N930" s="11"/>
    </row>
    <row r="931">
      <c r="M931" s="4"/>
      <c r="N931" s="11"/>
    </row>
    <row r="932">
      <c r="M932" s="4"/>
      <c r="N932" s="11"/>
    </row>
    <row r="933">
      <c r="M933" s="4"/>
      <c r="N933" s="11"/>
    </row>
    <row r="934">
      <c r="M934" s="4"/>
      <c r="N934" s="11"/>
    </row>
    <row r="935">
      <c r="M935" s="4"/>
      <c r="N935" s="11"/>
    </row>
    <row r="936">
      <c r="M936" s="4"/>
      <c r="N936" s="11"/>
    </row>
    <row r="937">
      <c r="M937" s="4"/>
      <c r="N937" s="11"/>
    </row>
    <row r="938">
      <c r="M938" s="4"/>
      <c r="N938" s="11"/>
    </row>
    <row r="939">
      <c r="M939" s="4"/>
      <c r="N939" s="11"/>
    </row>
    <row r="940">
      <c r="M940" s="4"/>
      <c r="N940" s="11"/>
    </row>
    <row r="941">
      <c r="M941" s="4"/>
      <c r="N941" s="11"/>
    </row>
    <row r="942">
      <c r="M942" s="4"/>
      <c r="N942" s="11"/>
    </row>
    <row r="943">
      <c r="M943" s="4"/>
      <c r="N943" s="11"/>
    </row>
    <row r="944">
      <c r="M944" s="4"/>
      <c r="N944" s="11"/>
    </row>
    <row r="945">
      <c r="M945" s="4"/>
      <c r="N945" s="11"/>
    </row>
    <row r="946">
      <c r="M946" s="4"/>
      <c r="N946" s="11"/>
    </row>
    <row r="947">
      <c r="M947" s="4"/>
      <c r="N947" s="11"/>
    </row>
    <row r="948">
      <c r="M948" s="4"/>
      <c r="N948" s="11"/>
    </row>
    <row r="949">
      <c r="M949" s="4"/>
      <c r="N949" s="11"/>
    </row>
    <row r="950">
      <c r="M950" s="4"/>
      <c r="N950" s="11"/>
    </row>
    <row r="951">
      <c r="M951" s="4"/>
      <c r="N951" s="11"/>
    </row>
    <row r="952">
      <c r="M952" s="4"/>
      <c r="N952" s="11"/>
    </row>
    <row r="953">
      <c r="M953" s="4"/>
      <c r="N953" s="11"/>
    </row>
    <row r="954">
      <c r="M954" s="4"/>
      <c r="N954" s="11"/>
    </row>
    <row r="955">
      <c r="M955" s="4"/>
      <c r="N955" s="11"/>
    </row>
    <row r="956">
      <c r="M956" s="4"/>
      <c r="N956" s="11"/>
    </row>
    <row r="957">
      <c r="M957" s="4"/>
      <c r="N957" s="11"/>
    </row>
    <row r="958">
      <c r="M958" s="4"/>
      <c r="N958" s="11"/>
    </row>
    <row r="959">
      <c r="M959" s="4"/>
      <c r="N959" s="11"/>
    </row>
    <row r="960">
      <c r="M960" s="4"/>
      <c r="N960" s="11"/>
    </row>
    <row r="961">
      <c r="M961" s="4"/>
      <c r="N961" s="11"/>
    </row>
    <row r="962">
      <c r="M962" s="4"/>
      <c r="N962" s="11"/>
    </row>
    <row r="963">
      <c r="M963" s="4"/>
      <c r="N963" s="11"/>
    </row>
    <row r="964">
      <c r="M964" s="4"/>
      <c r="N964" s="11"/>
    </row>
    <row r="965">
      <c r="M965" s="4"/>
      <c r="N965" s="11"/>
    </row>
    <row r="966">
      <c r="M966" s="4"/>
      <c r="N966" s="11"/>
    </row>
    <row r="967">
      <c r="M967" s="4"/>
      <c r="N967" s="11"/>
    </row>
    <row r="968">
      <c r="M968" s="4"/>
      <c r="N968" s="11"/>
    </row>
    <row r="969">
      <c r="M969" s="4"/>
      <c r="N969" s="11"/>
    </row>
    <row r="970">
      <c r="M970" s="4"/>
      <c r="N970" s="11"/>
    </row>
    <row r="971">
      <c r="M971" s="4"/>
      <c r="N971" s="11"/>
    </row>
    <row r="972">
      <c r="M972" s="4"/>
      <c r="N972" s="11"/>
    </row>
    <row r="973">
      <c r="M973" s="4"/>
      <c r="N973" s="11"/>
    </row>
    <row r="974">
      <c r="M974" s="4"/>
      <c r="N974" s="11"/>
    </row>
    <row r="975">
      <c r="M975" s="4"/>
      <c r="N975" s="11"/>
    </row>
    <row r="976">
      <c r="M976" s="4"/>
      <c r="N976" s="11"/>
    </row>
    <row r="977">
      <c r="M977" s="4"/>
      <c r="N977" s="11"/>
    </row>
    <row r="978">
      <c r="M978" s="4"/>
      <c r="N978" s="11"/>
    </row>
    <row r="979">
      <c r="M979" s="4"/>
      <c r="N979" s="11"/>
    </row>
    <row r="980">
      <c r="M980" s="4"/>
      <c r="N980" s="11"/>
    </row>
    <row r="981">
      <c r="M981" s="4"/>
      <c r="N981" s="11"/>
    </row>
    <row r="982">
      <c r="M982" s="4"/>
      <c r="N982" s="11"/>
    </row>
    <row r="983">
      <c r="M983" s="4"/>
      <c r="N983" s="11"/>
    </row>
    <row r="984">
      <c r="M984" s="4"/>
      <c r="N984" s="11"/>
    </row>
    <row r="985">
      <c r="M985" s="4"/>
      <c r="N985" s="11"/>
    </row>
    <row r="986">
      <c r="M986" s="4"/>
      <c r="N986" s="11"/>
    </row>
    <row r="987">
      <c r="M987" s="4"/>
      <c r="N987" s="11"/>
    </row>
    <row r="988">
      <c r="M988" s="4"/>
      <c r="N988" s="11"/>
    </row>
    <row r="989">
      <c r="M989" s="4"/>
      <c r="N989" s="11"/>
    </row>
    <row r="990">
      <c r="M990" s="4"/>
      <c r="N990" s="11"/>
    </row>
    <row r="991">
      <c r="M991" s="4"/>
      <c r="N991" s="11"/>
    </row>
    <row r="992">
      <c r="M992" s="4"/>
      <c r="N992" s="11"/>
    </row>
    <row r="993">
      <c r="M993" s="4"/>
      <c r="N993" s="11"/>
    </row>
    <row r="994">
      <c r="M994" s="4"/>
      <c r="N994" s="11"/>
    </row>
    <row r="995">
      <c r="M995" s="4"/>
      <c r="N995" s="11"/>
    </row>
    <row r="996">
      <c r="M996" s="4"/>
      <c r="N996" s="11"/>
    </row>
    <row r="997">
      <c r="M997" s="4"/>
      <c r="N997" s="11"/>
    </row>
    <row r="998">
      <c r="M998" s="4"/>
      <c r="N998" s="11"/>
    </row>
    <row r="999">
      <c r="M999" s="4"/>
      <c r="N999" s="11"/>
    </row>
    <row r="1000">
      <c r="M1000" s="4"/>
      <c r="N1000" s="11"/>
    </row>
    <row r="1001">
      <c r="M1001" s="4"/>
      <c r="N1001" s="11"/>
    </row>
    <row r="1002">
      <c r="M1002" s="4"/>
      <c r="N1002" s="11"/>
    </row>
    <row r="1003">
      <c r="M1003" s="4"/>
      <c r="N1003" s="11"/>
    </row>
    <row r="1004">
      <c r="M1004" s="4"/>
      <c r="N1004" s="11"/>
    </row>
    <row r="1005">
      <c r="M1005" s="4"/>
      <c r="N1005" s="11"/>
    </row>
    <row r="1006">
      <c r="M1006" s="4"/>
      <c r="N1006" s="11"/>
    </row>
    <row r="1007">
      <c r="M1007" s="4"/>
      <c r="N1007" s="11"/>
    </row>
    <row r="1008">
      <c r="M1008" s="4"/>
      <c r="N1008" s="11"/>
    </row>
    <row r="1009">
      <c r="M1009" s="4"/>
      <c r="N1009" s="11"/>
    </row>
  </sheetData>
  <autoFilter ref="$A$1:$K$25"/>
  <mergeCells count="2">
    <mergeCell ref="D27:K27"/>
    <mergeCell ref="D43:I43"/>
  </mergeCells>
  <conditionalFormatting sqref="D2:D26 D28:D41">
    <cfRule type="colorScale" priority="1">
      <colorScale>
        <cfvo type="formula" val="0"/>
        <cfvo type="formula" val="0.5"/>
        <cfvo type="formula" val="1"/>
        <color rgb="FFFFFFFF"/>
        <color rgb="FFF3BEB9"/>
        <color rgb="FFE67C73"/>
      </colorScale>
    </cfRule>
  </conditionalFormatting>
  <conditionalFormatting sqref="E2:J25 E28:J41">
    <cfRule type="colorScale" priority="2">
      <colorScale>
        <cfvo type="formula" val="1"/>
        <cfvo type="formula" val="3"/>
        <cfvo type="formula" val="5"/>
        <color rgb="FFEA9999"/>
        <color rgb="FFFFE599"/>
        <color rgb="FF9FC5E8"/>
      </colorScale>
    </cfRule>
  </conditionalFormatting>
  <conditionalFormatting sqref="E2:J25">
    <cfRule type="expression" dxfId="0" priority="3">
      <formula>E2=MAX(E$6:E$25)</formula>
    </cfRule>
  </conditionalFormatting>
  <conditionalFormatting sqref="E33:J37">
    <cfRule type="expression" dxfId="0" priority="4">
      <formula>E33=MAX(E$33:E$37)</formula>
    </cfRule>
  </conditionalFormatting>
  <conditionalFormatting sqref="E38:J41">
    <cfRule type="expression" dxfId="0" priority="5">
      <formula>E38=MAX(E$38:E$41)</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4:D62">
    <cfRule type="colorScale" priority="7">
      <colorScale>
        <cfvo type="min"/>
        <cfvo type="max"/>
        <color rgb="FFFFFFFF"/>
        <color rgb="FFE67C73"/>
      </colorScale>
    </cfRule>
  </conditionalFormatting>
  <conditionalFormatting sqref="E44:I62">
    <cfRule type="colorScale" priority="8">
      <colorScale>
        <cfvo type="min"/>
        <cfvo type="percent" val="50"/>
        <cfvo type="max"/>
        <color rgb="FFFFFFFF"/>
        <color rgb="FFF3BEB9"/>
        <color rgb="FFE67C73"/>
      </colorScale>
    </cfRule>
  </conditionalFormatting>
  <conditionalFormatting sqref="E28:J32">
    <cfRule type="expression" dxfId="0" priority="9">
      <formula>E28=MAX(#REF!)</formula>
    </cfRule>
  </conditionalFormatting>
  <dataValidations>
    <dataValidation type="list" allowBlank="1" showErrorMessage="1" sqref="C2:C25 C38:C41 C59:C62">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20</v>
      </c>
      <c r="B1" s="10">
        <v>1.0</v>
      </c>
    </row>
    <row r="2">
      <c r="A2" s="10" t="s">
        <v>24</v>
      </c>
      <c r="B2" s="10">
        <v>2.0</v>
      </c>
    </row>
    <row r="3">
      <c r="A3" s="10" t="s">
        <v>25</v>
      </c>
      <c r="B3" s="10">
        <v>3.0</v>
      </c>
    </row>
    <row r="4">
      <c r="A4" s="10" t="s">
        <v>26</v>
      </c>
      <c r="B4" s="10">
        <v>4.0</v>
      </c>
    </row>
    <row r="5">
      <c r="A5" s="10" t="s">
        <v>21</v>
      </c>
      <c r="B5" s="10">
        <v>10.0</v>
      </c>
    </row>
    <row r="6">
      <c r="A6" s="10" t="s">
        <v>22</v>
      </c>
      <c r="B6" s="10">
        <v>11.0</v>
      </c>
    </row>
    <row r="7">
      <c r="A7" s="10" t="s">
        <v>8</v>
      </c>
      <c r="B7" s="10">
        <v>12.0</v>
      </c>
    </row>
    <row r="8">
      <c r="A8" s="10" t="s">
        <v>23</v>
      </c>
      <c r="B8" s="10">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ht="15.75" customHeight="1">
      <c r="A1" s="48" t="s">
        <v>0</v>
      </c>
      <c r="B1" s="2" t="s">
        <v>30</v>
      </c>
      <c r="C1" s="2" t="s">
        <v>31</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33</v>
      </c>
      <c r="B2" s="53" t="s">
        <v>34</v>
      </c>
      <c r="C2" s="7" t="s">
        <v>16</v>
      </c>
      <c r="D2" s="54" t="s">
        <v>35</v>
      </c>
      <c r="E2" s="55">
        <f>IFERROR(__xludf.DUMMYFUNCTION("COUNTA(SPLIT(D2,"" ""))/COUNTA(SPLIT($B$2,"" ""))"),0.02891156462585034)</f>
        <v>0.02891156463</v>
      </c>
      <c r="F2" s="7">
        <v>5.0</v>
      </c>
      <c r="G2" s="7">
        <v>5.0</v>
      </c>
      <c r="H2" s="7">
        <v>5.0</v>
      </c>
      <c r="I2" s="7">
        <v>5.0</v>
      </c>
      <c r="J2" s="7">
        <v>1.0</v>
      </c>
      <c r="K2" s="56"/>
      <c r="L2" s="56"/>
      <c r="M2" s="56"/>
      <c r="N2" s="56"/>
      <c r="O2" s="56"/>
      <c r="P2" s="56"/>
      <c r="Q2" s="56"/>
      <c r="R2" s="56"/>
      <c r="S2" s="56"/>
      <c r="T2" s="56"/>
      <c r="U2" s="56"/>
      <c r="V2" s="56"/>
      <c r="W2" s="56"/>
      <c r="X2" s="56"/>
      <c r="Y2" s="56"/>
      <c r="Z2" s="56"/>
      <c r="AA2" s="56"/>
      <c r="AB2" s="56"/>
    </row>
    <row r="3" ht="225.0" customHeight="1">
      <c r="C3" s="7" t="s">
        <v>17</v>
      </c>
      <c r="D3" s="57"/>
      <c r="E3" s="55">
        <f>IFERROR(__xludf.DUMMYFUNCTION("COUNTA(SPLIT(D3,"" ""))/COUNTA(SPLIT($B$2,"" ""))"),0.0017006802721088435)</f>
        <v>0.001700680272</v>
      </c>
      <c r="F3" s="58"/>
      <c r="G3" s="58"/>
      <c r="H3" s="58"/>
      <c r="I3" s="58"/>
      <c r="J3" s="58"/>
      <c r="K3" s="56"/>
      <c r="L3" s="56"/>
      <c r="M3" s="56"/>
      <c r="N3" s="56"/>
      <c r="O3" s="56"/>
      <c r="P3" s="56"/>
      <c r="Q3" s="56"/>
      <c r="R3" s="56"/>
      <c r="S3" s="56"/>
      <c r="T3" s="56"/>
      <c r="U3" s="56"/>
      <c r="V3" s="56"/>
      <c r="W3" s="56"/>
      <c r="X3" s="56"/>
      <c r="Y3" s="56"/>
      <c r="Z3" s="56"/>
      <c r="AA3" s="56"/>
      <c r="AB3" s="56"/>
    </row>
    <row r="4" ht="225.0" customHeight="1">
      <c r="C4" s="7" t="s">
        <v>18</v>
      </c>
      <c r="D4" s="54"/>
      <c r="E4" s="55">
        <f>IFERROR(__xludf.DUMMYFUNCTION("COUNTA(SPLIT(D4,"" ""))/COUNTA(SPLIT($B$2,"" ""))"),0.0017006802721088435)</f>
        <v>0.001700680272</v>
      </c>
      <c r="F4" s="7"/>
      <c r="G4" s="7"/>
      <c r="H4" s="7"/>
      <c r="I4" s="7"/>
      <c r="J4" s="7"/>
      <c r="K4" s="56"/>
      <c r="L4" s="56"/>
      <c r="M4" s="56"/>
      <c r="N4" s="56"/>
      <c r="O4" s="56"/>
      <c r="P4" s="56"/>
      <c r="Q4" s="56"/>
      <c r="R4" s="56"/>
      <c r="S4" s="56"/>
      <c r="T4" s="56"/>
      <c r="U4" s="56"/>
      <c r="V4" s="56"/>
      <c r="W4" s="56"/>
      <c r="X4" s="56"/>
      <c r="Y4" s="56"/>
      <c r="Z4" s="56"/>
      <c r="AA4" s="56"/>
      <c r="AB4" s="56"/>
    </row>
    <row r="5" ht="225.0" customHeight="1">
      <c r="C5" s="7" t="s">
        <v>19</v>
      </c>
      <c r="D5" s="54" t="s">
        <v>36</v>
      </c>
      <c r="E5" s="55">
        <f>IFERROR(__xludf.DUMMYFUNCTION("COUNTA(SPLIT(D5,"" ""))/COUNTA(SPLIT($B$2,"" ""))"),0.20748299319727892)</f>
        <v>0.2074829932</v>
      </c>
      <c r="F5" s="58"/>
      <c r="G5" s="58"/>
      <c r="H5" s="58"/>
      <c r="I5" s="58"/>
      <c r="J5" s="58"/>
      <c r="K5" s="56"/>
      <c r="L5" s="56"/>
      <c r="M5" s="56"/>
      <c r="N5" s="56"/>
      <c r="O5" s="56"/>
      <c r="P5" s="56"/>
      <c r="Q5" s="56"/>
      <c r="R5" s="56"/>
      <c r="S5" s="56"/>
      <c r="T5" s="56"/>
      <c r="U5" s="56"/>
      <c r="V5" s="56"/>
      <c r="W5" s="56"/>
      <c r="X5" s="56"/>
      <c r="Y5" s="56"/>
      <c r="Z5" s="56"/>
      <c r="AA5" s="56"/>
      <c r="AB5" s="56"/>
    </row>
    <row r="6" ht="15.75" customHeight="1">
      <c r="A6" s="59"/>
      <c r="B6" s="56"/>
      <c r="C6" s="60"/>
      <c r="D6" s="61"/>
      <c r="E6" s="55"/>
      <c r="F6" s="60"/>
      <c r="G6" s="60"/>
      <c r="H6" s="60"/>
      <c r="I6" s="60"/>
      <c r="J6" s="60"/>
      <c r="K6" s="56"/>
      <c r="L6" s="56"/>
      <c r="M6" s="56"/>
      <c r="N6" s="56"/>
      <c r="O6" s="56"/>
      <c r="P6" s="56"/>
      <c r="Q6" s="56"/>
      <c r="R6" s="56"/>
      <c r="S6" s="56"/>
      <c r="T6" s="56"/>
      <c r="U6" s="56"/>
      <c r="V6" s="56"/>
      <c r="W6" s="56"/>
      <c r="X6" s="56"/>
      <c r="Y6" s="56"/>
      <c r="Z6" s="56"/>
      <c r="AA6" s="56"/>
      <c r="AB6" s="56"/>
    </row>
    <row r="7" ht="225.0" customHeight="1">
      <c r="A7" s="62" t="s">
        <v>37</v>
      </c>
      <c r="B7" s="63" t="s">
        <v>38</v>
      </c>
      <c r="C7" s="64" t="s">
        <v>16</v>
      </c>
      <c r="D7" s="65" t="s">
        <v>39</v>
      </c>
      <c r="E7" s="66">
        <f>IFERROR(__xludf.DUMMYFUNCTION("COUNTA(SPLIT(D7,"" ""))/COUNTA(SPLIT($B$7,"" ""))"),0.02054794520547945)</f>
        <v>0.02054794521</v>
      </c>
      <c r="F7" s="67">
        <v>4.0</v>
      </c>
      <c r="G7" s="67">
        <v>5.0</v>
      </c>
      <c r="H7" s="67">
        <v>5.0</v>
      </c>
      <c r="I7" s="67">
        <v>1.0</v>
      </c>
      <c r="J7" s="67">
        <v>1.0</v>
      </c>
      <c r="K7" s="68"/>
      <c r="L7" s="68"/>
      <c r="M7" s="68"/>
      <c r="N7" s="68"/>
      <c r="O7" s="68"/>
      <c r="P7" s="68"/>
      <c r="Q7" s="68"/>
      <c r="R7" s="68"/>
      <c r="S7" s="68"/>
      <c r="T7" s="68"/>
      <c r="U7" s="68"/>
      <c r="V7" s="68"/>
      <c r="W7" s="68"/>
      <c r="X7" s="68"/>
      <c r="Y7" s="68"/>
      <c r="Z7" s="68"/>
      <c r="AA7" s="68"/>
      <c r="AB7" s="68"/>
    </row>
    <row r="8" ht="225.0" customHeight="1">
      <c r="C8" s="7" t="s">
        <v>17</v>
      </c>
      <c r="D8" s="57"/>
      <c r="E8" s="55">
        <f>IFERROR(__xludf.DUMMYFUNCTION("COUNTA(SPLIT(D8,"" ""))/COUNTA(SPLIT($B$7,"" ""))"),0.0013698630136986301)</f>
        <v>0.001369863014</v>
      </c>
      <c r="F8" s="7"/>
      <c r="G8" s="7"/>
      <c r="H8" s="7"/>
      <c r="I8" s="7"/>
      <c r="J8" s="7"/>
      <c r="K8" s="56"/>
      <c r="L8" s="56"/>
      <c r="M8" s="56"/>
      <c r="N8" s="56"/>
      <c r="O8" s="56"/>
      <c r="P8" s="56"/>
      <c r="Q8" s="56"/>
      <c r="R8" s="56"/>
      <c r="S8" s="56"/>
      <c r="T8" s="56"/>
      <c r="U8" s="56"/>
      <c r="V8" s="56"/>
      <c r="W8" s="56"/>
      <c r="X8" s="56"/>
      <c r="Y8" s="56"/>
      <c r="Z8" s="56"/>
      <c r="AA8" s="56"/>
      <c r="AB8" s="56"/>
    </row>
    <row r="9" ht="225.0" customHeight="1">
      <c r="C9" s="7" t="s">
        <v>18</v>
      </c>
      <c r="D9" s="54"/>
      <c r="E9" s="55">
        <f>IFERROR(__xludf.DUMMYFUNCTION("COUNTA(SPLIT(D9,"" ""))/COUNTA(SPLIT($B$7,"" ""))"),0.0013698630136986301)</f>
        <v>0.001369863014</v>
      </c>
      <c r="F9" s="7"/>
      <c r="G9" s="7"/>
      <c r="H9" s="7"/>
      <c r="I9" s="7"/>
      <c r="J9" s="7"/>
      <c r="K9" s="56"/>
      <c r="L9" s="56"/>
      <c r="M9" s="56"/>
      <c r="N9" s="56"/>
      <c r="O9" s="56"/>
      <c r="P9" s="56"/>
      <c r="Q9" s="56"/>
      <c r="R9" s="56"/>
      <c r="S9" s="56"/>
      <c r="T9" s="56"/>
      <c r="U9" s="56"/>
      <c r="V9" s="56"/>
      <c r="W9" s="56"/>
      <c r="X9" s="56"/>
      <c r="Y9" s="56"/>
      <c r="Z9" s="56"/>
      <c r="AA9" s="56"/>
      <c r="AB9" s="56"/>
    </row>
    <row r="10" ht="225.0" customHeight="1">
      <c r="C10" s="7" t="s">
        <v>19</v>
      </c>
      <c r="D10" s="54" t="s">
        <v>40</v>
      </c>
      <c r="E10" s="55">
        <f>IFERROR(__xludf.DUMMYFUNCTION("COUNTA(SPLIT(D10,"" ""))/COUNTA(SPLIT($B$7,"" ""))"),0.13561643835616438)</f>
        <v>0.1356164384</v>
      </c>
      <c r="F10" s="58"/>
      <c r="G10" s="58"/>
      <c r="H10" s="58"/>
      <c r="I10" s="58"/>
      <c r="J10" s="58"/>
      <c r="K10" s="56"/>
      <c r="L10" s="56"/>
      <c r="M10" s="56"/>
      <c r="N10" s="56"/>
      <c r="O10" s="56"/>
      <c r="P10" s="56"/>
      <c r="Q10" s="56"/>
      <c r="R10" s="56"/>
      <c r="S10" s="56"/>
      <c r="T10" s="56"/>
      <c r="U10" s="56"/>
      <c r="V10" s="56"/>
      <c r="W10" s="56"/>
      <c r="X10" s="56"/>
      <c r="Y10" s="56"/>
      <c r="Z10" s="56"/>
      <c r="AA10" s="56"/>
      <c r="AB10" s="56"/>
    </row>
    <row r="11" ht="15.75" customHeight="1">
      <c r="A11" s="59"/>
      <c r="B11" s="56"/>
      <c r="C11" s="60"/>
      <c r="D11" s="61"/>
      <c r="E11" s="55"/>
      <c r="F11" s="60"/>
      <c r="G11" s="60"/>
      <c r="H11" s="60"/>
      <c r="I11" s="60"/>
      <c r="J11" s="60"/>
      <c r="K11" s="56"/>
      <c r="L11" s="56"/>
      <c r="M11" s="56"/>
      <c r="N11" s="56"/>
      <c r="O11" s="56"/>
      <c r="P11" s="56"/>
      <c r="Q11" s="56"/>
      <c r="R11" s="56"/>
      <c r="S11" s="56"/>
      <c r="T11" s="56"/>
      <c r="U11" s="56"/>
      <c r="V11" s="56"/>
      <c r="W11" s="56"/>
      <c r="X11" s="56"/>
      <c r="Y11" s="56"/>
      <c r="Z11" s="56"/>
      <c r="AA11" s="56"/>
      <c r="AB11" s="56"/>
    </row>
    <row r="12" ht="225.0" customHeight="1">
      <c r="A12" s="62" t="s">
        <v>41</v>
      </c>
      <c r="B12" s="63" t="s">
        <v>42</v>
      </c>
      <c r="C12" s="64" t="s">
        <v>16</v>
      </c>
      <c r="D12" s="65" t="s">
        <v>43</v>
      </c>
      <c r="E12" s="66">
        <f>IFERROR(__xludf.DUMMYFUNCTION("COUNTA(SPLIT(D12,"" ""))/COUNTA(SPLIT($B$12,"" ""))"),0.047872340425531915)</f>
        <v>0.04787234043</v>
      </c>
      <c r="F12" s="67">
        <v>5.0</v>
      </c>
      <c r="G12" s="67">
        <v>5.0</v>
      </c>
      <c r="H12" s="67">
        <v>5.0</v>
      </c>
      <c r="I12" s="67">
        <v>5.0</v>
      </c>
      <c r="J12" s="67">
        <v>2.0</v>
      </c>
      <c r="K12" s="68"/>
      <c r="L12" s="68"/>
      <c r="M12" s="68"/>
      <c r="N12" s="68"/>
      <c r="O12" s="68"/>
      <c r="P12" s="68"/>
      <c r="Q12" s="68"/>
      <c r="R12" s="68"/>
      <c r="S12" s="68"/>
      <c r="T12" s="68"/>
      <c r="U12" s="68"/>
      <c r="V12" s="68"/>
      <c r="W12" s="68"/>
      <c r="X12" s="68"/>
      <c r="Y12" s="68"/>
      <c r="Z12" s="68"/>
      <c r="AA12" s="68"/>
      <c r="AB12" s="68"/>
    </row>
    <row r="13" ht="225.0" customHeight="1">
      <c r="C13" s="7" t="s">
        <v>17</v>
      </c>
      <c r="D13" s="57"/>
      <c r="E13" s="55">
        <f>IFERROR(__xludf.DUMMYFUNCTION("COUNTA(SPLIT(D13,"" ""))/COUNTA(SPLIT($B$12,"" ""))"),0.0026595744680851063)</f>
        <v>0.002659574468</v>
      </c>
      <c r="F13" s="58"/>
      <c r="G13" s="58"/>
      <c r="H13" s="58"/>
      <c r="I13" s="58"/>
      <c r="J13" s="58"/>
      <c r="K13" s="56"/>
      <c r="L13" s="56"/>
      <c r="M13" s="56"/>
      <c r="N13" s="56"/>
      <c r="O13" s="56"/>
      <c r="P13" s="56"/>
      <c r="Q13" s="56"/>
      <c r="R13" s="56"/>
      <c r="S13" s="56"/>
      <c r="T13" s="56"/>
      <c r="U13" s="56"/>
      <c r="V13" s="56"/>
      <c r="W13" s="56"/>
      <c r="X13" s="56"/>
      <c r="Y13" s="56"/>
      <c r="Z13" s="56"/>
      <c r="AA13" s="56"/>
      <c r="AB13" s="56"/>
    </row>
    <row r="14" ht="225.0" customHeight="1">
      <c r="C14" s="7" t="s">
        <v>18</v>
      </c>
      <c r="D14" s="54"/>
      <c r="E14" s="55">
        <f>IFERROR(__xludf.DUMMYFUNCTION("COUNTA(SPLIT(D14,"" ""))/COUNTA(SPLIT($B$12,"" ""))"),0.0026595744680851063)</f>
        <v>0.002659574468</v>
      </c>
      <c r="F14" s="7"/>
      <c r="G14" s="7"/>
      <c r="H14" s="7"/>
      <c r="I14" s="7"/>
      <c r="J14" s="7"/>
      <c r="K14" s="56"/>
      <c r="L14" s="56"/>
      <c r="M14" s="56"/>
      <c r="N14" s="56"/>
      <c r="O14" s="56"/>
      <c r="P14" s="56"/>
      <c r="Q14" s="56"/>
      <c r="R14" s="56"/>
      <c r="S14" s="56"/>
      <c r="T14" s="56"/>
      <c r="U14" s="56"/>
      <c r="V14" s="56"/>
      <c r="W14" s="56"/>
      <c r="X14" s="56"/>
      <c r="Y14" s="56"/>
      <c r="Z14" s="56"/>
      <c r="AA14" s="56"/>
      <c r="AB14" s="56"/>
    </row>
    <row r="15" ht="225.0" customHeight="1">
      <c r="C15" s="7" t="s">
        <v>19</v>
      </c>
      <c r="D15" s="54" t="s">
        <v>44</v>
      </c>
      <c r="E15" s="55">
        <f>IFERROR(__xludf.DUMMYFUNCTION("COUNTA(SPLIT(D15,"" ""))/COUNTA(SPLIT($B$12,"" ""))"),0.2473404255319149)</f>
        <v>0.2473404255</v>
      </c>
      <c r="F15" s="58"/>
      <c r="G15" s="58"/>
      <c r="H15" s="58"/>
      <c r="I15" s="58"/>
      <c r="J15" s="58"/>
      <c r="K15" s="56"/>
      <c r="L15" s="56"/>
      <c r="M15" s="56"/>
      <c r="N15" s="56"/>
      <c r="O15" s="56"/>
      <c r="P15" s="56"/>
      <c r="Q15" s="56"/>
      <c r="R15" s="56"/>
      <c r="S15" s="56"/>
      <c r="T15" s="56"/>
      <c r="U15" s="56"/>
      <c r="V15" s="56"/>
      <c r="W15" s="56"/>
      <c r="X15" s="56"/>
      <c r="Y15" s="56"/>
      <c r="Z15" s="56"/>
      <c r="AA15" s="56"/>
      <c r="AB15" s="56"/>
    </row>
    <row r="16" ht="15.75" customHeight="1">
      <c r="A16" s="59"/>
      <c r="B16" s="56"/>
      <c r="C16" s="60"/>
      <c r="D16" s="61"/>
      <c r="E16" s="55"/>
      <c r="F16" s="60"/>
      <c r="G16" s="60"/>
      <c r="H16" s="60"/>
      <c r="I16" s="60"/>
      <c r="J16" s="60"/>
      <c r="K16" s="56"/>
      <c r="L16" s="56"/>
      <c r="M16" s="56"/>
      <c r="N16" s="56"/>
      <c r="O16" s="56"/>
      <c r="P16" s="56"/>
      <c r="Q16" s="56"/>
      <c r="R16" s="56"/>
      <c r="S16" s="56"/>
      <c r="T16" s="56"/>
      <c r="U16" s="56"/>
      <c r="V16" s="56"/>
      <c r="W16" s="56"/>
      <c r="X16" s="56"/>
      <c r="Y16" s="56"/>
      <c r="Z16" s="56"/>
      <c r="AA16" s="56"/>
      <c r="AB16" s="56"/>
    </row>
    <row r="17" ht="225.0" customHeight="1">
      <c r="A17" s="62" t="s">
        <v>45</v>
      </c>
      <c r="B17" s="63" t="s">
        <v>46</v>
      </c>
      <c r="C17" s="64" t="s">
        <v>16</v>
      </c>
      <c r="D17" s="65" t="s">
        <v>47</v>
      </c>
      <c r="E17" s="66">
        <f>IFERROR(__xludf.DUMMYFUNCTION("COUNTA(SPLIT(D17,"" ""))/COUNTA(SPLIT($B$17,"" ""))"),0.037921348314606744)</f>
        <v>0.03792134831</v>
      </c>
      <c r="F17" s="67">
        <v>5.0</v>
      </c>
      <c r="G17" s="67">
        <v>5.0</v>
      </c>
      <c r="H17" s="67">
        <v>5.0</v>
      </c>
      <c r="I17" s="67">
        <v>5.0</v>
      </c>
      <c r="J17" s="67">
        <v>3.0</v>
      </c>
      <c r="K17" s="68"/>
      <c r="L17" s="68"/>
      <c r="M17" s="68"/>
      <c r="N17" s="68"/>
      <c r="O17" s="68"/>
      <c r="P17" s="68"/>
      <c r="Q17" s="68"/>
      <c r="R17" s="68"/>
      <c r="S17" s="68"/>
      <c r="T17" s="68"/>
      <c r="U17" s="68"/>
      <c r="V17" s="68"/>
      <c r="W17" s="68"/>
      <c r="X17" s="68"/>
      <c r="Y17" s="68"/>
      <c r="Z17" s="68"/>
      <c r="AA17" s="68"/>
      <c r="AB17" s="68"/>
    </row>
    <row r="18" ht="225.0" customHeight="1">
      <c r="C18" s="7" t="s">
        <v>17</v>
      </c>
      <c r="D18" s="57"/>
      <c r="E18" s="55">
        <f>IFERROR(__xludf.DUMMYFUNCTION("COUNTA(SPLIT(D18,"" ""))/COUNTA(SPLIT($B$17,"" ""))"),0.0014044943820224719)</f>
        <v>0.001404494382</v>
      </c>
      <c r="F18" s="58"/>
      <c r="G18" s="58"/>
      <c r="H18" s="58"/>
      <c r="I18" s="58"/>
      <c r="J18" s="58"/>
      <c r="K18" s="56"/>
      <c r="L18" s="56"/>
      <c r="M18" s="56"/>
      <c r="N18" s="56"/>
      <c r="O18" s="56"/>
      <c r="P18" s="56"/>
      <c r="Q18" s="56"/>
      <c r="R18" s="56"/>
      <c r="S18" s="56"/>
      <c r="T18" s="56"/>
      <c r="U18" s="56"/>
      <c r="V18" s="56"/>
      <c r="W18" s="56"/>
      <c r="X18" s="56"/>
      <c r="Y18" s="56"/>
      <c r="Z18" s="56"/>
      <c r="AA18" s="56"/>
      <c r="AB18" s="56"/>
    </row>
    <row r="19" ht="225.0" customHeight="1">
      <c r="C19" s="7" t="s">
        <v>18</v>
      </c>
      <c r="D19" s="54"/>
      <c r="E19" s="55">
        <f>IFERROR(__xludf.DUMMYFUNCTION("COUNTA(SPLIT(D19,"" ""))/COUNTA(SPLIT($B$17,"" ""))"),0.0014044943820224719)</f>
        <v>0.001404494382</v>
      </c>
      <c r="F19" s="7"/>
      <c r="G19" s="7"/>
      <c r="H19" s="7"/>
      <c r="I19" s="7"/>
      <c r="J19" s="7"/>
      <c r="K19" s="56"/>
      <c r="L19" s="56"/>
      <c r="M19" s="56"/>
      <c r="N19" s="56"/>
      <c r="O19" s="56"/>
      <c r="P19" s="56"/>
      <c r="Q19" s="56"/>
      <c r="R19" s="56"/>
      <c r="S19" s="56"/>
      <c r="T19" s="56"/>
      <c r="U19" s="56"/>
      <c r="V19" s="56"/>
      <c r="W19" s="56"/>
      <c r="X19" s="56"/>
      <c r="Y19" s="56"/>
      <c r="Z19" s="56"/>
      <c r="AA19" s="56"/>
      <c r="AB19" s="56"/>
    </row>
    <row r="20" ht="225.0" customHeight="1">
      <c r="C20" s="7" t="s">
        <v>19</v>
      </c>
      <c r="D20" s="54" t="s">
        <v>48</v>
      </c>
      <c r="E20" s="55">
        <f>IFERROR(__xludf.DUMMYFUNCTION("COUNTA(SPLIT(D20,"" ""))/COUNTA(SPLIT($B$17,"" ""))"),0.12219101123595505)</f>
        <v>0.1221910112</v>
      </c>
      <c r="F20" s="58"/>
      <c r="G20" s="58"/>
      <c r="H20" s="58"/>
      <c r="I20" s="58"/>
      <c r="J20" s="58"/>
      <c r="K20" s="56"/>
      <c r="L20" s="56"/>
      <c r="M20" s="56"/>
      <c r="N20" s="56"/>
      <c r="O20" s="56"/>
      <c r="P20" s="56"/>
      <c r="Q20" s="56"/>
      <c r="R20" s="56"/>
      <c r="S20" s="56"/>
      <c r="T20" s="56"/>
      <c r="U20" s="56"/>
      <c r="V20" s="56"/>
      <c r="W20" s="56"/>
      <c r="X20" s="56"/>
      <c r="Y20" s="56"/>
      <c r="Z20" s="56"/>
      <c r="AA20" s="56"/>
      <c r="AB20" s="56"/>
    </row>
    <row r="21" ht="15.75" customHeight="1">
      <c r="A21" s="59"/>
      <c r="B21" s="56"/>
      <c r="C21" s="60"/>
      <c r="D21" s="61"/>
      <c r="E21" s="55"/>
      <c r="F21" s="60"/>
      <c r="G21" s="60"/>
      <c r="H21" s="60"/>
      <c r="I21" s="60"/>
      <c r="J21" s="60"/>
      <c r="K21" s="56"/>
      <c r="L21" s="56"/>
      <c r="M21" s="56"/>
      <c r="N21" s="56"/>
      <c r="O21" s="56"/>
      <c r="P21" s="56"/>
      <c r="Q21" s="56"/>
      <c r="R21" s="56"/>
      <c r="S21" s="56"/>
      <c r="T21" s="56"/>
      <c r="U21" s="56"/>
      <c r="V21" s="56"/>
      <c r="W21" s="56"/>
      <c r="X21" s="56"/>
      <c r="Y21" s="56"/>
      <c r="Z21" s="56"/>
      <c r="AA21" s="56"/>
      <c r="AB21" s="56"/>
    </row>
    <row r="22" ht="225.0" customHeight="1">
      <c r="A22" s="62" t="s">
        <v>49</v>
      </c>
      <c r="B22" s="63" t="s">
        <v>50</v>
      </c>
      <c r="C22" s="64" t="s">
        <v>16</v>
      </c>
      <c r="D22" s="65" t="s">
        <v>51</v>
      </c>
      <c r="E22" s="66">
        <f>IFERROR(__xludf.DUMMYFUNCTION("COUNTA(SPLIT(D22,"" ""))/COUNTA(SPLIT($B$22,"" ""))"),0.019825535289452814)</f>
        <v>0.01982553529</v>
      </c>
      <c r="F22" s="67">
        <v>5.0</v>
      </c>
      <c r="G22" s="67">
        <v>4.0</v>
      </c>
      <c r="H22" s="67">
        <v>4.0</v>
      </c>
      <c r="I22" s="67">
        <v>5.0</v>
      </c>
      <c r="J22" s="67">
        <v>3.0</v>
      </c>
      <c r="K22" s="68"/>
      <c r="L22" s="68"/>
      <c r="M22" s="68"/>
      <c r="N22" s="68"/>
      <c r="O22" s="68"/>
      <c r="P22" s="68"/>
      <c r="Q22" s="68"/>
      <c r="R22" s="68"/>
      <c r="S22" s="68"/>
      <c r="T22" s="68"/>
      <c r="U22" s="68"/>
      <c r="V22" s="68"/>
      <c r="W22" s="68"/>
      <c r="X22" s="68"/>
      <c r="Y22" s="68"/>
      <c r="Z22" s="68"/>
      <c r="AA22" s="68"/>
      <c r="AB22" s="68"/>
    </row>
    <row r="23" ht="225.0" customHeight="1">
      <c r="C23" s="7" t="s">
        <v>17</v>
      </c>
      <c r="D23" s="57"/>
      <c r="E23" s="55">
        <f>IFERROR(__xludf.DUMMYFUNCTION("COUNTA(SPLIT(D23,"" ""))/COUNTA(SPLIT($B$22,"" ""))"),7.930214115781126E-4)</f>
        <v>0.0007930214116</v>
      </c>
      <c r="F23" s="58"/>
      <c r="G23" s="58"/>
      <c r="H23" s="58"/>
      <c r="I23" s="58"/>
      <c r="J23" s="58"/>
      <c r="K23" s="56"/>
      <c r="L23" s="56"/>
      <c r="M23" s="56"/>
      <c r="N23" s="56"/>
      <c r="O23" s="56"/>
      <c r="P23" s="56"/>
      <c r="Q23" s="56"/>
      <c r="R23" s="56"/>
      <c r="S23" s="56"/>
      <c r="T23" s="56"/>
      <c r="U23" s="56"/>
      <c r="V23" s="56"/>
      <c r="W23" s="56"/>
      <c r="X23" s="56"/>
      <c r="Y23" s="56"/>
      <c r="Z23" s="56"/>
      <c r="AA23" s="56"/>
      <c r="AB23" s="56"/>
    </row>
    <row r="24" ht="225.0" customHeight="1">
      <c r="C24" s="7" t="s">
        <v>18</v>
      </c>
      <c r="D24" s="54"/>
      <c r="E24" s="55">
        <f>IFERROR(__xludf.DUMMYFUNCTION("COUNTA(SPLIT(D24,"" ""))/COUNTA(SPLIT($B$22,"" ""))"),7.930214115781126E-4)</f>
        <v>0.0007930214116</v>
      </c>
      <c r="F24" s="60"/>
      <c r="G24" s="60"/>
      <c r="H24" s="60"/>
      <c r="I24" s="60"/>
      <c r="J24" s="60"/>
      <c r="K24" s="56"/>
      <c r="L24" s="56"/>
      <c r="M24" s="56"/>
      <c r="N24" s="56"/>
      <c r="O24" s="56"/>
      <c r="P24" s="56"/>
      <c r="Q24" s="56"/>
      <c r="R24" s="56"/>
      <c r="S24" s="56"/>
      <c r="T24" s="56"/>
      <c r="U24" s="56"/>
      <c r="V24" s="56"/>
      <c r="W24" s="56"/>
      <c r="X24" s="56"/>
      <c r="Y24" s="56"/>
      <c r="Z24" s="56"/>
      <c r="AA24" s="56"/>
      <c r="AB24" s="56"/>
    </row>
    <row r="25" ht="225.0" customHeight="1">
      <c r="C25" s="7" t="s">
        <v>19</v>
      </c>
      <c r="D25" s="54" t="s">
        <v>52</v>
      </c>
      <c r="E25" s="55">
        <f>IFERROR(__xludf.DUMMYFUNCTION("COUNTA(SPLIT(D25,"" ""))/COUNTA(SPLIT($B$22,"" ""))"),0.09278350515463918)</f>
        <v>0.09278350515</v>
      </c>
      <c r="F25" s="58"/>
      <c r="G25" s="58"/>
      <c r="H25" s="58"/>
      <c r="I25" s="58"/>
      <c r="J25" s="58"/>
      <c r="K25" s="56"/>
      <c r="L25" s="56"/>
      <c r="M25" s="56"/>
      <c r="N25" s="56"/>
      <c r="O25" s="56"/>
      <c r="P25" s="56"/>
      <c r="Q25" s="56"/>
      <c r="R25" s="56"/>
      <c r="S25" s="56"/>
      <c r="T25" s="56"/>
      <c r="U25" s="56"/>
      <c r="V25" s="56"/>
      <c r="W25" s="56"/>
      <c r="X25" s="56"/>
      <c r="Y25" s="56"/>
      <c r="Z25" s="56"/>
      <c r="AA25" s="56"/>
      <c r="AB25" s="56"/>
    </row>
    <row r="26">
      <c r="A26" s="59"/>
      <c r="B26" s="56"/>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ht="225.0" customHeight="1">
      <c r="A27" s="52" t="s">
        <v>53</v>
      </c>
      <c r="B27" s="53" t="s">
        <v>54</v>
      </c>
      <c r="C27" s="7" t="s">
        <v>16</v>
      </c>
      <c r="D27" s="54" t="s">
        <v>55</v>
      </c>
      <c r="E27" s="55">
        <f>IFERROR(__xludf.DUMMYFUNCTION("COUNTA(SPLIT(D27,"" ""))/COUNTA(SPLIT($B$27,"" ""))"),0.04119850187265917)</f>
        <v>0.04119850187</v>
      </c>
      <c r="F27" s="7">
        <v>5.0</v>
      </c>
      <c r="G27" s="7">
        <v>5.0</v>
      </c>
      <c r="H27" s="7">
        <v>5.0</v>
      </c>
      <c r="I27" s="7">
        <v>2.0</v>
      </c>
      <c r="J27" s="7">
        <v>1.0</v>
      </c>
      <c r="K27" s="56"/>
      <c r="L27" s="56"/>
      <c r="M27" s="56"/>
      <c r="N27" s="56"/>
      <c r="O27" s="56"/>
      <c r="P27" s="56"/>
      <c r="Q27" s="56"/>
      <c r="R27" s="56"/>
      <c r="S27" s="56"/>
      <c r="T27" s="56"/>
      <c r="U27" s="56"/>
      <c r="V27" s="56"/>
      <c r="W27" s="56"/>
      <c r="X27" s="56"/>
      <c r="Y27" s="56"/>
      <c r="Z27" s="56"/>
      <c r="AA27" s="56"/>
      <c r="AB27" s="56"/>
    </row>
    <row r="28" ht="225.0" customHeight="1">
      <c r="C28" s="7" t="s">
        <v>17</v>
      </c>
      <c r="D28" s="57"/>
      <c r="E28" s="55">
        <f>IFERROR(__xludf.DUMMYFUNCTION("COUNTA(SPLIT(D28,"" ""))/COUNTA(SPLIT($B$27,"" ""))"),0.0012484394506866417)</f>
        <v>0.001248439451</v>
      </c>
      <c r="F28" s="58"/>
      <c r="G28" s="58"/>
      <c r="H28" s="58"/>
      <c r="I28" s="58"/>
      <c r="J28" s="58"/>
      <c r="K28" s="56"/>
      <c r="L28" s="56"/>
      <c r="M28" s="56"/>
      <c r="N28" s="56"/>
      <c r="O28" s="56"/>
      <c r="P28" s="56"/>
      <c r="Q28" s="56"/>
      <c r="R28" s="56"/>
      <c r="S28" s="56"/>
      <c r="T28" s="56"/>
      <c r="U28" s="56"/>
      <c r="V28" s="56"/>
      <c r="W28" s="56"/>
      <c r="X28" s="56"/>
      <c r="Y28" s="56"/>
      <c r="Z28" s="56"/>
      <c r="AA28" s="56"/>
      <c r="AB28" s="56"/>
    </row>
    <row r="29" ht="225.0" customHeight="1">
      <c r="C29" s="7" t="s">
        <v>18</v>
      </c>
      <c r="D29" s="54"/>
      <c r="E29" s="55">
        <f>IFERROR(__xludf.DUMMYFUNCTION("COUNTA(SPLIT(D29,"" ""))/COUNTA(SPLIT($B$27,"" ""))"),0.0012484394506866417)</f>
        <v>0.001248439451</v>
      </c>
      <c r="F29" s="7"/>
      <c r="G29" s="7"/>
      <c r="H29" s="7"/>
      <c r="I29" s="7"/>
      <c r="J29" s="7"/>
      <c r="K29" s="56"/>
      <c r="L29" s="56"/>
      <c r="M29" s="56"/>
      <c r="N29" s="56"/>
      <c r="O29" s="56"/>
      <c r="P29" s="56"/>
      <c r="Q29" s="56"/>
      <c r="R29" s="56"/>
      <c r="S29" s="56"/>
      <c r="T29" s="56"/>
      <c r="U29" s="56"/>
      <c r="V29" s="56"/>
      <c r="W29" s="56"/>
      <c r="X29" s="56"/>
      <c r="Y29" s="56"/>
      <c r="Z29" s="56"/>
      <c r="AA29" s="56"/>
      <c r="AB29" s="56"/>
    </row>
    <row r="30" ht="225.0" customHeight="1">
      <c r="C30" s="7" t="s">
        <v>19</v>
      </c>
      <c r="D30" s="54" t="s">
        <v>56</v>
      </c>
      <c r="E30" s="55">
        <f>IFERROR(__xludf.DUMMYFUNCTION("COUNTA(SPLIT(D30,"" ""))/COUNTA(SPLIT($B$27,"" ""))"),0.1198501872659176)</f>
        <v>0.1198501873</v>
      </c>
      <c r="F30" s="58"/>
      <c r="G30" s="58"/>
      <c r="H30" s="58"/>
      <c r="I30" s="58"/>
      <c r="J30" s="58"/>
      <c r="K30" s="56"/>
      <c r="L30" s="56"/>
      <c r="M30" s="56"/>
      <c r="N30" s="56"/>
      <c r="O30" s="56"/>
      <c r="P30" s="56"/>
      <c r="Q30" s="56"/>
      <c r="R30" s="56"/>
      <c r="S30" s="56"/>
      <c r="T30" s="56"/>
      <c r="U30" s="56"/>
      <c r="V30" s="56"/>
      <c r="W30" s="56"/>
      <c r="X30" s="56"/>
      <c r="Y30" s="56"/>
      <c r="Z30" s="56"/>
      <c r="AA30" s="56"/>
      <c r="AB30" s="56"/>
    </row>
    <row r="31" ht="15.75" customHeight="1">
      <c r="A31" s="59"/>
      <c r="B31" s="56"/>
      <c r="C31" s="60"/>
      <c r="D31" s="61"/>
      <c r="E31" s="55"/>
      <c r="F31" s="60"/>
      <c r="G31" s="60"/>
      <c r="H31" s="60"/>
      <c r="I31" s="60"/>
      <c r="J31" s="60"/>
      <c r="K31" s="56"/>
      <c r="L31" s="56"/>
      <c r="M31" s="56"/>
      <c r="N31" s="56"/>
      <c r="O31" s="56"/>
      <c r="P31" s="56"/>
      <c r="Q31" s="56"/>
      <c r="R31" s="56"/>
      <c r="S31" s="56"/>
      <c r="T31" s="56"/>
      <c r="U31" s="56"/>
      <c r="V31" s="56"/>
      <c r="W31" s="56"/>
      <c r="X31" s="56"/>
      <c r="Y31" s="56"/>
      <c r="Z31" s="56"/>
      <c r="AA31" s="56"/>
      <c r="AB31" s="56"/>
    </row>
    <row r="32" ht="225.0" customHeight="1">
      <c r="A32" s="62" t="s">
        <v>57</v>
      </c>
      <c r="B32" s="63" t="s">
        <v>58</v>
      </c>
      <c r="C32" s="64" t="s">
        <v>16</v>
      </c>
      <c r="D32" s="65" t="s">
        <v>59</v>
      </c>
      <c r="E32" s="66">
        <f>IFERROR(__xludf.DUMMYFUNCTION("COUNTA(SPLIT(D32,"" ""))/COUNTA(SPLIT($B$32,"" ""))"),0.01873767258382643)</f>
        <v>0.01873767258</v>
      </c>
      <c r="F32" s="67">
        <v>5.0</v>
      </c>
      <c r="G32" s="67">
        <v>5.0</v>
      </c>
      <c r="H32" s="67">
        <v>5.0</v>
      </c>
      <c r="I32" s="67">
        <v>5.0</v>
      </c>
      <c r="J32" s="67">
        <v>3.0</v>
      </c>
      <c r="K32" s="68"/>
      <c r="L32" s="68"/>
      <c r="M32" s="68"/>
      <c r="N32" s="68"/>
      <c r="O32" s="68"/>
      <c r="P32" s="68"/>
      <c r="Q32" s="68"/>
      <c r="R32" s="68"/>
      <c r="S32" s="68"/>
      <c r="T32" s="68"/>
      <c r="U32" s="68"/>
      <c r="V32" s="68"/>
      <c r="W32" s="68"/>
      <c r="X32" s="68"/>
      <c r="Y32" s="68"/>
      <c r="Z32" s="68"/>
      <c r="AA32" s="68"/>
      <c r="AB32" s="68"/>
    </row>
    <row r="33" ht="225.0" customHeight="1">
      <c r="C33" s="7" t="s">
        <v>17</v>
      </c>
      <c r="D33" s="57"/>
      <c r="E33" s="55">
        <f>IFERROR(__xludf.DUMMYFUNCTION("COUNTA(SPLIT(D33,"" ""))/COUNTA(SPLIT($B$32,"" ""))"),9.861932938856016E-4)</f>
        <v>0.0009861932939</v>
      </c>
      <c r="F33" s="7"/>
      <c r="G33" s="7"/>
      <c r="H33" s="7"/>
      <c r="I33" s="7"/>
      <c r="J33" s="7"/>
      <c r="K33" s="56"/>
      <c r="L33" s="56"/>
      <c r="M33" s="56"/>
      <c r="N33" s="56"/>
      <c r="O33" s="56"/>
      <c r="P33" s="56"/>
      <c r="Q33" s="56"/>
      <c r="R33" s="56"/>
      <c r="S33" s="56"/>
      <c r="T33" s="56"/>
      <c r="U33" s="56"/>
      <c r="V33" s="56"/>
      <c r="W33" s="56"/>
      <c r="X33" s="56"/>
      <c r="Y33" s="56"/>
      <c r="Z33" s="56"/>
      <c r="AA33" s="56"/>
      <c r="AB33" s="56"/>
    </row>
    <row r="34" ht="225.0" customHeight="1">
      <c r="C34" s="7" t="s">
        <v>18</v>
      </c>
      <c r="D34" s="54"/>
      <c r="E34" s="55">
        <f>IFERROR(__xludf.DUMMYFUNCTION("COUNTA(SPLIT(D34,"" ""))/COUNTA(SPLIT($B$32,"" ""))"),9.861932938856016E-4)</f>
        <v>0.0009861932939</v>
      </c>
      <c r="F34" s="7"/>
      <c r="G34" s="7"/>
      <c r="H34" s="7"/>
      <c r="I34" s="7"/>
      <c r="J34" s="7"/>
      <c r="K34" s="56"/>
      <c r="L34" s="56"/>
      <c r="M34" s="56"/>
      <c r="N34" s="56"/>
      <c r="O34" s="56"/>
      <c r="P34" s="56"/>
      <c r="Q34" s="56"/>
      <c r="R34" s="56"/>
      <c r="S34" s="56"/>
      <c r="T34" s="56"/>
      <c r="U34" s="56"/>
      <c r="V34" s="56"/>
      <c r="W34" s="56"/>
      <c r="X34" s="56"/>
      <c r="Y34" s="56"/>
      <c r="Z34" s="56"/>
      <c r="AA34" s="56"/>
      <c r="AB34" s="56"/>
    </row>
    <row r="35" ht="225.0" customHeight="1">
      <c r="C35" s="7" t="s">
        <v>19</v>
      </c>
      <c r="D35" s="54" t="s">
        <v>60</v>
      </c>
      <c r="E35" s="55">
        <f>IFERROR(__xludf.DUMMYFUNCTION("COUNTA(SPLIT(D35,"" ""))/COUNTA(SPLIT($B$32,"" ""))"),0.09960552268244575)</f>
        <v>0.09960552268</v>
      </c>
      <c r="F35" s="58"/>
      <c r="G35" s="58"/>
      <c r="H35" s="58"/>
      <c r="I35" s="58"/>
      <c r="J35" s="58"/>
      <c r="K35" s="56"/>
      <c r="L35" s="56"/>
      <c r="M35" s="56"/>
      <c r="N35" s="56"/>
      <c r="O35" s="56"/>
      <c r="P35" s="56"/>
      <c r="Q35" s="56"/>
      <c r="R35" s="56"/>
      <c r="S35" s="56"/>
      <c r="T35" s="56"/>
      <c r="U35" s="56"/>
      <c r="V35" s="56"/>
      <c r="W35" s="56"/>
      <c r="X35" s="56"/>
      <c r="Y35" s="56"/>
      <c r="Z35" s="56"/>
      <c r="AA35" s="56"/>
      <c r="AB35" s="56"/>
    </row>
    <row r="36" ht="15.75" customHeight="1">
      <c r="A36" s="59"/>
      <c r="B36" s="56"/>
      <c r="C36" s="60"/>
      <c r="D36" s="61"/>
      <c r="E36" s="55"/>
      <c r="F36" s="60"/>
      <c r="G36" s="60"/>
      <c r="H36" s="60"/>
      <c r="I36" s="60"/>
      <c r="J36" s="60"/>
      <c r="K36" s="56"/>
      <c r="L36" s="56"/>
      <c r="M36" s="56"/>
      <c r="N36" s="56"/>
      <c r="O36" s="56"/>
      <c r="P36" s="56"/>
      <c r="Q36" s="56"/>
      <c r="R36" s="56"/>
      <c r="S36" s="56"/>
      <c r="T36" s="56"/>
      <c r="U36" s="56"/>
      <c r="V36" s="56"/>
      <c r="W36" s="56"/>
      <c r="X36" s="56"/>
      <c r="Y36" s="56"/>
      <c r="Z36" s="56"/>
      <c r="AA36" s="56"/>
      <c r="AB36" s="56"/>
    </row>
    <row r="37" ht="225.0" customHeight="1">
      <c r="A37" s="62" t="s">
        <v>61</v>
      </c>
      <c r="B37" s="63" t="s">
        <v>62</v>
      </c>
      <c r="C37" s="64" t="s">
        <v>16</v>
      </c>
      <c r="D37" s="65" t="s">
        <v>63</v>
      </c>
      <c r="E37" s="66">
        <f>IFERROR(__xludf.DUMMYFUNCTION("COUNTA(SPLIT(D37,"" ""))/COUNTA(SPLIT($B$37,"" ""))"),0.015050167224080268)</f>
        <v>0.01505016722</v>
      </c>
      <c r="F37" s="67">
        <v>5.0</v>
      </c>
      <c r="G37" s="67">
        <v>5.0</v>
      </c>
      <c r="H37" s="67">
        <v>5.0</v>
      </c>
      <c r="I37" s="67">
        <v>5.0</v>
      </c>
      <c r="J37" s="67">
        <v>2.0</v>
      </c>
      <c r="K37" s="68"/>
      <c r="L37" s="68"/>
      <c r="M37" s="68"/>
      <c r="N37" s="68"/>
      <c r="O37" s="68"/>
      <c r="P37" s="68"/>
      <c r="Q37" s="68"/>
      <c r="R37" s="68"/>
      <c r="S37" s="68"/>
      <c r="T37" s="68"/>
      <c r="U37" s="68"/>
      <c r="V37" s="68"/>
      <c r="W37" s="68"/>
      <c r="X37" s="68"/>
      <c r="Y37" s="68"/>
      <c r="Z37" s="68"/>
      <c r="AA37" s="68"/>
      <c r="AB37" s="68"/>
    </row>
    <row r="38" ht="225.0" customHeight="1">
      <c r="C38" s="7" t="s">
        <v>17</v>
      </c>
      <c r="D38" s="57"/>
      <c r="E38" s="55">
        <f>IFERROR(__xludf.DUMMYFUNCTION("COUNTA(SPLIT(D38,"" ""))/COUNTA(SPLIT($B$37,"" ""))"),8.361204013377926E-4)</f>
        <v>0.0008361204013</v>
      </c>
      <c r="F38" s="58"/>
      <c r="G38" s="58"/>
      <c r="H38" s="58"/>
      <c r="I38" s="58"/>
      <c r="J38" s="58"/>
      <c r="K38" s="56"/>
      <c r="L38" s="56"/>
      <c r="M38" s="56"/>
      <c r="N38" s="56"/>
      <c r="O38" s="56"/>
      <c r="P38" s="56"/>
      <c r="Q38" s="56"/>
      <c r="R38" s="56"/>
      <c r="S38" s="56"/>
      <c r="T38" s="56"/>
      <c r="U38" s="56"/>
      <c r="V38" s="56"/>
      <c r="W38" s="56"/>
      <c r="X38" s="56"/>
      <c r="Y38" s="56"/>
      <c r="Z38" s="56"/>
      <c r="AA38" s="56"/>
      <c r="AB38" s="56"/>
    </row>
    <row r="39" ht="225.0" customHeight="1">
      <c r="C39" s="7" t="s">
        <v>18</v>
      </c>
      <c r="D39" s="54"/>
      <c r="E39" s="55">
        <f>IFERROR(__xludf.DUMMYFUNCTION("COUNTA(SPLIT(D39,"" ""))/COUNTA(SPLIT($B$37,"" ""))"),8.361204013377926E-4)</f>
        <v>0.0008361204013</v>
      </c>
      <c r="F39" s="7"/>
      <c r="G39" s="7"/>
      <c r="H39" s="7"/>
      <c r="I39" s="7"/>
      <c r="J39" s="7"/>
      <c r="K39" s="56"/>
      <c r="L39" s="56"/>
      <c r="M39" s="56"/>
      <c r="N39" s="56"/>
      <c r="O39" s="56"/>
      <c r="P39" s="56"/>
      <c r="Q39" s="56"/>
      <c r="R39" s="56"/>
      <c r="S39" s="56"/>
      <c r="T39" s="56"/>
      <c r="U39" s="56"/>
      <c r="V39" s="56"/>
      <c r="W39" s="56"/>
      <c r="X39" s="56"/>
      <c r="Y39" s="56"/>
      <c r="Z39" s="56"/>
      <c r="AA39" s="56"/>
      <c r="AB39" s="56"/>
    </row>
    <row r="40" ht="225.0" customHeight="1">
      <c r="C40" s="7" t="s">
        <v>19</v>
      </c>
      <c r="D40" s="54" t="s">
        <v>64</v>
      </c>
      <c r="E40" s="55">
        <f>IFERROR(__xludf.DUMMYFUNCTION("COUNTA(SPLIT(D40,"" ""))/COUNTA(SPLIT($B$37,"" ""))"),0.08361204013377926)</f>
        <v>0.08361204013</v>
      </c>
      <c r="F40" s="58"/>
      <c r="G40" s="58"/>
      <c r="H40" s="58"/>
      <c r="I40" s="58"/>
      <c r="J40" s="58"/>
      <c r="K40" s="56"/>
      <c r="L40" s="56"/>
      <c r="M40" s="56"/>
      <c r="N40" s="56"/>
      <c r="O40" s="56"/>
      <c r="P40" s="56"/>
      <c r="Q40" s="56"/>
      <c r="R40" s="56"/>
      <c r="S40" s="56"/>
      <c r="T40" s="56"/>
      <c r="U40" s="56"/>
      <c r="V40" s="56"/>
      <c r="W40" s="56"/>
      <c r="X40" s="56"/>
      <c r="Y40" s="56"/>
      <c r="Z40" s="56"/>
      <c r="AA40" s="56"/>
      <c r="AB40" s="56"/>
    </row>
    <row r="41" ht="15.75" customHeight="1">
      <c r="A41" s="59"/>
      <c r="B41" s="56"/>
      <c r="C41" s="60"/>
      <c r="D41" s="61"/>
      <c r="E41" s="55"/>
      <c r="F41" s="60"/>
      <c r="G41" s="60"/>
      <c r="H41" s="60"/>
      <c r="I41" s="60"/>
      <c r="J41" s="60"/>
      <c r="K41" s="56"/>
      <c r="L41" s="56"/>
      <c r="M41" s="56"/>
      <c r="N41" s="56"/>
      <c r="O41" s="56"/>
      <c r="P41" s="56"/>
      <c r="Q41" s="56"/>
      <c r="R41" s="56"/>
      <c r="S41" s="56"/>
      <c r="T41" s="56"/>
      <c r="U41" s="56"/>
      <c r="V41" s="56"/>
      <c r="W41" s="56"/>
      <c r="X41" s="56"/>
      <c r="Y41" s="56"/>
      <c r="Z41" s="56"/>
      <c r="AA41" s="56"/>
      <c r="AB41" s="56"/>
    </row>
    <row r="42" ht="225.0" customHeight="1">
      <c r="A42" s="62" t="s">
        <v>65</v>
      </c>
      <c r="B42" s="63" t="s">
        <v>66</v>
      </c>
      <c r="C42" s="64" t="s">
        <v>16</v>
      </c>
      <c r="D42" s="65" t="s">
        <v>67</v>
      </c>
      <c r="E42" s="66">
        <f>IFERROR(__xludf.DUMMYFUNCTION("COUNTA(SPLIT(D42,"" ""))/COUNTA(SPLIT($B$42,"" ""))"),0.03026481715006305)</f>
        <v>0.03026481715</v>
      </c>
      <c r="F42" s="67">
        <v>5.0</v>
      </c>
      <c r="G42" s="67">
        <v>5.0</v>
      </c>
      <c r="H42" s="67">
        <v>5.0</v>
      </c>
      <c r="I42" s="67">
        <v>5.0</v>
      </c>
      <c r="J42" s="67">
        <v>3.0</v>
      </c>
      <c r="K42" s="68"/>
      <c r="L42" s="68"/>
      <c r="M42" s="68"/>
      <c r="N42" s="68"/>
      <c r="O42" s="68"/>
      <c r="P42" s="68"/>
      <c r="Q42" s="68"/>
      <c r="R42" s="68"/>
      <c r="S42" s="68"/>
      <c r="T42" s="68"/>
      <c r="U42" s="68"/>
      <c r="V42" s="68"/>
      <c r="W42" s="68"/>
      <c r="X42" s="68"/>
      <c r="Y42" s="68"/>
      <c r="Z42" s="68"/>
      <c r="AA42" s="68"/>
      <c r="AB42" s="68"/>
    </row>
    <row r="43" ht="225.0" customHeight="1">
      <c r="C43" s="7" t="s">
        <v>17</v>
      </c>
      <c r="D43" s="57"/>
      <c r="E43" s="55">
        <f>IFERROR(__xludf.DUMMYFUNCTION("COUNTA(SPLIT(D43,"" ""))/COUNTA(SPLIT($B$42,"" ""))"),0.0012610340479192938)</f>
        <v>0.001261034048</v>
      </c>
      <c r="F43" s="58"/>
      <c r="G43" s="58"/>
      <c r="H43" s="58"/>
      <c r="I43" s="58"/>
      <c r="J43" s="58"/>
      <c r="K43" s="56"/>
      <c r="L43" s="56"/>
      <c r="M43" s="56"/>
      <c r="N43" s="56"/>
      <c r="O43" s="56"/>
      <c r="P43" s="56"/>
      <c r="Q43" s="56"/>
      <c r="R43" s="56"/>
      <c r="S43" s="56"/>
      <c r="T43" s="56"/>
      <c r="U43" s="56"/>
      <c r="V43" s="56"/>
      <c r="W43" s="56"/>
      <c r="X43" s="56"/>
      <c r="Y43" s="56"/>
      <c r="Z43" s="56"/>
      <c r="AA43" s="56"/>
      <c r="AB43" s="56"/>
    </row>
    <row r="44" ht="225.0" customHeight="1">
      <c r="C44" s="7" t="s">
        <v>18</v>
      </c>
      <c r="D44" s="54"/>
      <c r="E44" s="55">
        <f>IFERROR(__xludf.DUMMYFUNCTION("COUNTA(SPLIT(D44,"" ""))/COUNTA(SPLIT($B$42,"" ""))"),0.0012610340479192938)</f>
        <v>0.001261034048</v>
      </c>
      <c r="F44" s="7"/>
      <c r="G44" s="7"/>
      <c r="H44" s="7"/>
      <c r="I44" s="7"/>
      <c r="J44" s="7"/>
      <c r="K44" s="56"/>
      <c r="L44" s="56"/>
      <c r="M44" s="56"/>
      <c r="N44" s="56"/>
      <c r="O44" s="56"/>
      <c r="P44" s="56"/>
      <c r="Q44" s="56"/>
      <c r="R44" s="56"/>
      <c r="S44" s="56"/>
      <c r="T44" s="56"/>
      <c r="U44" s="56"/>
      <c r="V44" s="56"/>
      <c r="W44" s="56"/>
      <c r="X44" s="56"/>
      <c r="Y44" s="56"/>
      <c r="Z44" s="56"/>
      <c r="AA44" s="56"/>
      <c r="AB44" s="56"/>
    </row>
    <row r="45" ht="225.0" customHeight="1">
      <c r="C45" s="7" t="s">
        <v>19</v>
      </c>
      <c r="D45" s="54" t="s">
        <v>68</v>
      </c>
      <c r="E45" s="55">
        <f>IFERROR(__xludf.DUMMYFUNCTION("COUNTA(SPLIT(D45,"" ""))/COUNTA(SPLIT($B$42,"" ""))"),0.18158890290037832)</f>
        <v>0.1815889029</v>
      </c>
      <c r="F45" s="58"/>
      <c r="G45" s="58"/>
      <c r="H45" s="58"/>
      <c r="I45" s="58"/>
      <c r="J45" s="58"/>
      <c r="K45" s="56"/>
      <c r="L45" s="56"/>
      <c r="M45" s="56"/>
      <c r="N45" s="56"/>
      <c r="O45" s="56"/>
      <c r="P45" s="56"/>
      <c r="Q45" s="56"/>
      <c r="R45" s="56"/>
      <c r="S45" s="56"/>
      <c r="T45" s="56"/>
      <c r="U45" s="56"/>
      <c r="V45" s="56"/>
      <c r="W45" s="56"/>
      <c r="X45" s="56"/>
      <c r="Y45" s="56"/>
      <c r="Z45" s="56"/>
      <c r="AA45" s="56"/>
      <c r="AB45" s="56"/>
    </row>
    <row r="46" ht="15.75" customHeight="1">
      <c r="A46" s="59"/>
      <c r="B46" s="56"/>
      <c r="C46" s="60"/>
      <c r="D46" s="61"/>
      <c r="E46" s="55"/>
      <c r="F46" s="60"/>
      <c r="G46" s="60"/>
      <c r="H46" s="60"/>
      <c r="I46" s="60"/>
      <c r="J46" s="60"/>
      <c r="K46" s="56"/>
      <c r="L46" s="56"/>
      <c r="M46" s="56"/>
      <c r="N46" s="56"/>
      <c r="O46" s="56"/>
      <c r="P46" s="56"/>
      <c r="Q46" s="56"/>
      <c r="R46" s="56"/>
      <c r="S46" s="56"/>
      <c r="T46" s="56"/>
      <c r="U46" s="56"/>
      <c r="V46" s="56"/>
      <c r="W46" s="56"/>
      <c r="X46" s="56"/>
      <c r="Y46" s="56"/>
      <c r="Z46" s="56"/>
      <c r="AA46" s="56"/>
      <c r="AB46" s="56"/>
    </row>
    <row r="47" ht="225.0" customHeight="1">
      <c r="A47" s="62" t="s">
        <v>69</v>
      </c>
      <c r="B47" s="63" t="s">
        <v>70</v>
      </c>
      <c r="C47" s="64" t="s">
        <v>16</v>
      </c>
      <c r="D47" s="65" t="s">
        <v>71</v>
      </c>
      <c r="E47" s="66">
        <f>IFERROR(__xludf.DUMMYFUNCTION("COUNTA(SPLIT(D47,"" ""))/COUNTA(SPLIT($B$47,"" ""))"),0.03732638888888889)</f>
        <v>0.03732638889</v>
      </c>
      <c r="F47" s="67">
        <v>5.0</v>
      </c>
      <c r="G47" s="67">
        <v>5.0</v>
      </c>
      <c r="H47" s="67">
        <v>5.0</v>
      </c>
      <c r="I47" s="67">
        <v>5.0</v>
      </c>
      <c r="J47" s="67">
        <v>4.0</v>
      </c>
      <c r="K47" s="68"/>
      <c r="L47" s="68"/>
      <c r="M47" s="68"/>
      <c r="N47" s="68"/>
      <c r="O47" s="68"/>
      <c r="P47" s="68"/>
      <c r="Q47" s="68"/>
      <c r="R47" s="68"/>
      <c r="S47" s="68"/>
      <c r="T47" s="68"/>
      <c r="U47" s="68"/>
      <c r="V47" s="68"/>
      <c r="W47" s="68"/>
      <c r="X47" s="68"/>
      <c r="Y47" s="68"/>
      <c r="Z47" s="68"/>
      <c r="AA47" s="68"/>
      <c r="AB47" s="68"/>
    </row>
    <row r="48" ht="225.0" customHeight="1">
      <c r="C48" s="7" t="s">
        <v>17</v>
      </c>
      <c r="D48" s="57"/>
      <c r="E48" s="55">
        <f>IFERROR(__xludf.DUMMYFUNCTION("COUNTA(SPLIT(D48,"" ""))/COUNTA(SPLIT($B$47,"" ""))"),8.680555555555555E-4)</f>
        <v>0.0008680555556</v>
      </c>
      <c r="F48" s="58"/>
      <c r="G48" s="58"/>
      <c r="H48" s="58"/>
      <c r="I48" s="58"/>
      <c r="J48" s="58"/>
      <c r="K48" s="56"/>
      <c r="L48" s="56"/>
      <c r="M48" s="56"/>
      <c r="N48" s="56"/>
      <c r="O48" s="56"/>
      <c r="P48" s="56"/>
      <c r="Q48" s="56"/>
      <c r="R48" s="56"/>
      <c r="S48" s="56"/>
      <c r="T48" s="56"/>
      <c r="U48" s="56"/>
      <c r="V48" s="56"/>
      <c r="W48" s="56"/>
      <c r="X48" s="56"/>
      <c r="Y48" s="56"/>
      <c r="Z48" s="56"/>
      <c r="AA48" s="56"/>
      <c r="AB48" s="56"/>
    </row>
    <row r="49" ht="225.0" customHeight="1">
      <c r="C49" s="7" t="s">
        <v>18</v>
      </c>
      <c r="D49" s="54"/>
      <c r="E49" s="55">
        <f>IFERROR(__xludf.DUMMYFUNCTION("COUNTA(SPLIT(D49,"" ""))/COUNTA(SPLIT($B$47,"" ""))"),8.680555555555555E-4)</f>
        <v>0.0008680555556</v>
      </c>
      <c r="F49" s="60"/>
      <c r="G49" s="60"/>
      <c r="H49" s="60"/>
      <c r="I49" s="60"/>
      <c r="J49" s="60"/>
      <c r="K49" s="56"/>
      <c r="L49" s="56"/>
      <c r="M49" s="56"/>
      <c r="N49" s="56"/>
      <c r="O49" s="56"/>
      <c r="P49" s="56"/>
      <c r="Q49" s="56"/>
      <c r="R49" s="56"/>
      <c r="S49" s="56"/>
      <c r="T49" s="56"/>
      <c r="U49" s="56"/>
      <c r="V49" s="56"/>
      <c r="W49" s="56"/>
      <c r="X49" s="56"/>
      <c r="Y49" s="56"/>
      <c r="Z49" s="56"/>
      <c r="AA49" s="56"/>
      <c r="AB49" s="56"/>
    </row>
    <row r="50" ht="225.0" customHeight="1">
      <c r="C50" s="7" t="s">
        <v>19</v>
      </c>
      <c r="D50" s="54" t="s">
        <v>72</v>
      </c>
      <c r="E50" s="55">
        <f>IFERROR(__xludf.DUMMYFUNCTION("COUNTA(SPLIT(D50,"" ""))/COUNTA(SPLIT($B$47,"" ""))"),0.06076388888888889)</f>
        <v>0.06076388889</v>
      </c>
      <c r="F50" s="58"/>
      <c r="G50" s="58"/>
      <c r="H50" s="58"/>
      <c r="I50" s="58"/>
      <c r="J50" s="58"/>
      <c r="K50" s="56"/>
      <c r="L50" s="56"/>
      <c r="M50" s="56"/>
      <c r="N50" s="56"/>
      <c r="O50" s="56"/>
      <c r="P50" s="56"/>
      <c r="Q50" s="56"/>
      <c r="R50" s="56"/>
      <c r="S50" s="56"/>
      <c r="T50" s="56"/>
      <c r="U50" s="56"/>
      <c r="V50" s="56"/>
      <c r="W50" s="56"/>
      <c r="X50" s="56"/>
      <c r="Y50" s="56"/>
      <c r="Z50" s="56"/>
      <c r="AA50" s="56"/>
      <c r="AB50" s="56"/>
    </row>
    <row r="51">
      <c r="A51" s="59"/>
      <c r="B51" s="56"/>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59"/>
      <c r="B52" s="56"/>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59"/>
      <c r="B53" s="56"/>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59"/>
      <c r="B54" s="56"/>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59"/>
      <c r="B55" s="56"/>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59"/>
      <c r="B56" s="56"/>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59"/>
      <c r="B57" s="56"/>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59"/>
      <c r="B58" s="56"/>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59"/>
      <c r="B59" s="56"/>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59"/>
      <c r="B60" s="56"/>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59"/>
      <c r="B61" s="56"/>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59"/>
      <c r="B62" s="56"/>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59"/>
      <c r="B63" s="56"/>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59"/>
      <c r="B64" s="56"/>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59"/>
      <c r="B65" s="56"/>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59"/>
      <c r="B66" s="56"/>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59"/>
      <c r="B67" s="56"/>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59"/>
      <c r="B68" s="56"/>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59"/>
      <c r="B69" s="56"/>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59"/>
      <c r="B70" s="56"/>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59"/>
      <c r="B71" s="56"/>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59"/>
      <c r="B72" s="56"/>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59"/>
      <c r="B73" s="56"/>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59"/>
      <c r="B74" s="56"/>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59"/>
      <c r="B75" s="56"/>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59"/>
      <c r="B76" s="56"/>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59"/>
      <c r="B77" s="56"/>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59"/>
      <c r="B78" s="56"/>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59"/>
      <c r="B79" s="56"/>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59"/>
      <c r="B80" s="56"/>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59"/>
      <c r="B81" s="56"/>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59"/>
      <c r="B82" s="56"/>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59"/>
      <c r="B83" s="56"/>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59"/>
      <c r="B84" s="56"/>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59"/>
      <c r="B85" s="56"/>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59"/>
      <c r="B86" s="56"/>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59"/>
      <c r="B87" s="56"/>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59"/>
      <c r="B88" s="56"/>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59"/>
      <c r="B89" s="56"/>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59"/>
      <c r="B90" s="56"/>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59"/>
      <c r="B91" s="56"/>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59"/>
      <c r="B92" s="56"/>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59"/>
      <c r="B93" s="56"/>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59"/>
      <c r="B94" s="56"/>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59"/>
      <c r="B95" s="56"/>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59"/>
      <c r="B96" s="56"/>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59"/>
      <c r="B97" s="56"/>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59"/>
      <c r="B98" s="56"/>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59"/>
      <c r="B99" s="56"/>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59"/>
      <c r="B100" s="56"/>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59"/>
      <c r="B101" s="56"/>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59"/>
      <c r="B102" s="56"/>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59"/>
      <c r="B103" s="56"/>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59"/>
      <c r="B104" s="56"/>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59"/>
      <c r="B105" s="56"/>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59"/>
      <c r="B106" s="56"/>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59"/>
      <c r="B107" s="56"/>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59"/>
      <c r="B108" s="56"/>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59"/>
      <c r="B109" s="56"/>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59"/>
      <c r="B110" s="56"/>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59"/>
      <c r="B111" s="56"/>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59"/>
      <c r="B112" s="56"/>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59"/>
      <c r="B113" s="56"/>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59"/>
      <c r="B114" s="56"/>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59"/>
      <c r="B115" s="56"/>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59"/>
      <c r="B116" s="56"/>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59"/>
      <c r="B117" s="56"/>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59"/>
      <c r="B118" s="56"/>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59"/>
      <c r="B119" s="56"/>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59"/>
      <c r="B120" s="56"/>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59"/>
      <c r="B121" s="56"/>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59"/>
      <c r="B122" s="56"/>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59"/>
      <c r="B123" s="56"/>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59"/>
      <c r="B124" s="56"/>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59"/>
      <c r="B125" s="56"/>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59"/>
      <c r="B126" s="56"/>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59"/>
      <c r="B127" s="56"/>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59"/>
      <c r="B128" s="56"/>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59"/>
      <c r="B129" s="56"/>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59"/>
      <c r="B130" s="56"/>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59"/>
      <c r="B131" s="56"/>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59"/>
      <c r="B132" s="56"/>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59"/>
      <c r="B133" s="56"/>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59"/>
      <c r="B134" s="56"/>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59"/>
      <c r="B135" s="56"/>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59"/>
      <c r="B136" s="56"/>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59"/>
      <c r="B137" s="56"/>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59"/>
      <c r="B138" s="56"/>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59"/>
      <c r="B139" s="56"/>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59"/>
      <c r="B140" s="56"/>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59"/>
      <c r="B141" s="56"/>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59"/>
      <c r="B142" s="56"/>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59"/>
      <c r="B143" s="56"/>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59"/>
      <c r="B144" s="56"/>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59"/>
      <c r="B145" s="56"/>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59"/>
      <c r="B146" s="56"/>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59"/>
      <c r="B147" s="56"/>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59"/>
      <c r="B148" s="56"/>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59"/>
      <c r="B149" s="56"/>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59"/>
      <c r="B150" s="56"/>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59"/>
      <c r="B151" s="56"/>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59"/>
      <c r="B152" s="56"/>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59"/>
      <c r="B153" s="56"/>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59"/>
      <c r="B154" s="56"/>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59"/>
      <c r="B155" s="56"/>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59"/>
      <c r="B156" s="56"/>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59"/>
      <c r="B157" s="56"/>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59"/>
      <c r="B158" s="56"/>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59"/>
      <c r="B159" s="56"/>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59"/>
      <c r="B160" s="56"/>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59"/>
      <c r="B161" s="56"/>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59"/>
      <c r="B162" s="56"/>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59"/>
      <c r="B163" s="56"/>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59"/>
      <c r="B164" s="56"/>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59"/>
      <c r="B165" s="56"/>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59"/>
      <c r="B166" s="56"/>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59"/>
      <c r="B167" s="56"/>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59"/>
      <c r="B168" s="56"/>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59"/>
      <c r="B169" s="56"/>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59"/>
      <c r="B170" s="56"/>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59"/>
      <c r="B171" s="56"/>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59"/>
      <c r="B172" s="56"/>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59"/>
      <c r="B173" s="56"/>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59"/>
      <c r="B174" s="56"/>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59"/>
      <c r="B175" s="56"/>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59"/>
      <c r="B176" s="56"/>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59"/>
      <c r="B177" s="56"/>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59"/>
      <c r="B178" s="56"/>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59"/>
      <c r="B179" s="56"/>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59"/>
      <c r="B180" s="56"/>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59"/>
      <c r="B181" s="56"/>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59"/>
      <c r="B182" s="56"/>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59"/>
      <c r="B183" s="56"/>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59"/>
      <c r="B184" s="56"/>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59"/>
      <c r="B185" s="56"/>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59"/>
      <c r="B186" s="56"/>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59"/>
      <c r="B187" s="56"/>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59"/>
      <c r="B188" s="56"/>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59"/>
      <c r="B189" s="56"/>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59"/>
      <c r="B190" s="56"/>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59"/>
      <c r="B191" s="56"/>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59"/>
      <c r="B192" s="56"/>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59"/>
      <c r="B193" s="56"/>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59"/>
      <c r="B194" s="56"/>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59"/>
      <c r="B195" s="56"/>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59"/>
      <c r="B196" s="56"/>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59"/>
      <c r="B197" s="56"/>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59"/>
      <c r="B198" s="56"/>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59"/>
      <c r="B199" s="56"/>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59"/>
      <c r="B200" s="56"/>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59"/>
      <c r="B201" s="56"/>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59"/>
      <c r="B202" s="56"/>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59"/>
      <c r="B203" s="56"/>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59"/>
      <c r="B204" s="56"/>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59"/>
      <c r="B205" s="56"/>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59"/>
      <c r="B206" s="56"/>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59"/>
      <c r="B207" s="56"/>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59"/>
      <c r="B208" s="56"/>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59"/>
      <c r="B209" s="56"/>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59"/>
      <c r="B210" s="56"/>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59"/>
      <c r="B211" s="56"/>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59"/>
      <c r="B212" s="56"/>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59"/>
      <c r="B213" s="56"/>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59"/>
      <c r="B214" s="56"/>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59"/>
      <c r="B215" s="56"/>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59"/>
      <c r="B216" s="56"/>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59"/>
      <c r="B217" s="56"/>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59"/>
      <c r="B218" s="56"/>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59"/>
      <c r="B219" s="56"/>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59"/>
      <c r="B220" s="56"/>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59"/>
      <c r="B221" s="56"/>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59"/>
      <c r="B222" s="56"/>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59"/>
      <c r="B223" s="56"/>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59"/>
      <c r="B224" s="56"/>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59"/>
      <c r="B225" s="56"/>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59"/>
      <c r="B226" s="56"/>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59"/>
      <c r="B227" s="56"/>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59"/>
      <c r="B228" s="56"/>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59"/>
      <c r="B229" s="56"/>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59"/>
      <c r="B230" s="56"/>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59"/>
      <c r="B231" s="56"/>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59"/>
      <c r="B232" s="56"/>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59"/>
      <c r="B233" s="56"/>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59"/>
      <c r="B234" s="56"/>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59"/>
      <c r="B235" s="56"/>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59"/>
      <c r="B236" s="56"/>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59"/>
      <c r="B237" s="56"/>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59"/>
      <c r="B238" s="56"/>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59"/>
      <c r="B239" s="56"/>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59"/>
      <c r="B240" s="56"/>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59"/>
      <c r="B241" s="56"/>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59"/>
      <c r="B242" s="56"/>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59"/>
      <c r="B243" s="56"/>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59"/>
      <c r="B244" s="56"/>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59"/>
      <c r="B245" s="56"/>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59"/>
      <c r="B246" s="56"/>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59"/>
      <c r="B247" s="56"/>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59"/>
      <c r="B248" s="56"/>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59"/>
      <c r="B249" s="56"/>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59"/>
      <c r="B250" s="56"/>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59"/>
      <c r="B251" s="56"/>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59"/>
      <c r="B252" s="56"/>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59"/>
      <c r="B253" s="56"/>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59"/>
      <c r="B254" s="56"/>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59"/>
      <c r="B255" s="56"/>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59"/>
      <c r="B256" s="56"/>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59"/>
      <c r="B257" s="56"/>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59"/>
      <c r="B258" s="56"/>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59"/>
      <c r="B259" s="56"/>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59"/>
      <c r="B260" s="56"/>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59"/>
      <c r="B261" s="56"/>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59"/>
      <c r="B262" s="56"/>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59"/>
      <c r="B263" s="56"/>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59"/>
      <c r="B264" s="56"/>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59"/>
      <c r="B265" s="56"/>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59"/>
      <c r="B266" s="56"/>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59"/>
      <c r="B267" s="56"/>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59"/>
      <c r="B268" s="56"/>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59"/>
      <c r="B269" s="56"/>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59"/>
      <c r="B270" s="56"/>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59"/>
      <c r="B271" s="56"/>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59"/>
      <c r="B272" s="56"/>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59"/>
      <c r="B273" s="56"/>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59"/>
      <c r="B274" s="56"/>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59"/>
      <c r="B275" s="56"/>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59"/>
      <c r="B276" s="56"/>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59"/>
      <c r="B277" s="56"/>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59"/>
      <c r="B278" s="56"/>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59"/>
      <c r="B279" s="56"/>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59"/>
      <c r="B280" s="56"/>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59"/>
      <c r="B281" s="56"/>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59"/>
      <c r="B282" s="56"/>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59"/>
      <c r="B283" s="56"/>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59"/>
      <c r="B284" s="56"/>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59"/>
      <c r="B285" s="56"/>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59"/>
      <c r="B286" s="56"/>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59"/>
      <c r="B287" s="56"/>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59"/>
      <c r="B288" s="56"/>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59"/>
      <c r="B289" s="56"/>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59"/>
      <c r="B290" s="56"/>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59"/>
      <c r="B291" s="56"/>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59"/>
      <c r="B292" s="56"/>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59"/>
      <c r="B293" s="56"/>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59"/>
      <c r="B294" s="56"/>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59"/>
      <c r="B295" s="56"/>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59"/>
      <c r="B296" s="56"/>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59"/>
      <c r="B297" s="56"/>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59"/>
      <c r="B298" s="56"/>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59"/>
      <c r="B299" s="56"/>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59"/>
      <c r="B300" s="56"/>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59"/>
      <c r="B301" s="56"/>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59"/>
      <c r="B302" s="56"/>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59"/>
      <c r="B303" s="56"/>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59"/>
      <c r="B304" s="56"/>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59"/>
      <c r="B305" s="56"/>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59"/>
      <c r="B306" s="56"/>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59"/>
      <c r="B307" s="56"/>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59"/>
      <c r="B308" s="56"/>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59"/>
      <c r="B309" s="56"/>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59"/>
      <c r="B310" s="56"/>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59"/>
      <c r="B311" s="56"/>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59"/>
      <c r="B312" s="56"/>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59"/>
      <c r="B313" s="56"/>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59"/>
      <c r="B314" s="56"/>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59"/>
      <c r="B315" s="56"/>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59"/>
      <c r="B316" s="56"/>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59"/>
      <c r="B317" s="56"/>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59"/>
      <c r="B318" s="56"/>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59"/>
      <c r="B319" s="56"/>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59"/>
      <c r="B320" s="56"/>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59"/>
      <c r="B321" s="56"/>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59"/>
      <c r="B322" s="56"/>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59"/>
      <c r="B323" s="56"/>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59"/>
      <c r="B324" s="56"/>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59"/>
      <c r="B325" s="56"/>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59"/>
      <c r="B326" s="56"/>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59"/>
      <c r="B327" s="56"/>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59"/>
      <c r="B328" s="56"/>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59"/>
      <c r="B329" s="56"/>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59"/>
      <c r="B330" s="56"/>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59"/>
      <c r="B331" s="56"/>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59"/>
      <c r="B332" s="56"/>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59"/>
      <c r="B333" s="56"/>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59"/>
      <c r="B334" s="56"/>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59"/>
      <c r="B335" s="56"/>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59"/>
      <c r="B336" s="56"/>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59"/>
      <c r="B337" s="56"/>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59"/>
      <c r="B338" s="56"/>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59"/>
      <c r="B339" s="56"/>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59"/>
      <c r="B340" s="56"/>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59"/>
      <c r="B341" s="56"/>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59"/>
      <c r="B342" s="56"/>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59"/>
      <c r="B343" s="56"/>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59"/>
      <c r="B344" s="56"/>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59"/>
      <c r="B345" s="56"/>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59"/>
      <c r="B346" s="56"/>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59"/>
      <c r="B347" s="56"/>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59"/>
      <c r="B348" s="56"/>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59"/>
      <c r="B349" s="56"/>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59"/>
      <c r="B350" s="56"/>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59"/>
      <c r="B351" s="56"/>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59"/>
      <c r="B352" s="56"/>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59"/>
      <c r="B353" s="56"/>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59"/>
      <c r="B354" s="56"/>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59"/>
      <c r="B355" s="56"/>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59"/>
      <c r="B356" s="56"/>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59"/>
      <c r="B357" s="56"/>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59"/>
      <c r="B358" s="56"/>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59"/>
      <c r="B359" s="56"/>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59"/>
      <c r="B360" s="56"/>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59"/>
      <c r="B361" s="56"/>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59"/>
      <c r="B362" s="56"/>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59"/>
      <c r="B363" s="56"/>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59"/>
      <c r="B364" s="56"/>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59"/>
      <c r="B365" s="56"/>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59"/>
      <c r="B366" s="56"/>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59"/>
      <c r="B367" s="56"/>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59"/>
      <c r="B368" s="56"/>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59"/>
      <c r="B369" s="56"/>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59"/>
      <c r="B370" s="56"/>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59"/>
      <c r="B371" s="56"/>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59"/>
      <c r="B372" s="56"/>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59"/>
      <c r="B373" s="56"/>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59"/>
      <c r="B374" s="56"/>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59"/>
      <c r="B375" s="56"/>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59"/>
      <c r="B376" s="56"/>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59"/>
      <c r="B377" s="56"/>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59"/>
      <c r="B378" s="56"/>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59"/>
      <c r="B379" s="56"/>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59"/>
      <c r="B380" s="56"/>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59"/>
      <c r="B381" s="56"/>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59"/>
      <c r="B382" s="56"/>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59"/>
      <c r="B383" s="56"/>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59"/>
      <c r="B384" s="56"/>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59"/>
      <c r="B385" s="56"/>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59"/>
      <c r="B386" s="56"/>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59"/>
      <c r="B387" s="56"/>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59"/>
      <c r="B388" s="56"/>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59"/>
      <c r="B389" s="56"/>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59"/>
      <c r="B390" s="56"/>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59"/>
      <c r="B391" s="56"/>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59"/>
      <c r="B392" s="56"/>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59"/>
      <c r="B393" s="56"/>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59"/>
      <c r="B394" s="56"/>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59"/>
      <c r="B395" s="56"/>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59"/>
      <c r="B396" s="56"/>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59"/>
      <c r="B397" s="56"/>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59"/>
      <c r="B398" s="56"/>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59"/>
      <c r="B399" s="56"/>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59"/>
      <c r="B400" s="56"/>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59"/>
      <c r="B401" s="56"/>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59"/>
      <c r="B402" s="56"/>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59"/>
      <c r="B403" s="56"/>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59"/>
      <c r="B404" s="56"/>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59"/>
      <c r="B405" s="56"/>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59"/>
      <c r="B406" s="56"/>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59"/>
      <c r="B407" s="56"/>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59"/>
      <c r="B408" s="56"/>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59"/>
      <c r="B409" s="56"/>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59"/>
      <c r="B410" s="56"/>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59"/>
      <c r="B411" s="56"/>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59"/>
      <c r="B412" s="56"/>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59"/>
      <c r="B413" s="56"/>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59"/>
      <c r="B414" s="56"/>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59"/>
      <c r="B415" s="56"/>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59"/>
      <c r="B416" s="56"/>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59"/>
      <c r="B417" s="56"/>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59"/>
      <c r="B418" s="56"/>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59"/>
      <c r="B419" s="56"/>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59"/>
      <c r="B420" s="56"/>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59"/>
      <c r="B421" s="56"/>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59"/>
      <c r="B422" s="56"/>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59"/>
      <c r="B423" s="56"/>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59"/>
      <c r="B424" s="56"/>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59"/>
      <c r="B425" s="56"/>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59"/>
      <c r="B426" s="56"/>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59"/>
      <c r="B427" s="56"/>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59"/>
      <c r="B428" s="56"/>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59"/>
      <c r="B429" s="56"/>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59"/>
      <c r="B430" s="56"/>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59"/>
      <c r="B431" s="56"/>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59"/>
      <c r="B432" s="56"/>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59"/>
      <c r="B433" s="56"/>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59"/>
      <c r="B434" s="56"/>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59"/>
      <c r="B435" s="56"/>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59"/>
      <c r="B436" s="56"/>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59"/>
      <c r="B437" s="56"/>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59"/>
      <c r="B438" s="56"/>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59"/>
      <c r="B439" s="56"/>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59"/>
      <c r="B440" s="56"/>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59"/>
      <c r="B441" s="56"/>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59"/>
      <c r="B442" s="56"/>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59"/>
      <c r="B443" s="56"/>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59"/>
      <c r="B444" s="56"/>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59"/>
      <c r="B445" s="56"/>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59"/>
      <c r="B446" s="56"/>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59"/>
      <c r="B447" s="56"/>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59"/>
      <c r="B448" s="56"/>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59"/>
      <c r="B449" s="56"/>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59"/>
      <c r="B450" s="56"/>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59"/>
      <c r="B451" s="56"/>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59"/>
      <c r="B452" s="56"/>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59"/>
      <c r="B453" s="56"/>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59"/>
      <c r="B454" s="56"/>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59"/>
      <c r="B455" s="56"/>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59"/>
      <c r="B456" s="56"/>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59"/>
      <c r="B457" s="56"/>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59"/>
      <c r="B458" s="56"/>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59"/>
      <c r="B459" s="56"/>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59"/>
      <c r="B460" s="56"/>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59"/>
      <c r="B461" s="56"/>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59"/>
      <c r="B462" s="56"/>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59"/>
      <c r="B463" s="56"/>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59"/>
      <c r="B464" s="56"/>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59"/>
      <c r="B465" s="56"/>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59"/>
      <c r="B466" s="56"/>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59"/>
      <c r="B467" s="56"/>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59"/>
      <c r="B468" s="56"/>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59"/>
      <c r="B469" s="56"/>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59"/>
      <c r="B470" s="56"/>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59"/>
      <c r="B471" s="56"/>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59"/>
      <c r="B472" s="56"/>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59"/>
      <c r="B473" s="56"/>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59"/>
      <c r="B474" s="56"/>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59"/>
      <c r="B475" s="56"/>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59"/>
      <c r="B476" s="56"/>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59"/>
      <c r="B477" s="56"/>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59"/>
      <c r="B478" s="56"/>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59"/>
      <c r="B479" s="56"/>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59"/>
      <c r="B480" s="56"/>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59"/>
      <c r="B481" s="56"/>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59"/>
      <c r="B482" s="56"/>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59"/>
      <c r="B483" s="56"/>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59"/>
      <c r="B484" s="56"/>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59"/>
      <c r="B485" s="56"/>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59"/>
      <c r="B486" s="56"/>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59"/>
      <c r="B487" s="56"/>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59"/>
      <c r="B488" s="56"/>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59"/>
      <c r="B489" s="56"/>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59"/>
      <c r="B490" s="56"/>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59"/>
      <c r="B491" s="56"/>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59"/>
      <c r="B492" s="56"/>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59"/>
      <c r="B493" s="56"/>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59"/>
      <c r="B494" s="56"/>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59"/>
      <c r="B495" s="56"/>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59"/>
      <c r="B496" s="56"/>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59"/>
      <c r="B497" s="56"/>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59"/>
      <c r="B498" s="56"/>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59"/>
      <c r="B499" s="56"/>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59"/>
      <c r="B500" s="56"/>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59"/>
      <c r="B501" s="56"/>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59"/>
      <c r="B502" s="56"/>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59"/>
      <c r="B503" s="56"/>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59"/>
      <c r="B504" s="56"/>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59"/>
      <c r="B505" s="56"/>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59"/>
      <c r="B506" s="56"/>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59"/>
      <c r="B507" s="56"/>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59"/>
      <c r="B508" s="56"/>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59"/>
      <c r="B509" s="56"/>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59"/>
      <c r="B510" s="56"/>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59"/>
      <c r="B511" s="56"/>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59"/>
      <c r="B512" s="56"/>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59"/>
      <c r="B513" s="56"/>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59"/>
      <c r="B514" s="56"/>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59"/>
      <c r="B515" s="56"/>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59"/>
      <c r="B516" s="56"/>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59"/>
      <c r="B517" s="56"/>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59"/>
      <c r="B518" s="56"/>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59"/>
      <c r="B519" s="56"/>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59"/>
      <c r="B520" s="56"/>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59"/>
      <c r="B521" s="56"/>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59"/>
      <c r="B522" s="56"/>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59"/>
      <c r="B523" s="56"/>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59"/>
      <c r="B524" s="56"/>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59"/>
      <c r="B525" s="56"/>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59"/>
      <c r="B526" s="56"/>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59"/>
      <c r="B527" s="56"/>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59"/>
      <c r="B528" s="56"/>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59"/>
      <c r="B529" s="56"/>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59"/>
      <c r="B530" s="56"/>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59"/>
      <c r="B531" s="56"/>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59"/>
      <c r="B532" s="56"/>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59"/>
      <c r="B533" s="56"/>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59"/>
      <c r="B534" s="56"/>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59"/>
      <c r="B535" s="56"/>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59"/>
      <c r="B536" s="56"/>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59"/>
      <c r="B537" s="56"/>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59"/>
      <c r="B538" s="56"/>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59"/>
      <c r="B539" s="56"/>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59"/>
      <c r="B540" s="56"/>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59"/>
      <c r="B541" s="56"/>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59"/>
      <c r="B542" s="56"/>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59"/>
      <c r="B543" s="56"/>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59"/>
      <c r="B544" s="56"/>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59"/>
      <c r="B545" s="56"/>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59"/>
      <c r="B546" s="56"/>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59"/>
      <c r="B547" s="56"/>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59"/>
      <c r="B548" s="56"/>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59"/>
      <c r="B549" s="56"/>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59"/>
      <c r="B550" s="56"/>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59"/>
      <c r="B551" s="56"/>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59"/>
      <c r="B552" s="56"/>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59"/>
      <c r="B553" s="56"/>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59"/>
      <c r="B554" s="56"/>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59"/>
      <c r="B555" s="56"/>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59"/>
      <c r="B556" s="56"/>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59"/>
      <c r="B557" s="56"/>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59"/>
      <c r="B558" s="56"/>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59"/>
      <c r="B559" s="56"/>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59"/>
      <c r="B560" s="56"/>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59"/>
      <c r="B561" s="56"/>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59"/>
      <c r="B562" s="56"/>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59"/>
      <c r="B563" s="56"/>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59"/>
      <c r="B564" s="56"/>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59"/>
      <c r="B565" s="56"/>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59"/>
      <c r="B566" s="56"/>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59"/>
      <c r="B567" s="56"/>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59"/>
      <c r="B568" s="56"/>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59"/>
      <c r="B569" s="56"/>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59"/>
      <c r="B570" s="56"/>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59"/>
      <c r="B571" s="56"/>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59"/>
      <c r="B572" s="56"/>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59"/>
      <c r="B573" s="56"/>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59"/>
      <c r="B574" s="56"/>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59"/>
      <c r="B575" s="56"/>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59"/>
      <c r="B576" s="56"/>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59"/>
      <c r="B577" s="56"/>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59"/>
      <c r="B578" s="56"/>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59"/>
      <c r="B579" s="56"/>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59"/>
      <c r="B580" s="56"/>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59"/>
      <c r="B581" s="56"/>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59"/>
      <c r="B582" s="56"/>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59"/>
      <c r="B583" s="56"/>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59"/>
      <c r="B584" s="56"/>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59"/>
      <c r="B585" s="56"/>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59"/>
      <c r="B586" s="56"/>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59"/>
      <c r="B587" s="56"/>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59"/>
      <c r="B588" s="56"/>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59"/>
      <c r="B589" s="56"/>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59"/>
      <c r="B590" s="56"/>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59"/>
      <c r="B591" s="56"/>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59"/>
      <c r="B592" s="56"/>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59"/>
      <c r="B593" s="56"/>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59"/>
      <c r="B594" s="56"/>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59"/>
      <c r="B595" s="56"/>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59"/>
      <c r="B596" s="56"/>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59"/>
      <c r="B597" s="56"/>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59"/>
      <c r="B598" s="56"/>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59"/>
      <c r="B599" s="56"/>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59"/>
      <c r="B600" s="56"/>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59"/>
      <c r="B601" s="56"/>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59"/>
      <c r="B602" s="56"/>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59"/>
      <c r="B603" s="56"/>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59"/>
      <c r="B604" s="56"/>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59"/>
      <c r="B605" s="56"/>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59"/>
      <c r="B606" s="56"/>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59"/>
      <c r="B607" s="56"/>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59"/>
      <c r="B608" s="56"/>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59"/>
      <c r="B609" s="56"/>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59"/>
      <c r="B610" s="56"/>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59"/>
      <c r="B611" s="56"/>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59"/>
      <c r="B612" s="56"/>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59"/>
      <c r="B613" s="56"/>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59"/>
      <c r="B614" s="56"/>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59"/>
      <c r="B615" s="56"/>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59"/>
      <c r="B616" s="56"/>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59"/>
      <c r="B617" s="56"/>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59"/>
      <c r="B618" s="56"/>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59"/>
      <c r="B619" s="56"/>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59"/>
      <c r="B620" s="56"/>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59"/>
      <c r="B621" s="56"/>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59"/>
      <c r="B622" s="56"/>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59"/>
      <c r="B623" s="56"/>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59"/>
      <c r="B624" s="56"/>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59"/>
      <c r="B625" s="56"/>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59"/>
      <c r="B626" s="56"/>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59"/>
      <c r="B627" s="56"/>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59"/>
      <c r="B628" s="56"/>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59"/>
      <c r="B629" s="56"/>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59"/>
      <c r="B630" s="56"/>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59"/>
      <c r="B631" s="56"/>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59"/>
      <c r="B632" s="56"/>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59"/>
      <c r="B633" s="56"/>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59"/>
      <c r="B634" s="56"/>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59"/>
      <c r="B635" s="56"/>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59"/>
      <c r="B636" s="56"/>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59"/>
      <c r="B637" s="56"/>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59"/>
      <c r="B638" s="56"/>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59"/>
      <c r="B639" s="56"/>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59"/>
      <c r="B640" s="56"/>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59"/>
      <c r="B641" s="56"/>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59"/>
      <c r="B642" s="56"/>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59"/>
      <c r="B643" s="56"/>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59"/>
      <c r="B644" s="56"/>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59"/>
      <c r="B645" s="56"/>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59"/>
      <c r="B646" s="56"/>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59"/>
      <c r="B647" s="56"/>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59"/>
      <c r="B648" s="56"/>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59"/>
      <c r="B649" s="56"/>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59"/>
      <c r="B650" s="56"/>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59"/>
      <c r="B651" s="56"/>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59"/>
      <c r="B652" s="56"/>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59"/>
      <c r="B653" s="56"/>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59"/>
      <c r="B654" s="56"/>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59"/>
      <c r="B655" s="56"/>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59"/>
      <c r="B656" s="56"/>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59"/>
      <c r="B657" s="56"/>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59"/>
      <c r="B658" s="56"/>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59"/>
      <c r="B659" s="56"/>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59"/>
      <c r="B660" s="56"/>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59"/>
      <c r="B661" s="56"/>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59"/>
      <c r="B662" s="56"/>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59"/>
      <c r="B663" s="56"/>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59"/>
      <c r="B664" s="56"/>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59"/>
      <c r="B665" s="56"/>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59"/>
      <c r="B666" s="56"/>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59"/>
      <c r="B667" s="56"/>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59"/>
      <c r="B668" s="56"/>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59"/>
      <c r="B669" s="56"/>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59"/>
      <c r="B670" s="56"/>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59"/>
      <c r="B671" s="56"/>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59"/>
      <c r="B672" s="56"/>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59"/>
      <c r="B673" s="56"/>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59"/>
      <c r="B674" s="56"/>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59"/>
      <c r="B675" s="56"/>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59"/>
      <c r="B676" s="56"/>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59"/>
      <c r="B677" s="56"/>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59"/>
      <c r="B678" s="56"/>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59"/>
      <c r="B679" s="56"/>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59"/>
      <c r="B680" s="56"/>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59"/>
      <c r="B681" s="56"/>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59"/>
      <c r="B682" s="56"/>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59"/>
      <c r="B683" s="56"/>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59"/>
      <c r="B684" s="56"/>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59"/>
      <c r="B685" s="56"/>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59"/>
      <c r="B686" s="56"/>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59"/>
      <c r="B687" s="56"/>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59"/>
      <c r="B688" s="56"/>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59"/>
      <c r="B689" s="56"/>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59"/>
      <c r="B690" s="56"/>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59"/>
      <c r="B691" s="56"/>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59"/>
      <c r="B692" s="56"/>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59"/>
      <c r="B693" s="56"/>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59"/>
      <c r="B694" s="56"/>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59"/>
      <c r="B695" s="56"/>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59"/>
      <c r="B696" s="56"/>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59"/>
      <c r="B697" s="56"/>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59"/>
      <c r="B698" s="56"/>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59"/>
      <c r="B699" s="56"/>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59"/>
      <c r="B700" s="56"/>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59"/>
      <c r="B701" s="56"/>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59"/>
      <c r="B702" s="56"/>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59"/>
      <c r="B703" s="56"/>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59"/>
      <c r="B704" s="56"/>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59"/>
      <c r="B705" s="56"/>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59"/>
      <c r="B706" s="56"/>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59"/>
      <c r="B707" s="56"/>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59"/>
      <c r="B708" s="56"/>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59"/>
      <c r="B709" s="56"/>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59"/>
      <c r="B710" s="56"/>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59"/>
      <c r="B711" s="56"/>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59"/>
      <c r="B712" s="56"/>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59"/>
      <c r="B713" s="56"/>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59"/>
      <c r="B714" s="56"/>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59"/>
      <c r="B715" s="56"/>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59"/>
      <c r="B716" s="56"/>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59"/>
      <c r="B717" s="56"/>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59"/>
      <c r="B718" s="56"/>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59"/>
      <c r="B719" s="56"/>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59"/>
      <c r="B720" s="56"/>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59"/>
      <c r="B721" s="56"/>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59"/>
      <c r="B722" s="56"/>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59"/>
      <c r="B723" s="56"/>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59"/>
      <c r="B724" s="56"/>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59"/>
      <c r="B725" s="56"/>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59"/>
      <c r="B726" s="56"/>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59"/>
      <c r="B727" s="56"/>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59"/>
      <c r="B728" s="56"/>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59"/>
      <c r="B729" s="56"/>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59"/>
      <c r="B730" s="56"/>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59"/>
      <c r="B731" s="56"/>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59"/>
      <c r="B732" s="56"/>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59"/>
      <c r="B733" s="56"/>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59"/>
      <c r="B734" s="56"/>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59"/>
      <c r="B735" s="56"/>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59"/>
      <c r="B736" s="56"/>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59"/>
      <c r="B737" s="56"/>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59"/>
      <c r="B738" s="56"/>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59"/>
      <c r="B739" s="56"/>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59"/>
      <c r="B740" s="56"/>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59"/>
      <c r="B741" s="56"/>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59"/>
      <c r="B742" s="56"/>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59"/>
      <c r="B743" s="56"/>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59"/>
      <c r="B744" s="56"/>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59"/>
      <c r="B745" s="56"/>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59"/>
      <c r="B746" s="56"/>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59"/>
      <c r="B747" s="56"/>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59"/>
      <c r="B748" s="56"/>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59"/>
      <c r="B749" s="56"/>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59"/>
      <c r="B750" s="56"/>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59"/>
      <c r="B751" s="56"/>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59"/>
      <c r="B752" s="56"/>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59"/>
      <c r="B753" s="56"/>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59"/>
      <c r="B754" s="56"/>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59"/>
      <c r="B755" s="56"/>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59"/>
      <c r="B756" s="56"/>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59"/>
      <c r="B757" s="56"/>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59"/>
      <c r="B758" s="56"/>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59"/>
      <c r="B759" s="56"/>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59"/>
      <c r="B760" s="56"/>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59"/>
      <c r="B761" s="56"/>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59"/>
      <c r="B762" s="56"/>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59"/>
      <c r="B763" s="56"/>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59"/>
      <c r="B764" s="56"/>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59"/>
      <c r="B765" s="56"/>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59"/>
      <c r="B766" s="56"/>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59"/>
      <c r="B767" s="56"/>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59"/>
      <c r="B768" s="56"/>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59"/>
      <c r="B769" s="56"/>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59"/>
      <c r="B770" s="56"/>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59"/>
      <c r="B771" s="56"/>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59"/>
      <c r="B772" s="56"/>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59"/>
      <c r="B773" s="56"/>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59"/>
      <c r="B774" s="56"/>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59"/>
      <c r="B775" s="56"/>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59"/>
      <c r="B776" s="56"/>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59"/>
      <c r="B777" s="56"/>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59"/>
      <c r="B778" s="56"/>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59"/>
      <c r="B779" s="56"/>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59"/>
      <c r="B780" s="56"/>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59"/>
      <c r="B781" s="56"/>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59"/>
      <c r="B782" s="56"/>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59"/>
      <c r="B783" s="56"/>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59"/>
      <c r="B784" s="56"/>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59"/>
      <c r="B785" s="56"/>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59"/>
      <c r="B786" s="56"/>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59"/>
      <c r="B787" s="56"/>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59"/>
      <c r="B788" s="56"/>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59"/>
      <c r="B789" s="56"/>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59"/>
      <c r="B790" s="56"/>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59"/>
      <c r="B791" s="56"/>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59"/>
      <c r="B792" s="56"/>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59"/>
      <c r="B793" s="56"/>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59"/>
      <c r="B794" s="56"/>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59"/>
      <c r="B795" s="56"/>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59"/>
      <c r="B796" s="56"/>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59"/>
      <c r="B797" s="56"/>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59"/>
      <c r="B798" s="56"/>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59"/>
      <c r="B799" s="56"/>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59"/>
      <c r="B800" s="56"/>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59"/>
      <c r="B801" s="56"/>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59"/>
      <c r="B802" s="56"/>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59"/>
      <c r="B803" s="56"/>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59"/>
      <c r="B804" s="56"/>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59"/>
      <c r="B805" s="56"/>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59"/>
      <c r="B806" s="56"/>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59"/>
      <c r="B807" s="56"/>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59"/>
      <c r="B808" s="56"/>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59"/>
      <c r="B809" s="56"/>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59"/>
      <c r="B810" s="56"/>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59"/>
      <c r="B811" s="56"/>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59"/>
      <c r="B812" s="56"/>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59"/>
      <c r="B813" s="56"/>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59"/>
      <c r="B814" s="56"/>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59"/>
      <c r="B815" s="56"/>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59"/>
      <c r="B816" s="56"/>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59"/>
      <c r="B817" s="56"/>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59"/>
      <c r="B818" s="56"/>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59"/>
      <c r="B819" s="56"/>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59"/>
      <c r="B820" s="56"/>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59"/>
      <c r="B821" s="56"/>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59"/>
      <c r="B822" s="56"/>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59"/>
      <c r="B823" s="56"/>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59"/>
      <c r="B824" s="56"/>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59"/>
      <c r="B825" s="56"/>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59"/>
      <c r="B826" s="56"/>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59"/>
      <c r="B827" s="56"/>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59"/>
      <c r="B828" s="56"/>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59"/>
      <c r="B829" s="56"/>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59"/>
      <c r="B830" s="56"/>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59"/>
      <c r="B831" s="56"/>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59"/>
      <c r="B832" s="56"/>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59"/>
      <c r="B833" s="56"/>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59"/>
      <c r="B834" s="56"/>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59"/>
      <c r="B835" s="56"/>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59"/>
      <c r="B836" s="56"/>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59"/>
      <c r="B837" s="56"/>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59"/>
      <c r="B838" s="56"/>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59"/>
      <c r="B839" s="56"/>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59"/>
      <c r="B840" s="56"/>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59"/>
      <c r="B841" s="56"/>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59"/>
      <c r="B842" s="56"/>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59"/>
      <c r="B843" s="56"/>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59"/>
      <c r="B844" s="56"/>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59"/>
      <c r="B845" s="56"/>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59"/>
      <c r="B846" s="56"/>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59"/>
      <c r="B847" s="56"/>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59"/>
      <c r="B848" s="56"/>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59"/>
      <c r="B849" s="56"/>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59"/>
      <c r="B850" s="56"/>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59"/>
      <c r="B851" s="56"/>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59"/>
      <c r="B852" s="56"/>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59"/>
      <c r="B853" s="56"/>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59"/>
      <c r="B854" s="56"/>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59"/>
      <c r="B855" s="56"/>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59"/>
      <c r="B856" s="56"/>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59"/>
      <c r="B857" s="56"/>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59"/>
      <c r="B858" s="56"/>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59"/>
      <c r="B859" s="56"/>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59"/>
      <c r="B860" s="56"/>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59"/>
      <c r="B861" s="56"/>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59"/>
      <c r="B862" s="56"/>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59"/>
      <c r="B863" s="56"/>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59"/>
      <c r="B864" s="56"/>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59"/>
      <c r="B865" s="56"/>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59"/>
      <c r="B866" s="56"/>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59"/>
      <c r="B867" s="56"/>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59"/>
      <c r="B868" s="56"/>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59"/>
      <c r="B869" s="56"/>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59"/>
      <c r="B870" s="56"/>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59"/>
      <c r="B871" s="56"/>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59"/>
      <c r="B872" s="56"/>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59"/>
      <c r="B873" s="56"/>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59"/>
      <c r="B874" s="56"/>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59"/>
      <c r="B875" s="56"/>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59"/>
      <c r="B876" s="56"/>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59"/>
      <c r="B877" s="56"/>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59"/>
      <c r="B878" s="56"/>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59"/>
      <c r="B879" s="56"/>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59"/>
      <c r="B880" s="56"/>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59"/>
      <c r="B881" s="56"/>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59"/>
      <c r="B882" s="56"/>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59"/>
      <c r="B883" s="56"/>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59"/>
      <c r="B884" s="56"/>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59"/>
      <c r="B885" s="56"/>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59"/>
      <c r="B886" s="56"/>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59"/>
      <c r="B887" s="56"/>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59"/>
      <c r="B888" s="56"/>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59"/>
      <c r="B889" s="56"/>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59"/>
      <c r="B890" s="56"/>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59"/>
      <c r="B891" s="56"/>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59"/>
      <c r="B892" s="56"/>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59"/>
      <c r="B893" s="56"/>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59"/>
      <c r="B894" s="56"/>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59"/>
      <c r="B895" s="56"/>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59"/>
      <c r="B896" s="56"/>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59"/>
      <c r="B897" s="56"/>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59"/>
      <c r="B898" s="56"/>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59"/>
      <c r="B899" s="56"/>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59"/>
      <c r="B900" s="56"/>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59"/>
      <c r="B901" s="56"/>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59"/>
      <c r="B902" s="56"/>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59"/>
      <c r="B903" s="56"/>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59"/>
      <c r="B904" s="56"/>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59"/>
      <c r="B905" s="56"/>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59"/>
      <c r="B906" s="56"/>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59"/>
      <c r="B907" s="56"/>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59"/>
      <c r="B908" s="56"/>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59"/>
      <c r="B909" s="56"/>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59"/>
      <c r="B910" s="56"/>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59"/>
      <c r="B911" s="56"/>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59"/>
      <c r="B912" s="56"/>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59"/>
      <c r="B913" s="56"/>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59"/>
      <c r="B914" s="56"/>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59"/>
      <c r="B915" s="56"/>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59"/>
      <c r="B916" s="56"/>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59"/>
      <c r="B917" s="56"/>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59"/>
      <c r="B918" s="56"/>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59"/>
      <c r="B919" s="56"/>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59"/>
      <c r="B920" s="56"/>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59"/>
      <c r="B921" s="56"/>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59"/>
      <c r="B922" s="56"/>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59"/>
      <c r="B923" s="56"/>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59"/>
      <c r="B924" s="56"/>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59"/>
      <c r="B925" s="56"/>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59"/>
      <c r="B926" s="56"/>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59"/>
      <c r="B927" s="56"/>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59"/>
      <c r="B928" s="56"/>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59"/>
      <c r="B929" s="56"/>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59"/>
      <c r="B930" s="56"/>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59"/>
      <c r="B931" s="56"/>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59"/>
      <c r="B932" s="56"/>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59"/>
      <c r="B933" s="56"/>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59"/>
      <c r="B934" s="56"/>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59"/>
      <c r="B935" s="56"/>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59"/>
      <c r="B936" s="56"/>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59"/>
      <c r="B937" s="56"/>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59"/>
      <c r="B938" s="56"/>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59"/>
      <c r="B939" s="56"/>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59"/>
      <c r="B940" s="56"/>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59"/>
      <c r="B941" s="56"/>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59"/>
      <c r="B942" s="56"/>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59"/>
      <c r="B943" s="56"/>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59"/>
      <c r="B944" s="56"/>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59"/>
      <c r="B945" s="56"/>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59"/>
      <c r="B946" s="56"/>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59"/>
      <c r="B947" s="56"/>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59"/>
      <c r="B948" s="56"/>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59"/>
      <c r="B949" s="56"/>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59"/>
      <c r="B950" s="56"/>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59"/>
      <c r="B951" s="56"/>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59"/>
      <c r="B952" s="56"/>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59"/>
      <c r="B953" s="56"/>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59"/>
      <c r="B954" s="56"/>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59"/>
      <c r="B955" s="56"/>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59"/>
      <c r="B956" s="56"/>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59"/>
      <c r="B957" s="56"/>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59"/>
      <c r="B958" s="56"/>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59"/>
      <c r="B959" s="56"/>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59"/>
      <c r="B960" s="56"/>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59"/>
      <c r="B961" s="56"/>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59"/>
      <c r="B962" s="56"/>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59"/>
      <c r="B963" s="56"/>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59"/>
      <c r="B964" s="56"/>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59"/>
      <c r="B965" s="56"/>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59"/>
      <c r="B966" s="56"/>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59"/>
      <c r="B967" s="56"/>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59"/>
      <c r="B968" s="56"/>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59"/>
      <c r="B969" s="56"/>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59"/>
      <c r="B970" s="56"/>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59"/>
      <c r="B971" s="56"/>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59"/>
      <c r="B972" s="56"/>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59"/>
      <c r="B973" s="56"/>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59"/>
      <c r="B974" s="56"/>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59"/>
      <c r="B975" s="56"/>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59"/>
      <c r="B976" s="56"/>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59"/>
      <c r="B977" s="56"/>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59"/>
      <c r="B978" s="56"/>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25 E27:E50">
    <cfRule type="colorScale" priority="1">
      <colorScale>
        <cfvo type="formula" val="0"/>
        <cfvo type="formula" val="0.5"/>
        <cfvo type="formula" val="1"/>
        <color rgb="FFFFFFFF"/>
        <color rgb="FFF3BEB9"/>
        <color rgb="FFE67C73"/>
      </colorScale>
    </cfRule>
  </conditionalFormatting>
  <conditionalFormatting sqref="E2:E978">
    <cfRule type="colorScale" priority="2">
      <colorScale>
        <cfvo type="formula" val="0"/>
        <cfvo type="formula" val="1"/>
        <color rgb="FFFFFFFF"/>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"Heading,Jeremy,Naiara,Begoña,Alba"</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73</v>
      </c>
      <c r="E2" s="74">
        <f>IFERROR(__xludf.DUMMYFUNCTION("COUNTA(SPLIT(D2,"" ""))/COUNTA(SPLIT($B$2,"" ""))"),0.2568027210884354)</f>
        <v>0.2568027211</v>
      </c>
      <c r="F2" s="7">
        <v>5.0</v>
      </c>
      <c r="G2" s="7">
        <v>4.0</v>
      </c>
      <c r="H2" s="7">
        <v>4.0</v>
      </c>
      <c r="I2" s="7">
        <v>4.0</v>
      </c>
      <c r="J2" s="7">
        <v>4.0</v>
      </c>
      <c r="K2" s="56"/>
      <c r="L2" s="56"/>
      <c r="M2" s="56"/>
      <c r="N2" s="56"/>
      <c r="O2" s="56"/>
      <c r="P2" s="56"/>
      <c r="Q2" s="56"/>
      <c r="R2" s="56"/>
      <c r="S2" s="56"/>
      <c r="T2" s="56"/>
      <c r="U2" s="56"/>
      <c r="V2" s="56"/>
      <c r="W2" s="56"/>
      <c r="X2" s="56"/>
      <c r="Y2" s="56"/>
      <c r="Z2" s="56"/>
      <c r="AA2" s="56"/>
      <c r="AB2" s="56"/>
    </row>
    <row r="3">
      <c r="C3" s="7" t="s">
        <v>22</v>
      </c>
      <c r="D3" s="54" t="s">
        <v>74</v>
      </c>
      <c r="E3" s="74">
        <f>IFERROR(__xludf.DUMMYFUNCTION("COUNTA(SPLIT(D3,"" ""))/COUNTA(SPLIT($B$2,"" ""))"),0.18877551020408162)</f>
        <v>0.1887755102</v>
      </c>
      <c r="F3" s="67">
        <v>5.0</v>
      </c>
      <c r="G3" s="67">
        <v>5.0</v>
      </c>
      <c r="H3" s="67">
        <v>5.0</v>
      </c>
      <c r="I3" s="67">
        <v>4.0</v>
      </c>
      <c r="J3" s="67">
        <v>3.0</v>
      </c>
      <c r="K3" s="56"/>
      <c r="L3" s="56"/>
      <c r="M3" s="56"/>
      <c r="N3" s="56"/>
      <c r="O3" s="56"/>
      <c r="P3" s="56"/>
      <c r="Q3" s="56"/>
      <c r="R3" s="56"/>
      <c r="S3" s="56"/>
      <c r="T3" s="56"/>
      <c r="U3" s="56"/>
      <c r="V3" s="56"/>
      <c r="W3" s="56"/>
      <c r="X3" s="56"/>
      <c r="Y3" s="56"/>
      <c r="Z3" s="56"/>
      <c r="AA3" s="56"/>
      <c r="AB3" s="56"/>
    </row>
    <row r="4">
      <c r="C4" s="7" t="s">
        <v>8</v>
      </c>
      <c r="D4" s="54" t="s">
        <v>75</v>
      </c>
      <c r="E4" s="74">
        <f>IFERROR(__xludf.DUMMYFUNCTION("COUNTA(SPLIT(D4,"" ""))/COUNTA(SPLIT($B$2,"" ""))"),0.23299319727891157)</f>
        <v>0.2329931973</v>
      </c>
      <c r="F4" s="7">
        <v>2.0</v>
      </c>
      <c r="G4" s="7">
        <v>4.0</v>
      </c>
      <c r="H4" s="7">
        <v>4.0</v>
      </c>
      <c r="I4" s="7">
        <v>4.0</v>
      </c>
      <c r="J4" s="7">
        <v>5.0</v>
      </c>
      <c r="K4" s="56"/>
      <c r="L4" s="56"/>
      <c r="M4" s="56"/>
      <c r="N4" s="56"/>
      <c r="O4" s="56"/>
      <c r="P4" s="56"/>
      <c r="Q4" s="56"/>
      <c r="R4" s="56"/>
      <c r="S4" s="56"/>
      <c r="T4" s="56"/>
      <c r="U4" s="56"/>
      <c r="V4" s="56"/>
      <c r="W4" s="56"/>
      <c r="X4" s="56"/>
      <c r="Y4" s="56"/>
      <c r="Z4" s="56"/>
      <c r="AA4" s="56"/>
      <c r="AB4" s="56"/>
    </row>
    <row r="5" ht="84.0" customHeight="1">
      <c r="C5" s="7" t="s">
        <v>23</v>
      </c>
      <c r="D5" s="54" t="s">
        <v>76</v>
      </c>
      <c r="E5" s="74">
        <f>IFERROR(__xludf.DUMMYFUNCTION("COUNTA(SPLIT(D5,"" ""))/COUNTA(SPLIT($B$2,"" ""))"),0.1564625850340136)</f>
        <v>0.156462585</v>
      </c>
      <c r="F5" s="67">
        <v>4.0</v>
      </c>
      <c r="G5" s="67">
        <v>5.0</v>
      </c>
      <c r="H5" s="67">
        <v>5.0</v>
      </c>
      <c r="I5" s="67">
        <v>4.0</v>
      </c>
      <c r="J5" s="67">
        <v>4.0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77</v>
      </c>
      <c r="E7" s="78">
        <f>IFERROR(__xludf.DUMMYFUNCTION("COUNTA(SPLIT(D7,"" ""))/COUNTA(SPLIT($B$7,"" ""))"),0.19452054794520549)</f>
        <v>0.1945205479</v>
      </c>
      <c r="F7" s="67">
        <v>5.0</v>
      </c>
      <c r="G7" s="67">
        <v>5.0</v>
      </c>
      <c r="H7" s="67">
        <v>5.0</v>
      </c>
      <c r="I7" s="67">
        <v>4.0</v>
      </c>
      <c r="J7" s="67">
        <v>5.0</v>
      </c>
      <c r="K7" s="68"/>
      <c r="L7" s="68"/>
      <c r="M7" s="68"/>
      <c r="N7" s="68"/>
      <c r="O7" s="68"/>
      <c r="P7" s="68"/>
      <c r="Q7" s="68"/>
      <c r="R7" s="68"/>
      <c r="S7" s="68"/>
      <c r="T7" s="68"/>
      <c r="U7" s="68"/>
      <c r="V7" s="68"/>
      <c r="W7" s="68"/>
      <c r="X7" s="68"/>
      <c r="Y7" s="68"/>
      <c r="Z7" s="68"/>
      <c r="AA7" s="68"/>
      <c r="AB7" s="68"/>
    </row>
    <row r="8">
      <c r="C8" s="7" t="s">
        <v>22</v>
      </c>
      <c r="D8" s="54" t="s">
        <v>78</v>
      </c>
      <c r="E8" s="74">
        <f>IFERROR(__xludf.DUMMYFUNCTION("COUNTA(SPLIT(D8,"" ""))/COUNTA(SPLIT($B$7,"" ""))"),0.14383561643835616)</f>
        <v>0.1438356164</v>
      </c>
      <c r="F8" s="7">
        <v>3.0</v>
      </c>
      <c r="G8" s="7">
        <v>5.0</v>
      </c>
      <c r="H8" s="7">
        <v>5.0</v>
      </c>
      <c r="I8" s="7">
        <v>4.0</v>
      </c>
      <c r="J8" s="7">
        <v>3.0</v>
      </c>
      <c r="K8" s="56"/>
      <c r="L8" s="56"/>
      <c r="M8" s="56"/>
      <c r="N8" s="56"/>
      <c r="O8" s="56"/>
      <c r="P8" s="56"/>
      <c r="Q8" s="56"/>
      <c r="R8" s="56"/>
      <c r="S8" s="56"/>
      <c r="T8" s="56"/>
      <c r="U8" s="56"/>
      <c r="V8" s="56"/>
      <c r="W8" s="56"/>
      <c r="X8" s="56"/>
      <c r="Y8" s="56"/>
      <c r="Z8" s="56"/>
      <c r="AA8" s="56"/>
      <c r="AB8" s="56"/>
    </row>
    <row r="9">
      <c r="C9" s="7" t="s">
        <v>8</v>
      </c>
      <c r="D9" s="54" t="s">
        <v>79</v>
      </c>
      <c r="E9" s="74">
        <f>IFERROR(__xludf.DUMMYFUNCTION("COUNTA(SPLIT(D9,"" ""))/COUNTA(SPLIT($B$7,"" ""))"),0.18356164383561643)</f>
        <v>0.1835616438</v>
      </c>
      <c r="F9" s="7">
        <v>3.0</v>
      </c>
      <c r="G9" s="7">
        <v>5.0</v>
      </c>
      <c r="H9" s="7">
        <v>5.0</v>
      </c>
      <c r="I9" s="7">
        <v>4.0</v>
      </c>
      <c r="J9" s="7">
        <v>5.0</v>
      </c>
      <c r="K9" s="56"/>
      <c r="L9" s="56"/>
      <c r="M9" s="56"/>
      <c r="N9" s="56"/>
      <c r="O9" s="56"/>
      <c r="P9" s="56"/>
      <c r="Q9" s="56"/>
      <c r="R9" s="56"/>
      <c r="S9" s="56"/>
      <c r="T9" s="56"/>
      <c r="U9" s="56"/>
      <c r="V9" s="56"/>
      <c r="W9" s="56"/>
      <c r="X9" s="56"/>
      <c r="Y9" s="56"/>
      <c r="Z9" s="56"/>
      <c r="AA9" s="56"/>
      <c r="AB9" s="56"/>
    </row>
    <row r="10">
      <c r="C10" s="7" t="s">
        <v>23</v>
      </c>
      <c r="D10" s="54" t="s">
        <v>80</v>
      </c>
      <c r="E10" s="74">
        <f>IFERROR(__xludf.DUMMYFUNCTION("COUNTA(SPLIT(D10,"" ""))/COUNTA(SPLIT($B$7,"" ""))"),0.18904109589041096)</f>
        <v>0.1890410959</v>
      </c>
      <c r="F10" s="67">
        <v>2.0</v>
      </c>
      <c r="G10" s="67">
        <v>5.0</v>
      </c>
      <c r="H10" s="67">
        <v>1.0</v>
      </c>
      <c r="I10" s="67">
        <v>4.0</v>
      </c>
      <c r="J10" s="67">
        <v>3.0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81</v>
      </c>
      <c r="E12" s="78">
        <f>IFERROR(__xludf.DUMMYFUNCTION("COUNTA(SPLIT(D12,"" ""))/COUNTA(SPLIT($B$12,"" ""))"),0.26861702127659576)</f>
        <v>0.2686170213</v>
      </c>
      <c r="F12" s="67">
        <v>2.0</v>
      </c>
      <c r="G12" s="67">
        <v>5.0</v>
      </c>
      <c r="H12" s="67">
        <v>5.0</v>
      </c>
      <c r="I12" s="67">
        <v>4.0</v>
      </c>
      <c r="J12" s="67">
        <v>2.0</v>
      </c>
      <c r="K12" s="68"/>
      <c r="L12" s="68"/>
      <c r="M12" s="68"/>
      <c r="N12" s="68"/>
      <c r="O12" s="68"/>
      <c r="P12" s="68"/>
      <c r="Q12" s="68"/>
      <c r="R12" s="68"/>
      <c r="S12" s="68"/>
      <c r="T12" s="68"/>
      <c r="U12" s="68"/>
      <c r="V12" s="68"/>
      <c r="W12" s="68"/>
      <c r="X12" s="68"/>
      <c r="Y12" s="68"/>
      <c r="Z12" s="68"/>
      <c r="AA12" s="68"/>
      <c r="AB12" s="68"/>
    </row>
    <row r="13">
      <c r="C13" s="7" t="s">
        <v>22</v>
      </c>
      <c r="D13" s="54" t="s">
        <v>82</v>
      </c>
      <c r="E13" s="74">
        <f>IFERROR(__xludf.DUMMYFUNCTION("COUNTA(SPLIT(D13,"" ""))/COUNTA(SPLIT($B$12,"" ""))"),0.2765957446808511)</f>
        <v>0.2765957447</v>
      </c>
      <c r="F13" s="67">
        <v>3.0</v>
      </c>
      <c r="G13" s="67">
        <v>5.0</v>
      </c>
      <c r="H13" s="67">
        <v>5.0</v>
      </c>
      <c r="I13" s="67">
        <v>4.0</v>
      </c>
      <c r="J13" s="67">
        <v>4.0</v>
      </c>
      <c r="K13" s="56"/>
      <c r="L13" s="56"/>
      <c r="M13" s="56"/>
      <c r="N13" s="56"/>
      <c r="O13" s="56"/>
      <c r="P13" s="56"/>
      <c r="Q13" s="56"/>
      <c r="R13" s="56"/>
      <c r="S13" s="56"/>
      <c r="T13" s="56"/>
      <c r="U13" s="56"/>
      <c r="V13" s="56"/>
      <c r="W13" s="56"/>
      <c r="X13" s="56"/>
      <c r="Y13" s="56"/>
      <c r="Z13" s="56"/>
      <c r="AA13" s="56"/>
      <c r="AB13" s="56"/>
    </row>
    <row r="14">
      <c r="C14" s="7" t="s">
        <v>8</v>
      </c>
      <c r="D14" s="54" t="s">
        <v>83</v>
      </c>
      <c r="E14" s="74">
        <f>IFERROR(__xludf.DUMMYFUNCTION("COUNTA(SPLIT(D14,"" ""))/COUNTA(SPLIT($B$12,"" ""))"),0.2925531914893617)</f>
        <v>0.2925531915</v>
      </c>
      <c r="F14" s="7">
        <v>2.0</v>
      </c>
      <c r="G14" s="7">
        <v>5.0</v>
      </c>
      <c r="H14" s="7">
        <v>5.0</v>
      </c>
      <c r="I14" s="7">
        <v>4.0</v>
      </c>
      <c r="J14" s="7">
        <v>5.0</v>
      </c>
      <c r="K14" s="56"/>
      <c r="L14" s="56"/>
      <c r="M14" s="56"/>
      <c r="N14" s="56"/>
      <c r="O14" s="56"/>
      <c r="P14" s="56"/>
      <c r="Q14" s="56"/>
      <c r="R14" s="56"/>
      <c r="S14" s="56"/>
      <c r="T14" s="56"/>
      <c r="U14" s="56"/>
      <c r="V14" s="56"/>
      <c r="W14" s="56"/>
      <c r="X14" s="56"/>
      <c r="Y14" s="56"/>
      <c r="Z14" s="56"/>
      <c r="AA14" s="56"/>
      <c r="AB14" s="56"/>
    </row>
    <row r="15">
      <c r="C15" s="7" t="s">
        <v>23</v>
      </c>
      <c r="D15" s="54" t="s">
        <v>84</v>
      </c>
      <c r="E15" s="74">
        <f>IFERROR(__xludf.DUMMYFUNCTION("COUNTA(SPLIT(D15,"" ""))/COUNTA(SPLIT($B$12,"" ""))"),0.22074468085106383)</f>
        <v>0.2207446809</v>
      </c>
      <c r="F15" s="67">
        <v>2.0</v>
      </c>
      <c r="G15" s="67">
        <v>5.0</v>
      </c>
      <c r="H15" s="67">
        <v>1.0</v>
      </c>
      <c r="I15" s="67">
        <v>4.0</v>
      </c>
      <c r="J15" s="67">
        <v>2.0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85</v>
      </c>
      <c r="E17" s="78">
        <f>IFERROR(__xludf.DUMMYFUNCTION("COUNTA(SPLIT(D17,"" ""))/COUNTA(SPLIT($B$17,"" ""))"),0.22752808988764045)</f>
        <v>0.2275280899</v>
      </c>
      <c r="F17" s="67">
        <v>3.0</v>
      </c>
      <c r="G17" s="67">
        <v>5.0</v>
      </c>
      <c r="H17" s="67">
        <v>5.0</v>
      </c>
      <c r="I17" s="67">
        <v>5.0</v>
      </c>
      <c r="J17" s="67">
        <v>5.0</v>
      </c>
      <c r="K17" s="68"/>
      <c r="L17" s="68"/>
      <c r="M17" s="68"/>
      <c r="N17" s="68"/>
      <c r="O17" s="68"/>
      <c r="P17" s="68"/>
      <c r="Q17" s="68"/>
      <c r="R17" s="68"/>
      <c r="S17" s="68"/>
      <c r="T17" s="68"/>
      <c r="U17" s="68"/>
      <c r="V17" s="68"/>
      <c r="W17" s="68"/>
      <c r="X17" s="68"/>
      <c r="Y17" s="68"/>
      <c r="Z17" s="68"/>
      <c r="AA17" s="68"/>
      <c r="AB17" s="68"/>
    </row>
    <row r="18">
      <c r="C18" s="7" t="s">
        <v>22</v>
      </c>
      <c r="D18" s="54" t="s">
        <v>86</v>
      </c>
      <c r="E18" s="74">
        <f>IFERROR(__xludf.DUMMYFUNCTION("COUNTA(SPLIT(D18,"" ""))/COUNTA(SPLIT($B$17,"" ""))"),0.2401685393258427)</f>
        <v>0.2401685393</v>
      </c>
      <c r="F18" s="67">
        <v>5.0</v>
      </c>
      <c r="G18" s="67">
        <v>5.0</v>
      </c>
      <c r="H18" s="67">
        <v>5.0</v>
      </c>
      <c r="I18" s="67">
        <v>4.0</v>
      </c>
      <c r="J18" s="67">
        <v>5.0</v>
      </c>
      <c r="K18" s="56"/>
      <c r="L18" s="56"/>
      <c r="M18" s="56"/>
      <c r="N18" s="56"/>
      <c r="O18" s="56"/>
      <c r="P18" s="56"/>
      <c r="Q18" s="56"/>
      <c r="R18" s="56"/>
      <c r="S18" s="56"/>
      <c r="T18" s="56"/>
      <c r="U18" s="56"/>
      <c r="V18" s="56"/>
      <c r="W18" s="56"/>
      <c r="X18" s="56"/>
      <c r="Y18" s="56"/>
      <c r="Z18" s="56"/>
      <c r="AA18" s="56"/>
      <c r="AB18" s="56"/>
    </row>
    <row r="19">
      <c r="C19" s="7" t="s">
        <v>8</v>
      </c>
      <c r="D19" s="54" t="s">
        <v>87</v>
      </c>
      <c r="E19" s="74">
        <f>IFERROR(__xludf.DUMMYFUNCTION("COUNTA(SPLIT(D19,"" ""))/COUNTA(SPLIT($B$17,"" ""))"),0.2654494382022472)</f>
        <v>0.2654494382</v>
      </c>
      <c r="F19" s="7">
        <v>4.0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c r="C20" s="7" t="s">
        <v>23</v>
      </c>
      <c r="D20" s="54" t="s">
        <v>88</v>
      </c>
      <c r="E20" s="74">
        <f>IFERROR(__xludf.DUMMYFUNCTION("COUNTA(SPLIT(D20,"" ""))/COUNTA(SPLIT($B$17,"" ""))"),0.3146067415730337)</f>
        <v>0.3146067416</v>
      </c>
      <c r="F20" s="67">
        <v>3.0</v>
      </c>
      <c r="G20" s="67">
        <v>5.0</v>
      </c>
      <c r="H20" s="67">
        <v>1.0</v>
      </c>
      <c r="I20" s="67">
        <v>4.0</v>
      </c>
      <c r="J20" s="67">
        <v>5.0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89</v>
      </c>
      <c r="E22" s="78">
        <f>IFERROR(__xludf.DUMMYFUNCTION("COUNTA(SPLIT(D22,"" ""))/COUNTA(SPLIT($B$22,"" ""))"),0.13957176843774782)</f>
        <v>0.1395717684</v>
      </c>
      <c r="F22" s="67">
        <v>4.0</v>
      </c>
      <c r="G22" s="67">
        <v>5.0</v>
      </c>
      <c r="H22" s="67">
        <v>5.0</v>
      </c>
      <c r="I22" s="67">
        <v>4.0</v>
      </c>
      <c r="J22" s="67">
        <v>4.0</v>
      </c>
      <c r="K22" s="68"/>
      <c r="L22" s="68"/>
      <c r="M22" s="68"/>
      <c r="N22" s="68"/>
      <c r="O22" s="68"/>
      <c r="P22" s="68"/>
      <c r="Q22" s="68"/>
      <c r="R22" s="68"/>
      <c r="S22" s="68"/>
      <c r="T22" s="68"/>
      <c r="U22" s="68"/>
      <c r="V22" s="68"/>
      <c r="W22" s="68"/>
      <c r="X22" s="68"/>
      <c r="Y22" s="68"/>
      <c r="Z22" s="68"/>
      <c r="AA22" s="68"/>
      <c r="AB22" s="68"/>
    </row>
    <row r="23">
      <c r="C23" s="7" t="s">
        <v>22</v>
      </c>
      <c r="D23" s="54" t="s">
        <v>90</v>
      </c>
      <c r="E23" s="74">
        <f>IFERROR(__xludf.DUMMYFUNCTION("COUNTA(SPLIT(D23,"" ""))/COUNTA(SPLIT($B$22,"" ""))"),0.16098334655035687)</f>
        <v>0.1609833466</v>
      </c>
      <c r="F23" s="67">
        <v>4.0</v>
      </c>
      <c r="G23" s="67">
        <v>5.0</v>
      </c>
      <c r="H23" s="67">
        <v>5.0</v>
      </c>
      <c r="I23" s="67">
        <v>4.0</v>
      </c>
      <c r="J23" s="67">
        <v>4.0</v>
      </c>
      <c r="K23" s="56"/>
      <c r="L23" s="56"/>
      <c r="M23" s="56"/>
      <c r="N23" s="56"/>
      <c r="O23" s="56"/>
      <c r="P23" s="56"/>
      <c r="Q23" s="56"/>
      <c r="R23" s="56"/>
      <c r="S23" s="56"/>
      <c r="T23" s="56"/>
      <c r="U23" s="56"/>
      <c r="V23" s="56"/>
      <c r="W23" s="56"/>
      <c r="X23" s="56"/>
      <c r="Y23" s="56"/>
      <c r="Z23" s="56"/>
      <c r="AA23" s="56"/>
      <c r="AB23" s="56"/>
    </row>
    <row r="24">
      <c r="C24" s="7" t="s">
        <v>8</v>
      </c>
      <c r="D24" s="54" t="s">
        <v>91</v>
      </c>
      <c r="E24" s="74">
        <f>IFERROR(__xludf.DUMMYFUNCTION("COUNTA(SPLIT(D24,"" ""))/COUNTA(SPLIT($B$22,"" ""))"),0.1570182394924663)</f>
        <v>0.1570182395</v>
      </c>
      <c r="F24" s="7">
        <v>3.0</v>
      </c>
      <c r="G24" s="7">
        <v>4.0</v>
      </c>
      <c r="H24" s="7">
        <v>5.0</v>
      </c>
      <c r="I24" s="7">
        <v>4.0</v>
      </c>
      <c r="J24" s="7">
        <v>4.0</v>
      </c>
      <c r="K24" s="56"/>
      <c r="L24" s="56"/>
      <c r="M24" s="56"/>
      <c r="N24" s="56"/>
      <c r="O24" s="56"/>
      <c r="P24" s="56"/>
      <c r="Q24" s="56"/>
      <c r="R24" s="56"/>
      <c r="S24" s="56"/>
      <c r="T24" s="56"/>
      <c r="U24" s="56"/>
      <c r="V24" s="56"/>
      <c r="W24" s="56"/>
      <c r="X24" s="56"/>
      <c r="Y24" s="56"/>
      <c r="Z24" s="56"/>
      <c r="AA24" s="56"/>
      <c r="AB24" s="56"/>
    </row>
    <row r="25">
      <c r="C25" s="7" t="s">
        <v>23</v>
      </c>
      <c r="D25" s="54" t="s">
        <v>92</v>
      </c>
      <c r="E25" s="74">
        <f>IFERROR(__xludf.DUMMYFUNCTION("COUNTA(SPLIT(D25,"" ""))/COUNTA(SPLIT($B$22,"" ""))"),0.1506740681998414)</f>
        <v>0.1506740682</v>
      </c>
      <c r="F25" s="67">
        <v>3.0</v>
      </c>
      <c r="G25" s="67">
        <v>5.0</v>
      </c>
      <c r="H25" s="67">
        <v>1.0</v>
      </c>
      <c r="I25" s="67">
        <v>4.0</v>
      </c>
      <c r="J25" s="67">
        <v>4.0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93</v>
      </c>
      <c r="E27" s="83">
        <f>IFERROR(__xludf.DUMMYFUNCTION("COUNTA(SPLIT(D27,"" ""))/COUNTA(SPLIT($B$27,"" ""))"),0.250936329588015)</f>
        <v>0.2509363296</v>
      </c>
      <c r="F27" s="7">
        <v>3.0</v>
      </c>
      <c r="G27" s="7">
        <v>5.0</v>
      </c>
      <c r="H27" s="7">
        <v>5.0</v>
      </c>
      <c r="I27" s="7">
        <v>4.0</v>
      </c>
      <c r="J27" s="7">
        <v>5.0</v>
      </c>
      <c r="K27" s="84"/>
      <c r="L27" s="84"/>
      <c r="M27" s="84"/>
      <c r="N27" s="84"/>
      <c r="O27" s="84"/>
      <c r="P27" s="84"/>
      <c r="Q27" s="84"/>
      <c r="R27" s="84"/>
      <c r="S27" s="84"/>
      <c r="T27" s="84"/>
      <c r="U27" s="84"/>
      <c r="V27" s="84"/>
      <c r="W27" s="84"/>
      <c r="X27" s="84"/>
      <c r="Y27" s="84"/>
      <c r="Z27" s="84"/>
      <c r="AA27" s="84"/>
      <c r="AB27" s="84"/>
    </row>
    <row r="28">
      <c r="C28" s="85" t="s">
        <v>22</v>
      </c>
      <c r="D28" s="57" t="s">
        <v>94</v>
      </c>
      <c r="E28" s="86">
        <f>IFERROR(__xludf.DUMMYFUNCTION("COUNTA(SPLIT(D28,"" ""))/COUNTA(SPLIT($B$27,"" ""))"),0.2858926342072409)</f>
        <v>0.2858926342</v>
      </c>
      <c r="F28" s="7">
        <v>5.0</v>
      </c>
      <c r="G28" s="7">
        <v>5.0</v>
      </c>
      <c r="H28" s="7">
        <v>5.0</v>
      </c>
      <c r="I28" s="7">
        <v>4.0</v>
      </c>
      <c r="J28" s="7">
        <v>3.0</v>
      </c>
      <c r="K28" s="69"/>
      <c r="L28" s="69"/>
      <c r="M28" s="69"/>
      <c r="N28" s="69"/>
      <c r="O28" s="69"/>
      <c r="P28" s="69"/>
      <c r="Q28" s="69"/>
      <c r="R28" s="69"/>
      <c r="S28" s="69"/>
      <c r="T28" s="69"/>
      <c r="U28" s="69"/>
      <c r="V28" s="69"/>
      <c r="W28" s="69"/>
      <c r="X28" s="69"/>
      <c r="Y28" s="69"/>
      <c r="Z28" s="69"/>
      <c r="AA28" s="69"/>
      <c r="AB28" s="69"/>
    </row>
    <row r="29">
      <c r="C29" s="85" t="s">
        <v>8</v>
      </c>
      <c r="D29" s="57" t="s">
        <v>95</v>
      </c>
      <c r="E29" s="87">
        <f>IFERROR(__xludf.DUMMYFUNCTION("COUNTA(SPLIT(D29,"" ""))/COUNTA(SPLIT($B$27,"" ""))"),0.27091136079900124)</f>
        <v>0.2709113608</v>
      </c>
      <c r="F29" s="7">
        <v>4.0</v>
      </c>
      <c r="G29" s="7">
        <v>5.0</v>
      </c>
      <c r="H29" s="7">
        <v>5.0</v>
      </c>
      <c r="I29" s="7">
        <v>4.0</v>
      </c>
      <c r="J29" s="7">
        <v>5.0</v>
      </c>
      <c r="K29" s="69"/>
      <c r="L29" s="69"/>
      <c r="M29" s="69"/>
      <c r="N29" s="69"/>
      <c r="O29" s="69"/>
      <c r="P29" s="69"/>
      <c r="Q29" s="69"/>
      <c r="R29" s="69"/>
      <c r="S29" s="69"/>
      <c r="T29" s="69"/>
      <c r="U29" s="69"/>
      <c r="V29" s="69"/>
      <c r="W29" s="69"/>
      <c r="X29" s="69"/>
      <c r="Y29" s="69"/>
      <c r="Z29" s="69"/>
      <c r="AA29" s="69"/>
      <c r="AB29" s="69"/>
    </row>
    <row r="30">
      <c r="C30" s="85" t="s">
        <v>23</v>
      </c>
      <c r="D30" s="57" t="s">
        <v>96</v>
      </c>
      <c r="E30" s="88">
        <f>IFERROR(__xludf.DUMMYFUNCTION("COUNTA(SPLIT(D30,"" ""))/COUNTA(SPLIT($B$27,"" ""))"),0.2034956304619226)</f>
        <v>0.2034956305</v>
      </c>
      <c r="F30" s="7">
        <v>3.0</v>
      </c>
      <c r="G30" s="7">
        <v>5.0</v>
      </c>
      <c r="H30" s="7">
        <v>1.0</v>
      </c>
      <c r="I30" s="7">
        <v>4.0</v>
      </c>
      <c r="J30" s="7">
        <v>5.0</v>
      </c>
      <c r="K30" s="69"/>
      <c r="L30" s="69"/>
      <c r="M30" s="69"/>
      <c r="N30" s="69"/>
      <c r="O30" s="69"/>
      <c r="P30" s="69"/>
      <c r="Q30" s="69"/>
      <c r="R30" s="69"/>
      <c r="S30" s="69"/>
      <c r="T30" s="69"/>
      <c r="U30" s="69"/>
      <c r="V30" s="69"/>
      <c r="W30" s="69"/>
      <c r="X30" s="69"/>
      <c r="Y30" s="69"/>
      <c r="Z30" s="69"/>
      <c r="AA30" s="69"/>
      <c r="AB30" s="69"/>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97</v>
      </c>
      <c r="E32" s="83">
        <f>IFERROR(__xludf.DUMMYFUNCTION("COUNTA(SPLIT(D32,"" ""))/COUNTA(SPLIT($B$32,"" ""))"),0.20414201183431951)</f>
        <v>0.2041420118</v>
      </c>
      <c r="F32" s="7">
        <v>5.0</v>
      </c>
      <c r="G32" s="7">
        <v>5.0</v>
      </c>
      <c r="H32" s="7">
        <v>5.0</v>
      </c>
      <c r="I32" s="7">
        <v>4.0</v>
      </c>
      <c r="J32" s="7">
        <v>5.0</v>
      </c>
      <c r="K32" s="84"/>
      <c r="L32" s="84"/>
      <c r="M32" s="84"/>
      <c r="N32" s="84"/>
      <c r="O32" s="84"/>
      <c r="P32" s="84"/>
      <c r="Q32" s="84"/>
      <c r="R32" s="84"/>
      <c r="S32" s="84"/>
      <c r="T32" s="84"/>
      <c r="U32" s="84"/>
      <c r="V32" s="84"/>
      <c r="W32" s="84"/>
      <c r="X32" s="84"/>
      <c r="Y32" s="84"/>
      <c r="Z32" s="84"/>
      <c r="AA32" s="84"/>
      <c r="AB32" s="84"/>
    </row>
    <row r="33">
      <c r="C33" s="85" t="s">
        <v>22</v>
      </c>
      <c r="D33" s="57" t="s">
        <v>98</v>
      </c>
      <c r="E33" s="86">
        <f>IFERROR(__xludf.DUMMYFUNCTION("COUNTA(SPLIT(D33,"" ""))/COUNTA(SPLIT($B$32,"" ""))"),0.1932938856015779)</f>
        <v>0.1932938856</v>
      </c>
      <c r="F33" s="7">
        <v>5.0</v>
      </c>
      <c r="G33" s="7">
        <v>5.0</v>
      </c>
      <c r="H33" s="7">
        <v>5.0</v>
      </c>
      <c r="I33" s="7">
        <v>4.0</v>
      </c>
      <c r="J33" s="7">
        <v>5.0</v>
      </c>
      <c r="K33" s="69"/>
      <c r="L33" s="69"/>
      <c r="M33" s="69"/>
      <c r="N33" s="69"/>
      <c r="O33" s="69"/>
      <c r="P33" s="69"/>
      <c r="Q33" s="69"/>
      <c r="R33" s="69"/>
      <c r="S33" s="69"/>
      <c r="T33" s="69"/>
      <c r="U33" s="69"/>
      <c r="V33" s="69"/>
      <c r="W33" s="69"/>
      <c r="X33" s="69"/>
      <c r="Y33" s="69"/>
      <c r="Z33" s="69"/>
      <c r="AA33" s="69"/>
      <c r="AB33" s="69"/>
    </row>
    <row r="34">
      <c r="C34" s="85" t="s">
        <v>8</v>
      </c>
      <c r="D34" s="57" t="s">
        <v>99</v>
      </c>
      <c r="E34" s="87">
        <f>IFERROR(__xludf.DUMMYFUNCTION("COUNTA(SPLIT(D34,"" ""))/COUNTA(SPLIT($B$32,"" ""))"),0.1794871794871795)</f>
        <v>0.1794871795</v>
      </c>
      <c r="F34" s="7">
        <v>3.0</v>
      </c>
      <c r="G34" s="7">
        <v>5.0</v>
      </c>
      <c r="H34" s="7">
        <v>5.0</v>
      </c>
      <c r="I34" s="7">
        <v>4.0</v>
      </c>
      <c r="J34" s="7">
        <v>5.0</v>
      </c>
      <c r="K34" s="69"/>
      <c r="L34" s="69"/>
      <c r="M34" s="69"/>
      <c r="N34" s="69"/>
      <c r="O34" s="69"/>
      <c r="P34" s="69"/>
      <c r="Q34" s="69"/>
      <c r="R34" s="69"/>
      <c r="S34" s="69"/>
      <c r="T34" s="69"/>
      <c r="U34" s="69"/>
      <c r="V34" s="69"/>
      <c r="W34" s="69"/>
      <c r="X34" s="69"/>
      <c r="Y34" s="69"/>
      <c r="Z34" s="69"/>
      <c r="AA34" s="69"/>
      <c r="AB34" s="69"/>
    </row>
    <row r="35">
      <c r="C35" s="85" t="s">
        <v>23</v>
      </c>
      <c r="D35" s="57" t="s">
        <v>100</v>
      </c>
      <c r="E35" s="88">
        <f>IFERROR(__xludf.DUMMYFUNCTION("COUNTA(SPLIT(D35,"" ""))/COUNTA(SPLIT($B$32,"" ""))"),0.20118343195266272)</f>
        <v>0.201183432</v>
      </c>
      <c r="F35" s="7">
        <v>5.0</v>
      </c>
      <c r="G35" s="7">
        <v>5.0</v>
      </c>
      <c r="H35" s="7">
        <v>1.0</v>
      </c>
      <c r="I35" s="7">
        <v>4.0</v>
      </c>
      <c r="J35" s="7">
        <v>5.0</v>
      </c>
      <c r="K35" s="69"/>
      <c r="L35" s="69"/>
      <c r="M35" s="69"/>
      <c r="N35" s="69"/>
      <c r="O35" s="69"/>
      <c r="P35" s="69"/>
      <c r="Q35" s="69"/>
      <c r="R35" s="69"/>
      <c r="S35" s="69"/>
      <c r="T35" s="69"/>
      <c r="U35" s="69"/>
      <c r="V35" s="69"/>
      <c r="W35" s="69"/>
      <c r="X35" s="69"/>
      <c r="Y35" s="69"/>
      <c r="Z35" s="69"/>
      <c r="AA35" s="69"/>
      <c r="AB35" s="69"/>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0" t="s">
        <v>62</v>
      </c>
      <c r="C37" s="81" t="s">
        <v>21</v>
      </c>
      <c r="D37" s="82" t="s">
        <v>101</v>
      </c>
      <c r="E37" s="83">
        <f>IFERROR(__xludf.DUMMYFUNCTION("COUNTA(SPLIT(D37,"" ""))/COUNTA(SPLIT($B$37,"" ""))"),0.16220735785953178)</f>
        <v>0.1622073579</v>
      </c>
      <c r="F37" s="7">
        <v>3.0</v>
      </c>
      <c r="G37" s="7">
        <v>5.0</v>
      </c>
      <c r="H37" s="7">
        <v>5.0</v>
      </c>
      <c r="I37" s="7">
        <v>3.0</v>
      </c>
      <c r="J37" s="7">
        <v>3.0</v>
      </c>
      <c r="K37" s="84"/>
      <c r="L37" s="84"/>
      <c r="M37" s="84"/>
      <c r="N37" s="84"/>
      <c r="O37" s="84"/>
      <c r="P37" s="84"/>
      <c r="Q37" s="84"/>
      <c r="R37" s="84"/>
      <c r="S37" s="84"/>
      <c r="T37" s="84"/>
      <c r="U37" s="84"/>
      <c r="V37" s="84"/>
      <c r="W37" s="84"/>
      <c r="X37" s="84"/>
      <c r="Y37" s="84"/>
      <c r="Z37" s="84"/>
      <c r="AA37" s="84"/>
      <c r="AB37" s="84"/>
    </row>
    <row r="38">
      <c r="C38" s="85" t="s">
        <v>22</v>
      </c>
      <c r="D38" s="57" t="s">
        <v>102</v>
      </c>
      <c r="E38" s="86">
        <f>IFERROR(__xludf.DUMMYFUNCTION("COUNTA(SPLIT(D38,"" ""))/COUNTA(SPLIT($B$37,"" ""))"),0.1705685618729097)</f>
        <v>0.1705685619</v>
      </c>
      <c r="F38" s="7">
        <v>3.0</v>
      </c>
      <c r="G38" s="7">
        <v>5.0</v>
      </c>
      <c r="H38" s="7">
        <v>5.0</v>
      </c>
      <c r="I38" s="7">
        <v>3.0</v>
      </c>
      <c r="J38" s="7">
        <v>3.0</v>
      </c>
      <c r="K38" s="69"/>
      <c r="L38" s="69"/>
      <c r="M38" s="69"/>
      <c r="N38" s="69"/>
      <c r="O38" s="69"/>
      <c r="P38" s="69"/>
      <c r="Q38" s="69"/>
      <c r="R38" s="69"/>
      <c r="S38" s="69"/>
      <c r="T38" s="69"/>
      <c r="U38" s="69"/>
      <c r="V38" s="69"/>
      <c r="W38" s="69"/>
      <c r="X38" s="69"/>
      <c r="Y38" s="69"/>
      <c r="Z38" s="69"/>
      <c r="AA38" s="69"/>
      <c r="AB38" s="69"/>
    </row>
    <row r="39">
      <c r="C39" s="85" t="s">
        <v>8</v>
      </c>
      <c r="D39" s="57" t="s">
        <v>103</v>
      </c>
      <c r="E39" s="87">
        <f>IFERROR(__xludf.DUMMYFUNCTION("COUNTA(SPLIT(D39,"" ""))/COUNTA(SPLIT($B$37,"" ""))"),0.15551839464882944)</f>
        <v>0.1555183946</v>
      </c>
      <c r="F39" s="7">
        <v>3.0</v>
      </c>
      <c r="G39" s="7">
        <v>5.0</v>
      </c>
      <c r="H39" s="7">
        <v>5.0</v>
      </c>
      <c r="I39" s="7">
        <v>4.0</v>
      </c>
      <c r="J39" s="7">
        <v>5.0</v>
      </c>
      <c r="K39" s="69"/>
      <c r="L39" s="69"/>
      <c r="M39" s="69"/>
      <c r="N39" s="69"/>
      <c r="O39" s="69"/>
      <c r="P39" s="69"/>
      <c r="Q39" s="69"/>
      <c r="R39" s="69"/>
      <c r="S39" s="69"/>
      <c r="T39" s="69"/>
      <c r="U39" s="69"/>
      <c r="V39" s="69"/>
      <c r="W39" s="69"/>
      <c r="X39" s="69"/>
      <c r="Y39" s="69"/>
      <c r="Z39" s="69"/>
      <c r="AA39" s="69"/>
      <c r="AB39" s="69"/>
    </row>
    <row r="40">
      <c r="C40" s="85" t="s">
        <v>23</v>
      </c>
      <c r="D40" s="57" t="s">
        <v>104</v>
      </c>
      <c r="E40" s="88">
        <f>IFERROR(__xludf.DUMMYFUNCTION("COUNTA(SPLIT(D40,"" ""))/COUNTA(SPLIT($B$37,"" ""))"),0.10702341137123746)</f>
        <v>0.1070234114</v>
      </c>
      <c r="F40" s="7">
        <v>3.0</v>
      </c>
      <c r="G40" s="7">
        <v>5.0</v>
      </c>
      <c r="H40" s="7">
        <v>1.0</v>
      </c>
      <c r="I40" s="7">
        <v>4.0</v>
      </c>
      <c r="J40" s="7">
        <v>3.0</v>
      </c>
      <c r="K40" s="69"/>
      <c r="L40" s="69"/>
      <c r="M40" s="69"/>
      <c r="N40" s="69"/>
      <c r="O40" s="69"/>
      <c r="P40" s="69"/>
      <c r="Q40" s="69"/>
      <c r="R40" s="69"/>
      <c r="S40" s="69"/>
      <c r="T40" s="69"/>
      <c r="U40" s="69"/>
      <c r="V40" s="69"/>
      <c r="W40" s="69"/>
      <c r="X40" s="69"/>
      <c r="Y40" s="69"/>
      <c r="Z40" s="69"/>
      <c r="AA40" s="69"/>
      <c r="AB40" s="69"/>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105</v>
      </c>
      <c r="E42" s="83">
        <f>IFERROR(__xludf.DUMMYFUNCTION("COUNTA(SPLIT(D42,"" ""))/COUNTA(SPLIT($B$42,"" ""))"),0.21689785624211855)</f>
        <v>0.2168978562</v>
      </c>
      <c r="F42" s="7">
        <v>4.0</v>
      </c>
      <c r="G42" s="7">
        <v>5.0</v>
      </c>
      <c r="H42" s="7">
        <v>5.0</v>
      </c>
      <c r="I42" s="7">
        <v>5.0</v>
      </c>
      <c r="J42" s="7">
        <v>4.0</v>
      </c>
      <c r="K42" s="84"/>
      <c r="L42" s="84"/>
      <c r="M42" s="84"/>
      <c r="N42" s="84"/>
      <c r="O42" s="84"/>
      <c r="P42" s="84"/>
      <c r="Q42" s="84"/>
      <c r="R42" s="84"/>
      <c r="S42" s="84"/>
      <c r="T42" s="84"/>
      <c r="U42" s="84"/>
      <c r="V42" s="84"/>
      <c r="W42" s="84"/>
      <c r="X42" s="84"/>
      <c r="Y42" s="84"/>
      <c r="Z42" s="84"/>
      <c r="AA42" s="84"/>
      <c r="AB42" s="84"/>
    </row>
    <row r="43">
      <c r="C43" s="85" t="s">
        <v>22</v>
      </c>
      <c r="D43" s="57" t="s">
        <v>106</v>
      </c>
      <c r="E43" s="86">
        <f>IFERROR(__xludf.DUMMYFUNCTION("COUNTA(SPLIT(D43,"" ""))/COUNTA(SPLIT($B$42,"" ""))"),0.17276166456494324)</f>
        <v>0.1727616646</v>
      </c>
      <c r="F43" s="7">
        <v>4.0</v>
      </c>
      <c r="G43" s="7">
        <v>5.0</v>
      </c>
      <c r="H43" s="7">
        <v>5.0</v>
      </c>
      <c r="I43" s="7">
        <v>4.0</v>
      </c>
      <c r="J43" s="7">
        <v>4.0</v>
      </c>
      <c r="K43" s="69"/>
      <c r="L43" s="69"/>
      <c r="M43" s="69"/>
      <c r="N43" s="69"/>
      <c r="O43" s="69"/>
      <c r="P43" s="69"/>
      <c r="Q43" s="69"/>
      <c r="R43" s="69"/>
      <c r="S43" s="69"/>
      <c r="T43" s="69"/>
      <c r="U43" s="69"/>
      <c r="V43" s="69"/>
      <c r="W43" s="69"/>
      <c r="X43" s="69"/>
      <c r="Y43" s="69"/>
      <c r="Z43" s="69"/>
      <c r="AA43" s="69"/>
      <c r="AB43" s="69"/>
    </row>
    <row r="44">
      <c r="C44" s="85" t="s">
        <v>8</v>
      </c>
      <c r="D44" s="57" t="s">
        <v>107</v>
      </c>
      <c r="E44" s="87">
        <f>IFERROR(__xludf.DUMMYFUNCTION("COUNTA(SPLIT(D44,"" ""))/COUNTA(SPLIT($B$42,"" ""))"),0.19798234552332913)</f>
        <v>0.1979823455</v>
      </c>
      <c r="F44" s="7">
        <v>2.0</v>
      </c>
      <c r="G44" s="7">
        <v>5.0</v>
      </c>
      <c r="H44" s="7">
        <v>5.0</v>
      </c>
      <c r="I44" s="7">
        <v>4.0</v>
      </c>
      <c r="J44" s="7">
        <v>5.0</v>
      </c>
      <c r="K44" s="69"/>
      <c r="L44" s="69"/>
      <c r="M44" s="69"/>
      <c r="N44" s="69"/>
      <c r="O44" s="69"/>
      <c r="P44" s="69"/>
      <c r="Q44" s="69"/>
      <c r="R44" s="69"/>
      <c r="S44" s="69"/>
      <c r="T44" s="69"/>
      <c r="U44" s="69"/>
      <c r="V44" s="69"/>
      <c r="W44" s="69"/>
      <c r="X44" s="69"/>
      <c r="Y44" s="69"/>
      <c r="Z44" s="69"/>
      <c r="AA44" s="69"/>
      <c r="AB44" s="69"/>
    </row>
    <row r="45">
      <c r="C45" s="85" t="s">
        <v>23</v>
      </c>
      <c r="D45" s="57" t="s">
        <v>108</v>
      </c>
      <c r="E45" s="88">
        <f>IFERROR(__xludf.DUMMYFUNCTION("COUNTA(SPLIT(D45,"" ""))/COUNTA(SPLIT($B$42,"" ""))"),0.1664564943253468)</f>
        <v>0.1664564943</v>
      </c>
      <c r="F45" s="7">
        <v>2.0</v>
      </c>
      <c r="G45" s="7">
        <v>5.0</v>
      </c>
      <c r="H45" s="7">
        <v>5.0</v>
      </c>
      <c r="I45" s="7">
        <v>4.0</v>
      </c>
      <c r="J45" s="7">
        <v>4.0</v>
      </c>
      <c r="K45" s="69"/>
      <c r="L45" s="69"/>
      <c r="M45" s="69"/>
      <c r="N45" s="69"/>
      <c r="O45" s="69"/>
      <c r="P45" s="69"/>
      <c r="Q45" s="69"/>
      <c r="R45" s="69"/>
      <c r="S45" s="69"/>
      <c r="T45" s="69"/>
      <c r="U45" s="69"/>
      <c r="V45" s="69"/>
      <c r="W45" s="69"/>
      <c r="X45" s="69"/>
      <c r="Y45" s="69"/>
      <c r="Z45" s="69"/>
      <c r="AA45" s="69"/>
      <c r="AB45" s="69"/>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109</v>
      </c>
      <c r="E47" s="83">
        <f>IFERROR(__xludf.DUMMYFUNCTION("COUNTA(SPLIT(D47,"" ""))/COUNTA(SPLIT($B$47,"" ""))"),0.18055555555555555)</f>
        <v>0.1805555556</v>
      </c>
      <c r="F47" s="7">
        <v>5.0</v>
      </c>
      <c r="G47" s="7">
        <v>5.0</v>
      </c>
      <c r="H47" s="7">
        <v>5.0</v>
      </c>
      <c r="I47" s="7">
        <v>4.0</v>
      </c>
      <c r="J47" s="7">
        <v>5.0</v>
      </c>
      <c r="K47" s="84"/>
      <c r="L47" s="84"/>
      <c r="M47" s="84"/>
      <c r="N47" s="84"/>
      <c r="O47" s="84"/>
      <c r="P47" s="84"/>
      <c r="Q47" s="84"/>
      <c r="R47" s="84"/>
      <c r="S47" s="84"/>
      <c r="T47" s="84"/>
      <c r="U47" s="84"/>
      <c r="V47" s="84"/>
      <c r="W47" s="84"/>
      <c r="X47" s="84"/>
      <c r="Y47" s="84"/>
      <c r="Z47" s="84"/>
      <c r="AA47" s="84"/>
      <c r="AB47" s="84"/>
    </row>
    <row r="48">
      <c r="C48" s="85" t="s">
        <v>22</v>
      </c>
      <c r="D48" s="57" t="s">
        <v>110</v>
      </c>
      <c r="E48" s="86">
        <f>IFERROR(__xludf.DUMMYFUNCTION("COUNTA(SPLIT(D48,"" ""))/COUNTA(SPLIT($B$47,"" ""))"),0.1345486111111111)</f>
        <v>0.1345486111</v>
      </c>
      <c r="F48" s="7">
        <v>3.0</v>
      </c>
      <c r="G48" s="7">
        <v>5.0</v>
      </c>
      <c r="H48" s="7">
        <v>5.0</v>
      </c>
      <c r="I48" s="7">
        <v>4.0</v>
      </c>
      <c r="J48" s="7">
        <v>3.0</v>
      </c>
      <c r="K48" s="69"/>
      <c r="L48" s="69"/>
      <c r="M48" s="69"/>
      <c r="N48" s="69"/>
      <c r="O48" s="69"/>
      <c r="P48" s="69"/>
      <c r="Q48" s="69"/>
      <c r="R48" s="69"/>
      <c r="S48" s="69"/>
      <c r="T48" s="69"/>
      <c r="U48" s="69"/>
      <c r="V48" s="69"/>
      <c r="W48" s="69"/>
      <c r="X48" s="69"/>
      <c r="Y48" s="69"/>
      <c r="Z48" s="69"/>
      <c r="AA48" s="69"/>
      <c r="AB48" s="69"/>
    </row>
    <row r="49">
      <c r="C49" s="85" t="s">
        <v>8</v>
      </c>
      <c r="D49" s="57" t="s">
        <v>111</v>
      </c>
      <c r="E49" s="87">
        <f>IFERROR(__xludf.DUMMYFUNCTION("COUNTA(SPLIT(D49,"" ""))/COUNTA(SPLIT($B$47,"" ""))"),0.17447916666666666)</f>
        <v>0.1744791667</v>
      </c>
      <c r="F49" s="7">
        <v>2.0</v>
      </c>
      <c r="G49" s="7">
        <v>5.0</v>
      </c>
      <c r="H49" s="7">
        <v>5.0</v>
      </c>
      <c r="I49" s="7">
        <v>4.0</v>
      </c>
      <c r="J49" s="7">
        <v>5.0</v>
      </c>
      <c r="K49" s="69"/>
      <c r="L49" s="69"/>
      <c r="M49" s="69"/>
      <c r="N49" s="69"/>
      <c r="O49" s="69"/>
      <c r="P49" s="69"/>
      <c r="Q49" s="69"/>
      <c r="R49" s="69"/>
      <c r="S49" s="69"/>
      <c r="T49" s="69"/>
      <c r="U49" s="69"/>
      <c r="V49" s="69"/>
      <c r="W49" s="69"/>
      <c r="X49" s="69"/>
      <c r="Y49" s="69"/>
      <c r="Z49" s="69"/>
      <c r="AA49" s="69"/>
      <c r="AB49" s="69"/>
    </row>
    <row r="50">
      <c r="C50" s="85" t="s">
        <v>23</v>
      </c>
      <c r="D50" s="57" t="s">
        <v>112</v>
      </c>
      <c r="E50" s="88">
        <f>IFERROR(__xludf.DUMMYFUNCTION("COUNTA(SPLIT(D50,"" ""))/COUNTA(SPLIT($B$47,"" ""))"),0.1579861111111111)</f>
        <v>0.1579861111</v>
      </c>
      <c r="F50" s="7">
        <v>3.0</v>
      </c>
      <c r="G50" s="7">
        <v>5.0</v>
      </c>
      <c r="H50" s="7">
        <v>1.0</v>
      </c>
      <c r="I50" s="7">
        <v>3.0</v>
      </c>
      <c r="J50" s="7">
        <v>5.0</v>
      </c>
      <c r="K50" s="69"/>
      <c r="L50" s="69"/>
      <c r="M50" s="69"/>
      <c r="N50" s="69"/>
      <c r="O50" s="69"/>
      <c r="P50" s="69"/>
      <c r="Q50" s="69"/>
      <c r="R50" s="69"/>
      <c r="S50" s="69"/>
      <c r="T50" s="69"/>
      <c r="U50" s="69"/>
      <c r="V50" s="69"/>
      <c r="W50" s="69"/>
      <c r="X50" s="69"/>
      <c r="Y50" s="69"/>
      <c r="Z50" s="69"/>
      <c r="AA50" s="69"/>
      <c r="AB50" s="69"/>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25">
    <cfRule type="colorScale" priority="1">
      <colorScale>
        <cfvo type="formula" val="0"/>
        <cfvo type="formula" val="0.5"/>
        <cfvo type="formula" val="1"/>
        <color rgb="FFFFFFFF"/>
        <color rgb="FFF3BEB9"/>
        <color rgb="FFE67C73"/>
      </colorScale>
    </cfRule>
  </conditionalFormatting>
  <conditionalFormatting sqref="E2:E978">
    <cfRule type="colorScale" priority="2">
      <colorScale>
        <cfvo type="formula" val="0"/>
        <cfvo type="formula" val="1"/>
        <color rgb="FFFFFFFF"/>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113</v>
      </c>
      <c r="E2" s="74">
        <f>IFERROR(__xludf.DUMMYFUNCTION("COUNTA(SPLIT(D2,"" ""))/COUNTA(SPLIT($B$2,"" ""))"),0.3129251700680272)</f>
        <v>0.3129251701</v>
      </c>
      <c r="F2" s="7">
        <v>4.0</v>
      </c>
      <c r="G2" s="7">
        <v>3.0</v>
      </c>
      <c r="H2" s="7">
        <v>4.0</v>
      </c>
      <c r="I2" s="7">
        <v>5.0</v>
      </c>
      <c r="J2" s="7">
        <v>4.0</v>
      </c>
      <c r="K2" s="56"/>
      <c r="L2" s="56"/>
      <c r="M2" s="56"/>
      <c r="N2" s="56"/>
      <c r="O2" s="56"/>
      <c r="P2" s="56"/>
      <c r="Q2" s="56"/>
      <c r="R2" s="56"/>
      <c r="S2" s="56"/>
      <c r="T2" s="56"/>
      <c r="U2" s="56"/>
      <c r="V2" s="56"/>
      <c r="W2" s="56"/>
      <c r="X2" s="56"/>
      <c r="Y2" s="56"/>
      <c r="Z2" s="56"/>
      <c r="AA2" s="56"/>
      <c r="AB2" s="56"/>
    </row>
    <row r="3">
      <c r="C3" s="7" t="s">
        <v>22</v>
      </c>
      <c r="D3" s="54" t="s">
        <v>114</v>
      </c>
      <c r="E3" s="74">
        <f>IFERROR(__xludf.DUMMYFUNCTION("COUNTA(SPLIT(D3,"" ""))/COUNTA(SPLIT($B$2,"" ""))"),0.195578231292517)</f>
        <v>0.1955782313</v>
      </c>
      <c r="F3" s="67">
        <v>5.0</v>
      </c>
      <c r="G3" s="67">
        <v>4.0</v>
      </c>
      <c r="H3" s="67">
        <v>5.0</v>
      </c>
      <c r="I3" s="67">
        <v>5.0</v>
      </c>
      <c r="J3" s="67">
        <v>3.0</v>
      </c>
      <c r="K3" s="56"/>
      <c r="L3" s="56"/>
      <c r="M3" s="56"/>
      <c r="N3" s="56"/>
      <c r="O3" s="56"/>
      <c r="P3" s="56"/>
      <c r="Q3" s="56"/>
      <c r="R3" s="56"/>
      <c r="S3" s="56"/>
      <c r="T3" s="56"/>
      <c r="U3" s="56"/>
      <c r="V3" s="56"/>
      <c r="W3" s="56"/>
      <c r="X3" s="56"/>
      <c r="Y3" s="56"/>
      <c r="Z3" s="56"/>
      <c r="AA3" s="56"/>
      <c r="AB3" s="56"/>
    </row>
    <row r="4">
      <c r="C4" s="7" t="s">
        <v>8</v>
      </c>
      <c r="D4" s="54" t="s">
        <v>115</v>
      </c>
      <c r="E4" s="74">
        <f>IFERROR(__xludf.DUMMYFUNCTION("COUNTA(SPLIT(D4,"" ""))/COUNTA(SPLIT($B$2,"" ""))"),0.15816326530612246)</f>
        <v>0.1581632653</v>
      </c>
      <c r="F4" s="7">
        <v>3.0</v>
      </c>
      <c r="G4" s="7">
        <v>4.0</v>
      </c>
      <c r="H4" s="7">
        <v>5.0</v>
      </c>
      <c r="I4" s="7">
        <v>5.0</v>
      </c>
      <c r="J4" s="7">
        <v>5.0</v>
      </c>
      <c r="K4" s="56"/>
      <c r="L4" s="56"/>
      <c r="M4" s="56"/>
      <c r="N4" s="56"/>
      <c r="O4" s="56"/>
      <c r="P4" s="56"/>
      <c r="Q4" s="56"/>
      <c r="R4" s="56"/>
      <c r="S4" s="56"/>
      <c r="T4" s="56"/>
      <c r="U4" s="56"/>
      <c r="V4" s="56"/>
      <c r="W4" s="56"/>
      <c r="X4" s="56"/>
      <c r="Y4" s="56"/>
      <c r="Z4" s="56"/>
      <c r="AA4" s="56"/>
      <c r="AB4" s="56"/>
    </row>
    <row r="5">
      <c r="C5" s="7" t="s">
        <v>23</v>
      </c>
      <c r="D5" s="54" t="s">
        <v>116</v>
      </c>
      <c r="E5" s="74">
        <f>IFERROR(__xludf.DUMMYFUNCTION("COUNTA(SPLIT(D5,"" ""))/COUNTA(SPLIT($B$2,"" ""))"),0.20578231292517007)</f>
        <v>0.2057823129</v>
      </c>
      <c r="F5" s="67">
        <v>5.0</v>
      </c>
      <c r="G5" s="67">
        <v>5.0</v>
      </c>
      <c r="H5" s="67">
        <v>5.0</v>
      </c>
      <c r="I5" s="67">
        <v>5.0</v>
      </c>
      <c r="J5" s="67">
        <v>4.0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117</v>
      </c>
      <c r="E7" s="78">
        <f>IFERROR(__xludf.DUMMYFUNCTION("COUNTA(SPLIT(D7,"" ""))/COUNTA(SPLIT($B$7,"" ""))"),0.18767123287671234)</f>
        <v>0.1876712329</v>
      </c>
      <c r="F7" s="67">
        <v>5.0</v>
      </c>
      <c r="G7" s="67">
        <v>5.0</v>
      </c>
      <c r="H7" s="67">
        <v>5.0</v>
      </c>
      <c r="I7" s="67">
        <v>5.0</v>
      </c>
      <c r="J7" s="67">
        <v>3.0</v>
      </c>
      <c r="K7" s="68"/>
      <c r="L7" s="68"/>
      <c r="M7" s="68"/>
      <c r="N7" s="68"/>
      <c r="O7" s="68"/>
      <c r="P7" s="68"/>
      <c r="Q7" s="68"/>
      <c r="R7" s="68"/>
      <c r="S7" s="68"/>
      <c r="T7" s="68"/>
      <c r="U7" s="68"/>
      <c r="V7" s="68"/>
      <c r="W7" s="68"/>
      <c r="X7" s="68"/>
      <c r="Y7" s="68"/>
      <c r="Z7" s="68"/>
      <c r="AA7" s="68"/>
      <c r="AB7" s="68"/>
    </row>
    <row r="8">
      <c r="C8" s="7" t="s">
        <v>22</v>
      </c>
      <c r="D8" s="54" t="s">
        <v>118</v>
      </c>
      <c r="E8" s="74">
        <f>IFERROR(__xludf.DUMMYFUNCTION("COUNTA(SPLIT(D8,"" ""))/COUNTA(SPLIT($B$7,"" ""))"),0.1232876712328767)</f>
        <v>0.1232876712</v>
      </c>
      <c r="F8" s="7">
        <v>5.0</v>
      </c>
      <c r="G8" s="7">
        <v>5.0</v>
      </c>
      <c r="H8" s="7">
        <v>5.0</v>
      </c>
      <c r="I8" s="7">
        <v>5.0</v>
      </c>
      <c r="J8" s="7">
        <v>3.0</v>
      </c>
      <c r="K8" s="56"/>
      <c r="L8" s="56"/>
      <c r="M8" s="56"/>
      <c r="N8" s="56"/>
      <c r="O8" s="56"/>
      <c r="P8" s="56"/>
      <c r="Q8" s="56"/>
      <c r="R8" s="56"/>
      <c r="S8" s="56"/>
      <c r="T8" s="56"/>
      <c r="U8" s="56"/>
      <c r="V8" s="56"/>
      <c r="W8" s="56"/>
      <c r="X8" s="56"/>
      <c r="Y8" s="56"/>
      <c r="Z8" s="56"/>
      <c r="AA8" s="56"/>
      <c r="AB8" s="56"/>
    </row>
    <row r="9">
      <c r="C9" s="7" t="s">
        <v>8</v>
      </c>
      <c r="D9" s="54" t="s">
        <v>119</v>
      </c>
      <c r="E9" s="74">
        <f>IFERROR(__xludf.DUMMYFUNCTION("COUNTA(SPLIT(D9,"" ""))/COUNTA(SPLIT($B$7,"" ""))"),0.18082191780821918)</f>
        <v>0.1808219178</v>
      </c>
      <c r="F9" s="7">
        <v>3.0</v>
      </c>
      <c r="G9" s="7">
        <v>5.0</v>
      </c>
      <c r="H9" s="7">
        <v>5.0</v>
      </c>
      <c r="I9" s="7">
        <v>5.0</v>
      </c>
      <c r="J9" s="7">
        <v>5.0</v>
      </c>
      <c r="K9" s="56"/>
      <c r="L9" s="56"/>
      <c r="M9" s="56"/>
      <c r="N9" s="56"/>
      <c r="O9" s="56"/>
      <c r="P9" s="56"/>
      <c r="Q9" s="56"/>
      <c r="R9" s="56"/>
      <c r="S9" s="56"/>
      <c r="T9" s="56"/>
      <c r="U9" s="56"/>
      <c r="V9" s="56"/>
      <c r="W9" s="56"/>
      <c r="X9" s="56"/>
      <c r="Y9" s="56"/>
      <c r="Z9" s="56"/>
      <c r="AA9" s="56"/>
      <c r="AB9" s="56"/>
    </row>
    <row r="10">
      <c r="C10" s="7" t="s">
        <v>23</v>
      </c>
      <c r="D10" s="54" t="s">
        <v>120</v>
      </c>
      <c r="E10" s="74">
        <f>IFERROR(__xludf.DUMMYFUNCTION("COUNTA(SPLIT(D10,"" ""))/COUNTA(SPLIT($B$7,"" ""))"),0.16575342465753426)</f>
        <v>0.1657534247</v>
      </c>
      <c r="F10" s="67">
        <v>5.0</v>
      </c>
      <c r="G10" s="67">
        <v>5.0</v>
      </c>
      <c r="H10" s="67">
        <v>5.0</v>
      </c>
      <c r="I10" s="67">
        <v>5.0</v>
      </c>
      <c r="J10" s="67">
        <v>3.0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121</v>
      </c>
      <c r="E12" s="78">
        <f>IFERROR(__xludf.DUMMYFUNCTION("COUNTA(SPLIT(D12,"" ""))/COUNTA(SPLIT($B$12,"" ""))"),0.4734042553191489)</f>
        <v>0.4734042553</v>
      </c>
      <c r="F12" s="67">
        <v>5.0</v>
      </c>
      <c r="G12" s="67">
        <v>5.0</v>
      </c>
      <c r="H12" s="67">
        <v>5.0</v>
      </c>
      <c r="I12" s="67">
        <v>5.0</v>
      </c>
      <c r="J12" s="67">
        <v>2.0</v>
      </c>
      <c r="K12" s="68"/>
      <c r="L12" s="68"/>
      <c r="M12" s="68"/>
      <c r="N12" s="68"/>
      <c r="O12" s="68"/>
      <c r="P12" s="68"/>
      <c r="Q12" s="68"/>
      <c r="R12" s="68"/>
      <c r="S12" s="68"/>
      <c r="T12" s="68"/>
      <c r="U12" s="68"/>
      <c r="V12" s="68"/>
      <c r="W12" s="68"/>
      <c r="X12" s="68"/>
      <c r="Y12" s="68"/>
      <c r="Z12" s="68"/>
      <c r="AA12" s="68"/>
      <c r="AB12" s="68"/>
    </row>
    <row r="13">
      <c r="C13" s="7" t="s">
        <v>22</v>
      </c>
      <c r="D13" s="54" t="s">
        <v>122</v>
      </c>
      <c r="E13" s="74">
        <f>IFERROR(__xludf.DUMMYFUNCTION("COUNTA(SPLIT(D13,"" ""))/COUNTA(SPLIT($B$12,"" ""))"),0.22340425531914893)</f>
        <v>0.2234042553</v>
      </c>
      <c r="F13" s="67">
        <v>5.0</v>
      </c>
      <c r="G13" s="67">
        <v>5.0</v>
      </c>
      <c r="H13" s="67">
        <v>5.0</v>
      </c>
      <c r="I13" s="67">
        <v>5.0</v>
      </c>
      <c r="J13" s="67">
        <v>2.0</v>
      </c>
      <c r="K13" s="56"/>
      <c r="L13" s="56"/>
      <c r="M13" s="56"/>
      <c r="N13" s="56"/>
      <c r="O13" s="56"/>
      <c r="P13" s="56"/>
      <c r="Q13" s="56"/>
      <c r="R13" s="56"/>
      <c r="S13" s="56"/>
      <c r="T13" s="56"/>
      <c r="U13" s="56"/>
      <c r="V13" s="56"/>
      <c r="W13" s="56"/>
      <c r="X13" s="56"/>
      <c r="Y13" s="56"/>
      <c r="Z13" s="56"/>
      <c r="AA13" s="56"/>
      <c r="AB13" s="56"/>
    </row>
    <row r="14">
      <c r="C14" s="7" t="s">
        <v>8</v>
      </c>
      <c r="D14" s="54" t="s">
        <v>123</v>
      </c>
      <c r="E14" s="74">
        <f>IFERROR(__xludf.DUMMYFUNCTION("COUNTA(SPLIT(D14,"" ""))/COUNTA(SPLIT($B$12,"" ""))"),0.6888297872340425)</f>
        <v>0.6888297872</v>
      </c>
      <c r="F14" s="7">
        <v>4.0</v>
      </c>
      <c r="G14" s="7">
        <v>5.0</v>
      </c>
      <c r="H14" s="7">
        <v>5.0</v>
      </c>
      <c r="I14" s="7">
        <v>5.0</v>
      </c>
      <c r="J14" s="7">
        <v>5.0</v>
      </c>
      <c r="K14" s="56"/>
      <c r="L14" s="56"/>
      <c r="M14" s="56"/>
      <c r="N14" s="56"/>
      <c r="O14" s="56"/>
      <c r="P14" s="56"/>
      <c r="Q14" s="56"/>
      <c r="R14" s="56"/>
      <c r="S14" s="56"/>
      <c r="T14" s="56"/>
      <c r="U14" s="56"/>
      <c r="V14" s="56"/>
      <c r="W14" s="56"/>
      <c r="X14" s="56"/>
      <c r="Y14" s="56"/>
      <c r="Z14" s="56"/>
      <c r="AA14" s="56"/>
      <c r="AB14" s="56"/>
    </row>
    <row r="15">
      <c r="C15" s="7" t="s">
        <v>23</v>
      </c>
      <c r="D15" s="54" t="s">
        <v>124</v>
      </c>
      <c r="E15" s="74">
        <f>IFERROR(__xludf.DUMMYFUNCTION("COUNTA(SPLIT(D15,"" ""))/COUNTA(SPLIT($B$12,"" ""))"),0.36436170212765956)</f>
        <v>0.3643617021</v>
      </c>
      <c r="F15" s="67">
        <v>4.0</v>
      </c>
      <c r="G15" s="67">
        <v>5.0</v>
      </c>
      <c r="H15" s="67">
        <v>5.0</v>
      </c>
      <c r="I15" s="67">
        <v>5.0</v>
      </c>
      <c r="J15" s="67">
        <v>2.0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125</v>
      </c>
      <c r="E17" s="78">
        <f>IFERROR(__xludf.DUMMYFUNCTION("COUNTA(SPLIT(D17,"" ""))/COUNTA(SPLIT($B$17,"" ""))"),0.2907303370786517)</f>
        <v>0.2907303371</v>
      </c>
      <c r="F17" s="67">
        <v>5.0</v>
      </c>
      <c r="G17" s="67">
        <v>5.0</v>
      </c>
      <c r="H17" s="67">
        <v>5.0</v>
      </c>
      <c r="I17" s="67">
        <v>3.0</v>
      </c>
      <c r="J17" s="67">
        <v>5.0</v>
      </c>
      <c r="K17" s="68"/>
      <c r="L17" s="68"/>
      <c r="M17" s="68"/>
      <c r="N17" s="68"/>
      <c r="O17" s="68"/>
      <c r="P17" s="68"/>
      <c r="Q17" s="68"/>
      <c r="R17" s="68"/>
      <c r="S17" s="68"/>
      <c r="T17" s="68"/>
      <c r="U17" s="68"/>
      <c r="V17" s="68"/>
      <c r="W17" s="68"/>
      <c r="X17" s="68"/>
      <c r="Y17" s="68"/>
      <c r="Z17" s="68"/>
      <c r="AA17" s="68"/>
      <c r="AB17" s="68"/>
    </row>
    <row r="18">
      <c r="C18" s="7" t="s">
        <v>22</v>
      </c>
      <c r="D18" s="54" t="s">
        <v>126</v>
      </c>
      <c r="E18" s="74">
        <f>IFERROR(__xludf.DUMMYFUNCTION("COUNTA(SPLIT(D18,"" ""))/COUNTA(SPLIT($B$17,"" ""))"),0.11938202247191011)</f>
        <v>0.1193820225</v>
      </c>
      <c r="F18" s="67">
        <v>5.0</v>
      </c>
      <c r="G18" s="67">
        <v>5.0</v>
      </c>
      <c r="H18" s="67">
        <v>5.0</v>
      </c>
      <c r="I18" s="67">
        <v>5.0</v>
      </c>
      <c r="J18" s="67">
        <v>2.0</v>
      </c>
      <c r="K18" s="56"/>
      <c r="L18" s="56"/>
      <c r="M18" s="56"/>
      <c r="N18" s="56"/>
      <c r="O18" s="56"/>
      <c r="P18" s="56"/>
      <c r="Q18" s="56"/>
      <c r="R18" s="56"/>
      <c r="S18" s="56"/>
      <c r="T18" s="56"/>
      <c r="U18" s="56"/>
      <c r="V18" s="56"/>
      <c r="W18" s="56"/>
      <c r="X18" s="56"/>
      <c r="Y18" s="56"/>
      <c r="Z18" s="56"/>
      <c r="AA18" s="56"/>
      <c r="AB18" s="56"/>
    </row>
    <row r="19">
      <c r="C19" s="7" t="s">
        <v>8</v>
      </c>
      <c r="D19" s="54" t="s">
        <v>127</v>
      </c>
      <c r="E19" s="74">
        <f>IFERROR(__xludf.DUMMYFUNCTION("COUNTA(SPLIT(D19,"" ""))/COUNTA(SPLIT($B$17,"" ""))"),0.18398876404494383)</f>
        <v>0.183988764</v>
      </c>
      <c r="F19" s="7">
        <v>3.0</v>
      </c>
      <c r="G19" s="7">
        <v>5.0</v>
      </c>
      <c r="H19" s="7">
        <v>5.0</v>
      </c>
      <c r="I19" s="7">
        <v>5.0</v>
      </c>
      <c r="J19" s="7">
        <v>4.0</v>
      </c>
      <c r="K19" s="56"/>
      <c r="L19" s="56"/>
      <c r="M19" s="56"/>
      <c r="N19" s="56"/>
      <c r="O19" s="56"/>
      <c r="P19" s="56"/>
      <c r="Q19" s="56"/>
      <c r="R19" s="56"/>
      <c r="S19" s="56"/>
      <c r="T19" s="56"/>
      <c r="U19" s="56"/>
      <c r="V19" s="56"/>
      <c r="W19" s="56"/>
      <c r="X19" s="56"/>
      <c r="Y19" s="56"/>
      <c r="Z19" s="56"/>
      <c r="AA19" s="56"/>
      <c r="AB19" s="56"/>
    </row>
    <row r="20">
      <c r="C20" s="7" t="s">
        <v>23</v>
      </c>
      <c r="D20" s="54" t="s">
        <v>128</v>
      </c>
      <c r="E20" s="74">
        <f>IFERROR(__xludf.DUMMYFUNCTION("COUNTA(SPLIT(D20,"" ""))/COUNTA(SPLIT($B$17,"" ""))"),0.37359550561797755)</f>
        <v>0.3735955056</v>
      </c>
      <c r="F20" s="67">
        <v>4.0</v>
      </c>
      <c r="G20" s="67">
        <v>5.0</v>
      </c>
      <c r="H20" s="67">
        <v>1.0</v>
      </c>
      <c r="I20" s="67">
        <v>3.0</v>
      </c>
      <c r="J20" s="67">
        <v>5.0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129</v>
      </c>
      <c r="E22" s="78">
        <f>IFERROR(__xludf.DUMMYFUNCTION("COUNTA(SPLIT(D22,"" ""))/COUNTA(SPLIT($B$22,"" ""))"),0.14908802537668517)</f>
        <v>0.1490880254</v>
      </c>
      <c r="F22" s="67">
        <v>5.0</v>
      </c>
      <c r="G22" s="67">
        <v>5.0</v>
      </c>
      <c r="H22" s="67">
        <v>5.0</v>
      </c>
      <c r="I22" s="67">
        <v>5.0</v>
      </c>
      <c r="J22" s="67">
        <v>4.0</v>
      </c>
      <c r="K22" s="68"/>
      <c r="L22" s="68"/>
      <c r="M22" s="68"/>
      <c r="N22" s="68"/>
      <c r="O22" s="68"/>
      <c r="P22" s="68"/>
      <c r="Q22" s="68"/>
      <c r="R22" s="68"/>
      <c r="S22" s="68"/>
      <c r="T22" s="68"/>
      <c r="U22" s="68"/>
      <c r="V22" s="68"/>
      <c r="W22" s="68"/>
      <c r="X22" s="68"/>
      <c r="Y22" s="68"/>
      <c r="Z22" s="68"/>
      <c r="AA22" s="68"/>
      <c r="AB22" s="68"/>
    </row>
    <row r="23">
      <c r="C23" s="7" t="s">
        <v>22</v>
      </c>
      <c r="D23" s="54" t="s">
        <v>130</v>
      </c>
      <c r="E23" s="74">
        <f>IFERROR(__xludf.DUMMYFUNCTION("COUNTA(SPLIT(D23,"" ""))/COUNTA(SPLIT($B$22,"" ""))"),0.10388580491673276)</f>
        <v>0.1038858049</v>
      </c>
      <c r="F23" s="67">
        <v>5.0</v>
      </c>
      <c r="G23" s="67">
        <v>4.0</v>
      </c>
      <c r="H23" s="67">
        <v>5.0</v>
      </c>
      <c r="I23" s="67">
        <v>5.0</v>
      </c>
      <c r="J23" s="67">
        <v>4.0</v>
      </c>
      <c r="K23" s="56"/>
      <c r="L23" s="56"/>
      <c r="M23" s="56"/>
      <c r="N23" s="56"/>
      <c r="O23" s="56"/>
      <c r="P23" s="56"/>
      <c r="Q23" s="56"/>
      <c r="R23" s="56"/>
      <c r="S23" s="56"/>
      <c r="T23" s="56"/>
      <c r="U23" s="56"/>
      <c r="V23" s="56"/>
      <c r="W23" s="56"/>
      <c r="X23" s="56"/>
      <c r="Y23" s="56"/>
      <c r="Z23" s="56"/>
      <c r="AA23" s="56"/>
      <c r="AB23" s="56"/>
    </row>
    <row r="24">
      <c r="C24" s="7" t="s">
        <v>8</v>
      </c>
      <c r="D24" s="54" t="s">
        <v>131</v>
      </c>
      <c r="E24" s="74">
        <f>IFERROR(__xludf.DUMMYFUNCTION("COUNTA(SPLIT(D24,"" ""))/COUNTA(SPLIT($B$22,"" ""))"),0.1895321173671689)</f>
        <v>0.1895321174</v>
      </c>
      <c r="F24" s="7">
        <v>4.0</v>
      </c>
      <c r="G24" s="7">
        <v>5.0</v>
      </c>
      <c r="H24" s="7">
        <v>5.0</v>
      </c>
      <c r="I24" s="7">
        <v>5.0</v>
      </c>
      <c r="J24" s="7">
        <v>5.0</v>
      </c>
      <c r="K24" s="56"/>
      <c r="L24" s="56"/>
      <c r="M24" s="56"/>
      <c r="N24" s="56"/>
      <c r="O24" s="56"/>
      <c r="P24" s="56"/>
      <c r="Q24" s="56"/>
      <c r="R24" s="56"/>
      <c r="S24" s="56"/>
      <c r="T24" s="56"/>
      <c r="U24" s="56"/>
      <c r="V24" s="56"/>
      <c r="W24" s="56"/>
      <c r="X24" s="56"/>
      <c r="Y24" s="56"/>
      <c r="Z24" s="56"/>
      <c r="AA24" s="56"/>
      <c r="AB24" s="56"/>
    </row>
    <row r="25">
      <c r="C25" s="7" t="s">
        <v>23</v>
      </c>
      <c r="D25" s="54" t="s">
        <v>132</v>
      </c>
      <c r="E25" s="74">
        <f>IFERROR(__xludf.DUMMYFUNCTION("COUNTA(SPLIT(D25,"" ""))/COUNTA(SPLIT($B$22,"" ""))"),0.12291831879460745)</f>
        <v>0.1229183188</v>
      </c>
      <c r="F25" s="67">
        <v>5.0</v>
      </c>
      <c r="G25" s="67">
        <v>5.0</v>
      </c>
      <c r="H25" s="67">
        <v>5.0</v>
      </c>
      <c r="I25" s="67">
        <v>5.0</v>
      </c>
      <c r="J25" s="67">
        <v>4.0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133</v>
      </c>
      <c r="E27" s="83">
        <f>IFERROR(__xludf.DUMMYFUNCTION("COUNTA(SPLIT(D27,"" ""))/COUNTA(SPLIT($B$27,"" ""))"),0.21598002496878901)</f>
        <v>0.215980025</v>
      </c>
      <c r="F27" s="7">
        <v>5.0</v>
      </c>
      <c r="G27" s="7">
        <v>5.0</v>
      </c>
      <c r="H27" s="7">
        <v>5.0</v>
      </c>
      <c r="I27" s="7">
        <v>5.0</v>
      </c>
      <c r="J27" s="7">
        <v>3.0</v>
      </c>
      <c r="K27" s="56"/>
      <c r="L27" s="56"/>
      <c r="M27" s="56"/>
      <c r="N27" s="56"/>
      <c r="O27" s="56"/>
      <c r="P27" s="56"/>
      <c r="Q27" s="56"/>
      <c r="R27" s="56"/>
      <c r="S27" s="56"/>
      <c r="T27" s="56"/>
      <c r="U27" s="56"/>
      <c r="V27" s="56"/>
      <c r="W27" s="56"/>
      <c r="X27" s="56"/>
      <c r="Y27" s="56"/>
      <c r="Z27" s="56"/>
      <c r="AA27" s="56"/>
      <c r="AB27" s="56"/>
    </row>
    <row r="28">
      <c r="C28" s="85" t="s">
        <v>22</v>
      </c>
      <c r="D28" s="57" t="s">
        <v>134</v>
      </c>
      <c r="E28" s="86">
        <f>IFERROR(__xludf.DUMMYFUNCTION("COUNTA(SPLIT(D28,"" ""))/COUNTA(SPLIT($B$27,"" ""))"),0.16978776529338327)</f>
        <v>0.1697877653</v>
      </c>
      <c r="F28" s="7">
        <v>5.0</v>
      </c>
      <c r="G28" s="7">
        <v>5.0</v>
      </c>
      <c r="H28" s="7">
        <v>5.0</v>
      </c>
      <c r="I28" s="7">
        <v>5.0</v>
      </c>
      <c r="J28" s="7">
        <v>3.0</v>
      </c>
      <c r="K28" s="56"/>
      <c r="L28" s="56"/>
      <c r="M28" s="56"/>
      <c r="N28" s="56"/>
      <c r="O28" s="56"/>
      <c r="P28" s="56"/>
      <c r="Q28" s="56"/>
      <c r="R28" s="56"/>
      <c r="S28" s="56"/>
      <c r="T28" s="56"/>
      <c r="U28" s="56"/>
      <c r="V28" s="56"/>
      <c r="W28" s="56"/>
      <c r="X28" s="56"/>
      <c r="Y28" s="56"/>
      <c r="Z28" s="56"/>
      <c r="AA28" s="56"/>
      <c r="AB28" s="56"/>
    </row>
    <row r="29">
      <c r="C29" s="85" t="s">
        <v>8</v>
      </c>
      <c r="D29" s="57" t="s">
        <v>135</v>
      </c>
      <c r="E29" s="87">
        <f>IFERROR(__xludf.DUMMYFUNCTION("COUNTA(SPLIT(D29,"" ""))/COUNTA(SPLIT($B$27,"" ""))"),0.26092384519350814)</f>
        <v>0.2609238452</v>
      </c>
      <c r="F29" s="7">
        <v>4.0</v>
      </c>
      <c r="G29" s="7">
        <v>5.0</v>
      </c>
      <c r="H29" s="7">
        <v>5.0</v>
      </c>
      <c r="I29" s="7">
        <v>5.0</v>
      </c>
      <c r="J29" s="7">
        <v>5.0</v>
      </c>
      <c r="K29" s="56"/>
      <c r="L29" s="56"/>
      <c r="M29" s="56"/>
      <c r="N29" s="56"/>
      <c r="O29" s="56"/>
      <c r="P29" s="56"/>
      <c r="Q29" s="56"/>
      <c r="R29" s="56"/>
      <c r="S29" s="56"/>
      <c r="T29" s="56"/>
      <c r="U29" s="56"/>
      <c r="V29" s="56"/>
      <c r="W29" s="56"/>
      <c r="X29" s="56"/>
      <c r="Y29" s="56"/>
      <c r="Z29" s="56"/>
      <c r="AA29" s="56"/>
      <c r="AB29" s="56"/>
    </row>
    <row r="30">
      <c r="C30" s="85" t="s">
        <v>23</v>
      </c>
      <c r="D30" s="57" t="s">
        <v>136</v>
      </c>
      <c r="E30" s="88">
        <f>IFERROR(__xludf.DUMMYFUNCTION("COUNTA(SPLIT(D30,"" ""))/COUNTA(SPLIT($B$27,"" ""))"),0.09737827715355805)</f>
        <v>0.09737827715</v>
      </c>
      <c r="F30" s="7">
        <v>5.0</v>
      </c>
      <c r="G30" s="7">
        <v>5.0</v>
      </c>
      <c r="H30" s="7">
        <v>5.0</v>
      </c>
      <c r="I30" s="7">
        <v>4.0</v>
      </c>
      <c r="J30" s="7">
        <v>3.0</v>
      </c>
      <c r="K30" s="56"/>
      <c r="L30" s="56"/>
      <c r="M30" s="56"/>
      <c r="N30" s="56"/>
      <c r="O30" s="56"/>
      <c r="P30" s="56"/>
      <c r="Q30" s="56"/>
      <c r="R30" s="56"/>
      <c r="S30" s="56"/>
      <c r="T30" s="56"/>
      <c r="U30" s="56"/>
      <c r="V30" s="56"/>
      <c r="W30" s="56"/>
      <c r="X30" s="56"/>
      <c r="Y30" s="56"/>
      <c r="Z30" s="56"/>
      <c r="AA30" s="56"/>
      <c r="AB30" s="56"/>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137</v>
      </c>
      <c r="E32" s="83">
        <f>IFERROR(__xludf.DUMMYFUNCTION("COUNTA(SPLIT(D32,"" ""))/COUNTA(SPLIT($B$32,"" ""))"),0.15680473372781065)</f>
        <v>0.1568047337</v>
      </c>
      <c r="F32" s="7">
        <v>4.0</v>
      </c>
      <c r="G32" s="7">
        <v>5.0</v>
      </c>
      <c r="H32" s="7">
        <v>5.0</v>
      </c>
      <c r="I32" s="7">
        <v>5.0</v>
      </c>
      <c r="J32" s="7">
        <v>4.0</v>
      </c>
      <c r="K32" s="56"/>
      <c r="L32" s="56"/>
      <c r="M32" s="56"/>
      <c r="N32" s="56"/>
      <c r="O32" s="56"/>
      <c r="P32" s="56"/>
      <c r="Q32" s="56"/>
      <c r="R32" s="56"/>
      <c r="S32" s="56"/>
      <c r="T32" s="56"/>
      <c r="U32" s="56"/>
      <c r="V32" s="56"/>
      <c r="W32" s="56"/>
      <c r="X32" s="56"/>
      <c r="Y32" s="56"/>
      <c r="Z32" s="56"/>
      <c r="AA32" s="56"/>
      <c r="AB32" s="56"/>
    </row>
    <row r="33">
      <c r="C33" s="85" t="s">
        <v>22</v>
      </c>
      <c r="D33" s="57" t="s">
        <v>138</v>
      </c>
      <c r="E33" s="86">
        <f>IFERROR(__xludf.DUMMYFUNCTION("COUNTA(SPLIT(D33,"" ""))/COUNTA(SPLIT($B$32,"" ""))"),0.026627218934911243)</f>
        <v>0.02662721893</v>
      </c>
      <c r="F33" s="7">
        <v>4.0</v>
      </c>
      <c r="G33" s="7">
        <v>5.0</v>
      </c>
      <c r="H33" s="7">
        <v>5.0</v>
      </c>
      <c r="I33" s="7">
        <v>5.0</v>
      </c>
      <c r="J33" s="7">
        <v>2.0</v>
      </c>
      <c r="K33" s="56"/>
      <c r="L33" s="56"/>
      <c r="M33" s="56"/>
      <c r="N33" s="56"/>
      <c r="O33" s="56"/>
      <c r="P33" s="56"/>
      <c r="Q33" s="56"/>
      <c r="R33" s="56"/>
      <c r="S33" s="56"/>
      <c r="T33" s="56"/>
      <c r="U33" s="56"/>
      <c r="V33" s="56"/>
      <c r="W33" s="56"/>
      <c r="X33" s="56"/>
      <c r="Y33" s="56"/>
      <c r="Z33" s="56"/>
      <c r="AA33" s="56"/>
      <c r="AB33" s="56"/>
    </row>
    <row r="34">
      <c r="C34" s="85" t="s">
        <v>8</v>
      </c>
      <c r="D34" s="57" t="s">
        <v>139</v>
      </c>
      <c r="E34" s="87">
        <f>IFERROR(__xludf.DUMMYFUNCTION("COUNTA(SPLIT(D34,"" ""))/COUNTA(SPLIT($B$32,"" ""))"),0.13708086785009863)</f>
        <v>0.1370808679</v>
      </c>
      <c r="F34" s="7">
        <v>3.0</v>
      </c>
      <c r="G34" s="7">
        <v>5.0</v>
      </c>
      <c r="H34" s="7">
        <v>5.0</v>
      </c>
      <c r="I34" s="7">
        <v>5.0</v>
      </c>
      <c r="J34" s="7">
        <v>4.0</v>
      </c>
      <c r="K34" s="56"/>
      <c r="L34" s="56"/>
      <c r="M34" s="56"/>
      <c r="N34" s="56"/>
      <c r="O34" s="56"/>
      <c r="P34" s="56"/>
      <c r="Q34" s="56"/>
      <c r="R34" s="56"/>
      <c r="S34" s="56"/>
      <c r="T34" s="56"/>
      <c r="U34" s="56"/>
      <c r="V34" s="56"/>
      <c r="W34" s="56"/>
      <c r="X34" s="56"/>
      <c r="Y34" s="56"/>
      <c r="Z34" s="56"/>
      <c r="AA34" s="56"/>
      <c r="AB34" s="56"/>
    </row>
    <row r="35">
      <c r="C35" s="85" t="s">
        <v>23</v>
      </c>
      <c r="D35" s="57" t="s">
        <v>140</v>
      </c>
      <c r="E35" s="88">
        <f>IFERROR(__xludf.DUMMYFUNCTION("COUNTA(SPLIT(D35,"" ""))/COUNTA(SPLIT($B$32,"" ""))"),0.131163708086785)</f>
        <v>0.1311637081</v>
      </c>
      <c r="F35" s="7">
        <v>5.0</v>
      </c>
      <c r="G35" s="7">
        <v>5.0</v>
      </c>
      <c r="H35" s="7">
        <v>5.0</v>
      </c>
      <c r="I35" s="7">
        <v>5.0</v>
      </c>
      <c r="J35" s="7">
        <v>4.0</v>
      </c>
      <c r="K35" s="56"/>
      <c r="L35" s="56"/>
      <c r="M35" s="56"/>
      <c r="N35" s="56"/>
      <c r="O35" s="56"/>
      <c r="P35" s="56"/>
      <c r="Q35" s="56"/>
      <c r="R35" s="56"/>
      <c r="S35" s="56"/>
      <c r="T35" s="56"/>
      <c r="U35" s="56"/>
      <c r="V35" s="56"/>
      <c r="W35" s="56"/>
      <c r="X35" s="56"/>
      <c r="Y35" s="56"/>
      <c r="Z35" s="56"/>
      <c r="AA35" s="56"/>
      <c r="AB35" s="56"/>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0" t="s">
        <v>62</v>
      </c>
      <c r="C37" s="81" t="s">
        <v>21</v>
      </c>
      <c r="D37" s="82" t="s">
        <v>141</v>
      </c>
      <c r="E37" s="83">
        <f>IFERROR(__xludf.DUMMYFUNCTION("COUNTA(SPLIT(D37,"" ""))/COUNTA(SPLIT($B$37,"" ""))"),0.12709030100334448)</f>
        <v>0.127090301</v>
      </c>
      <c r="F37" s="7">
        <v>5.0</v>
      </c>
      <c r="G37" s="7">
        <v>5.0</v>
      </c>
      <c r="H37" s="7">
        <v>5.0</v>
      </c>
      <c r="I37" s="7">
        <v>5.0</v>
      </c>
      <c r="J37" s="7">
        <v>4.0</v>
      </c>
      <c r="K37" s="56"/>
      <c r="L37" s="56"/>
      <c r="M37" s="56"/>
      <c r="N37" s="56"/>
      <c r="O37" s="56"/>
      <c r="P37" s="56"/>
      <c r="Q37" s="56"/>
      <c r="R37" s="56"/>
      <c r="S37" s="56"/>
      <c r="T37" s="56"/>
      <c r="U37" s="56"/>
      <c r="V37" s="56"/>
      <c r="W37" s="56"/>
      <c r="X37" s="56"/>
      <c r="Y37" s="56"/>
      <c r="Z37" s="56"/>
      <c r="AA37" s="56"/>
      <c r="AB37" s="56"/>
    </row>
    <row r="38">
      <c r="C38" s="85" t="s">
        <v>22</v>
      </c>
      <c r="D38" s="57" t="s">
        <v>142</v>
      </c>
      <c r="E38" s="86">
        <f>IFERROR(__xludf.DUMMYFUNCTION("COUNTA(SPLIT(D38,"" ""))/COUNTA(SPLIT($B$37,"" ""))"),0.08946488294314381)</f>
        <v>0.08946488294</v>
      </c>
      <c r="F38" s="7">
        <v>5.0</v>
      </c>
      <c r="G38" s="7">
        <v>5.0</v>
      </c>
      <c r="H38" s="7">
        <v>5.0</v>
      </c>
      <c r="I38" s="7">
        <v>5.0</v>
      </c>
      <c r="J38" s="7">
        <v>3.0</v>
      </c>
      <c r="K38" s="56"/>
      <c r="L38" s="56"/>
      <c r="M38" s="56"/>
      <c r="N38" s="56"/>
      <c r="O38" s="56"/>
      <c r="P38" s="56"/>
      <c r="Q38" s="56"/>
      <c r="R38" s="56"/>
      <c r="S38" s="56"/>
      <c r="T38" s="56"/>
      <c r="U38" s="56"/>
      <c r="V38" s="56"/>
      <c r="W38" s="56"/>
      <c r="X38" s="56"/>
      <c r="Y38" s="56"/>
      <c r="Z38" s="56"/>
      <c r="AA38" s="56"/>
      <c r="AB38" s="56"/>
    </row>
    <row r="39">
      <c r="C39" s="85" t="s">
        <v>8</v>
      </c>
      <c r="D39" s="57" t="s">
        <v>143</v>
      </c>
      <c r="E39" s="87">
        <f>IFERROR(__xludf.DUMMYFUNCTION("COUNTA(SPLIT(D39,"" ""))/COUNTA(SPLIT($B$37,"" ""))"),0.14381270903010032)</f>
        <v>0.143812709</v>
      </c>
      <c r="F39" s="7">
        <v>4.0</v>
      </c>
      <c r="G39" s="7">
        <v>5.0</v>
      </c>
      <c r="H39" s="7">
        <v>5.0</v>
      </c>
      <c r="I39" s="7">
        <v>5.0</v>
      </c>
      <c r="J39" s="7">
        <v>5.0</v>
      </c>
      <c r="K39" s="56"/>
      <c r="L39" s="56"/>
      <c r="M39" s="56"/>
      <c r="N39" s="56"/>
      <c r="O39" s="56"/>
      <c r="P39" s="56"/>
      <c r="Q39" s="56"/>
      <c r="R39" s="56"/>
      <c r="S39" s="56"/>
      <c r="T39" s="56"/>
      <c r="U39" s="56"/>
      <c r="V39" s="56"/>
      <c r="W39" s="56"/>
      <c r="X39" s="56"/>
      <c r="Y39" s="56"/>
      <c r="Z39" s="56"/>
      <c r="AA39" s="56"/>
      <c r="AB39" s="56"/>
    </row>
    <row r="40">
      <c r="C40" s="85" t="s">
        <v>23</v>
      </c>
      <c r="D40" s="57" t="s">
        <v>144</v>
      </c>
      <c r="E40" s="88">
        <f>IFERROR(__xludf.DUMMYFUNCTION("COUNTA(SPLIT(D40,"" ""))/COUNTA(SPLIT($B$37,"" ""))"),0.10618729096989966)</f>
        <v>0.106187291</v>
      </c>
      <c r="F40" s="7">
        <v>5.0</v>
      </c>
      <c r="G40" s="7">
        <v>5.0</v>
      </c>
      <c r="H40" s="7">
        <v>5.0</v>
      </c>
      <c r="I40" s="7">
        <v>4.0</v>
      </c>
      <c r="J40" s="7">
        <v>3.0</v>
      </c>
      <c r="K40" s="56"/>
      <c r="L40" s="56"/>
      <c r="M40" s="56"/>
      <c r="N40" s="56"/>
      <c r="O40" s="56"/>
      <c r="P40" s="56"/>
      <c r="Q40" s="56"/>
      <c r="R40" s="56"/>
      <c r="S40" s="56"/>
      <c r="T40" s="56"/>
      <c r="U40" s="56"/>
      <c r="V40" s="56"/>
      <c r="W40" s="56"/>
      <c r="X40" s="56"/>
      <c r="Y40" s="56"/>
      <c r="Z40" s="56"/>
      <c r="AA40" s="56"/>
      <c r="AB40" s="56"/>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145</v>
      </c>
      <c r="E42" s="83">
        <f>IFERROR(__xludf.DUMMYFUNCTION("COUNTA(SPLIT(D42,"" ""))/COUNTA(SPLIT($B$42,"" ""))"),0.244640605296343)</f>
        <v>0.2446406053</v>
      </c>
      <c r="F42" s="7">
        <v>5.0</v>
      </c>
      <c r="G42" s="7">
        <v>5.0</v>
      </c>
      <c r="H42" s="7">
        <v>5.0</v>
      </c>
      <c r="I42" s="7">
        <v>5.0</v>
      </c>
      <c r="J42" s="7">
        <v>5.0</v>
      </c>
      <c r="K42" s="56"/>
      <c r="L42" s="56"/>
      <c r="M42" s="56"/>
      <c r="N42" s="56"/>
      <c r="O42" s="56"/>
      <c r="P42" s="56"/>
      <c r="Q42" s="56"/>
      <c r="R42" s="56"/>
      <c r="S42" s="56"/>
      <c r="T42" s="56"/>
      <c r="U42" s="56"/>
      <c r="V42" s="56"/>
      <c r="W42" s="56"/>
      <c r="X42" s="56"/>
      <c r="Y42" s="56"/>
      <c r="Z42" s="56"/>
      <c r="AA42" s="56"/>
      <c r="AB42" s="56"/>
    </row>
    <row r="43">
      <c r="C43" s="85" t="s">
        <v>22</v>
      </c>
      <c r="D43" s="57" t="s">
        <v>146</v>
      </c>
      <c r="E43" s="86">
        <f>IFERROR(__xludf.DUMMYFUNCTION("COUNTA(SPLIT(D43,"" ""))/COUNTA(SPLIT($B$42,"" ""))"),0.11853720050441362)</f>
        <v>0.1185372005</v>
      </c>
      <c r="F43" s="7">
        <v>5.0</v>
      </c>
      <c r="G43" s="7">
        <v>4.0</v>
      </c>
      <c r="H43" s="7">
        <v>5.0</v>
      </c>
      <c r="I43" s="7">
        <v>5.0</v>
      </c>
      <c r="J43" s="7">
        <v>4.0</v>
      </c>
      <c r="K43" s="56"/>
      <c r="L43" s="56"/>
      <c r="M43" s="56"/>
      <c r="N43" s="56"/>
      <c r="O43" s="56"/>
      <c r="P43" s="56"/>
      <c r="Q43" s="56"/>
      <c r="R43" s="56"/>
      <c r="S43" s="56"/>
      <c r="T43" s="56"/>
      <c r="U43" s="56"/>
      <c r="V43" s="56"/>
      <c r="W43" s="56"/>
      <c r="X43" s="56"/>
      <c r="Y43" s="56"/>
      <c r="Z43" s="56"/>
      <c r="AA43" s="56"/>
      <c r="AB43" s="56"/>
    </row>
    <row r="44">
      <c r="C44" s="85" t="s">
        <v>8</v>
      </c>
      <c r="D44" s="57" t="s">
        <v>147</v>
      </c>
      <c r="E44" s="87">
        <f>IFERROR(__xludf.DUMMYFUNCTION("COUNTA(SPLIT(D44,"" ""))/COUNTA(SPLIT($B$42,"" ""))"),0.2421185372005044)</f>
        <v>0.2421185372</v>
      </c>
      <c r="F44" s="7">
        <v>3.0</v>
      </c>
      <c r="G44" s="7">
        <v>5.0</v>
      </c>
      <c r="H44" s="7">
        <v>5.0</v>
      </c>
      <c r="I44" s="7">
        <v>5.0</v>
      </c>
      <c r="J44" s="7">
        <v>5.0</v>
      </c>
      <c r="K44" s="56"/>
      <c r="L44" s="56"/>
      <c r="M44" s="56"/>
      <c r="N44" s="56"/>
      <c r="O44" s="56"/>
      <c r="P44" s="56"/>
      <c r="Q44" s="56"/>
      <c r="R44" s="56"/>
      <c r="S44" s="56"/>
      <c r="T44" s="56"/>
      <c r="U44" s="56"/>
      <c r="V44" s="56"/>
      <c r="W44" s="56"/>
      <c r="X44" s="56"/>
      <c r="Y44" s="56"/>
      <c r="Z44" s="56"/>
      <c r="AA44" s="56"/>
      <c r="AB44" s="56"/>
    </row>
    <row r="45">
      <c r="C45" s="85" t="s">
        <v>23</v>
      </c>
      <c r="D45" s="57" t="s">
        <v>148</v>
      </c>
      <c r="E45" s="88">
        <f>IFERROR(__xludf.DUMMYFUNCTION("COUNTA(SPLIT(D45,"" ""))/COUNTA(SPLIT($B$42,"" ""))"),0.23833543505674654)</f>
        <v>0.2383354351</v>
      </c>
      <c r="F45" s="7">
        <v>5.0</v>
      </c>
      <c r="G45" s="7">
        <v>5.0</v>
      </c>
      <c r="H45" s="7">
        <v>5.0</v>
      </c>
      <c r="I45" s="7">
        <v>5.0</v>
      </c>
      <c r="J45" s="7">
        <v>5.0</v>
      </c>
      <c r="K45" s="56"/>
      <c r="L45" s="56"/>
      <c r="M45" s="56"/>
      <c r="N45" s="56"/>
      <c r="O45" s="56"/>
      <c r="P45" s="56"/>
      <c r="Q45" s="56"/>
      <c r="R45" s="56"/>
      <c r="S45" s="56"/>
      <c r="T45" s="56"/>
      <c r="U45" s="56"/>
      <c r="V45" s="56"/>
      <c r="W45" s="56"/>
      <c r="X45" s="56"/>
      <c r="Y45" s="56"/>
      <c r="Z45" s="56"/>
      <c r="AA45" s="56"/>
      <c r="AB45" s="56"/>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149</v>
      </c>
      <c r="E47" s="83">
        <f>IFERROR(__xludf.DUMMYFUNCTION("COUNTA(SPLIT(D47,"" ""))/COUNTA(SPLIT($B$47,"" ""))"),0.12152777777777778)</f>
        <v>0.1215277778</v>
      </c>
      <c r="F47" s="7">
        <v>5.0</v>
      </c>
      <c r="G47" s="7">
        <v>5.0</v>
      </c>
      <c r="H47" s="7">
        <v>5.0</v>
      </c>
      <c r="I47" s="7">
        <v>4.0</v>
      </c>
      <c r="J47" s="7">
        <v>3.0</v>
      </c>
      <c r="K47" s="56"/>
      <c r="L47" s="56"/>
      <c r="M47" s="56"/>
      <c r="N47" s="56"/>
      <c r="O47" s="56"/>
      <c r="P47" s="56"/>
      <c r="Q47" s="56"/>
      <c r="R47" s="56"/>
      <c r="S47" s="56"/>
      <c r="T47" s="56"/>
      <c r="U47" s="56"/>
      <c r="V47" s="56"/>
      <c r="W47" s="56"/>
      <c r="X47" s="56"/>
      <c r="Y47" s="56"/>
      <c r="Z47" s="56"/>
      <c r="AA47" s="56"/>
      <c r="AB47" s="56"/>
    </row>
    <row r="48">
      <c r="C48" s="85" t="s">
        <v>22</v>
      </c>
      <c r="D48" s="57" t="s">
        <v>150</v>
      </c>
      <c r="E48" s="86">
        <f>IFERROR(__xludf.DUMMYFUNCTION("COUNTA(SPLIT(D48,"" ""))/COUNTA(SPLIT($B$47,"" ""))"),0.08854166666666667)</f>
        <v>0.08854166667</v>
      </c>
      <c r="F48" s="7">
        <v>5.0</v>
      </c>
      <c r="G48" s="7">
        <v>5.0</v>
      </c>
      <c r="H48" s="7">
        <v>5.0</v>
      </c>
      <c r="I48" s="7">
        <v>5.0</v>
      </c>
      <c r="J48" s="7">
        <v>4.0</v>
      </c>
      <c r="K48" s="56"/>
      <c r="L48" s="56"/>
      <c r="M48" s="56"/>
      <c r="N48" s="56"/>
      <c r="O48" s="56"/>
      <c r="P48" s="56"/>
      <c r="Q48" s="56"/>
      <c r="R48" s="56"/>
      <c r="S48" s="56"/>
      <c r="T48" s="56"/>
      <c r="U48" s="56"/>
      <c r="V48" s="56"/>
      <c r="W48" s="56"/>
      <c r="X48" s="56"/>
      <c r="Y48" s="56"/>
      <c r="Z48" s="56"/>
      <c r="AA48" s="56"/>
      <c r="AB48" s="56"/>
    </row>
    <row r="49">
      <c r="C49" s="85" t="s">
        <v>8</v>
      </c>
      <c r="D49" s="57" t="s">
        <v>151</v>
      </c>
      <c r="E49" s="87">
        <f>IFERROR(__xludf.DUMMYFUNCTION("COUNTA(SPLIT(D49,"" ""))/COUNTA(SPLIT($B$47,"" ""))"),0.2265625)</f>
        <v>0.2265625</v>
      </c>
      <c r="F49" s="7">
        <v>4.0</v>
      </c>
      <c r="G49" s="7">
        <v>5.0</v>
      </c>
      <c r="H49" s="7">
        <v>5.0</v>
      </c>
      <c r="I49" s="7">
        <v>5.0</v>
      </c>
      <c r="J49" s="7">
        <v>5.0</v>
      </c>
      <c r="K49" s="56"/>
      <c r="L49" s="56"/>
      <c r="M49" s="56"/>
      <c r="N49" s="56"/>
      <c r="O49" s="56"/>
      <c r="P49" s="56"/>
      <c r="Q49" s="56"/>
      <c r="R49" s="56"/>
      <c r="S49" s="56"/>
      <c r="T49" s="56"/>
      <c r="U49" s="56"/>
      <c r="V49" s="56"/>
      <c r="W49" s="56"/>
      <c r="X49" s="56"/>
      <c r="Y49" s="56"/>
      <c r="Z49" s="56"/>
      <c r="AA49" s="56"/>
      <c r="AB49" s="56"/>
    </row>
    <row r="50">
      <c r="C50" s="85" t="s">
        <v>23</v>
      </c>
      <c r="D50" s="57" t="s">
        <v>152</v>
      </c>
      <c r="E50" s="88">
        <f>IFERROR(__xludf.DUMMYFUNCTION("COUNTA(SPLIT(D50,"" ""))/COUNTA(SPLIT($B$47,"" ""))"),0.1545138888888889)</f>
        <v>0.1545138889</v>
      </c>
      <c r="F50" s="7">
        <v>5.0</v>
      </c>
      <c r="G50" s="7">
        <v>5.0</v>
      </c>
      <c r="H50" s="7">
        <v>5.0</v>
      </c>
      <c r="I50" s="7">
        <v>4.0</v>
      </c>
      <c r="J50" s="7">
        <v>5.0</v>
      </c>
      <c r="K50" s="56"/>
      <c r="L50" s="56"/>
      <c r="M50" s="56"/>
      <c r="N50" s="56"/>
      <c r="O50" s="56"/>
      <c r="P50" s="56"/>
      <c r="Q50" s="56"/>
      <c r="R50" s="56"/>
      <c r="S50" s="56"/>
      <c r="T50" s="56"/>
      <c r="U50" s="56"/>
      <c r="V50" s="56"/>
      <c r="W50" s="56"/>
      <c r="X50" s="56"/>
      <c r="Y50" s="56"/>
      <c r="Z50" s="56"/>
      <c r="AA50" s="56"/>
      <c r="AB50" s="56"/>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153</v>
      </c>
      <c r="E2" s="74">
        <f>IFERROR(__xludf.DUMMYFUNCTION("COUNTA(SPLIT(D2,"" ""))/COUNTA(SPLIT($B$2,"" ""))"),0.2857142857142857)</f>
        <v>0.2857142857</v>
      </c>
      <c r="F2" s="7">
        <v>5.0</v>
      </c>
      <c r="G2" s="7">
        <v>5.0</v>
      </c>
      <c r="H2" s="7">
        <v>5.0</v>
      </c>
      <c r="I2" s="7">
        <v>5.0</v>
      </c>
      <c r="J2" s="7">
        <v>4.0</v>
      </c>
      <c r="K2" s="56"/>
      <c r="L2" s="56"/>
      <c r="M2" s="56"/>
      <c r="N2" s="56"/>
      <c r="O2" s="56"/>
      <c r="P2" s="56"/>
      <c r="Q2" s="56"/>
      <c r="R2" s="56"/>
      <c r="S2" s="56"/>
      <c r="T2" s="56"/>
      <c r="U2" s="56"/>
      <c r="V2" s="56"/>
      <c r="W2" s="56"/>
      <c r="X2" s="56"/>
      <c r="Y2" s="56"/>
      <c r="Z2" s="56"/>
      <c r="AA2" s="56"/>
      <c r="AB2" s="56"/>
    </row>
    <row r="3">
      <c r="C3" s="7" t="s">
        <v>22</v>
      </c>
      <c r="D3" s="54" t="s">
        <v>154</v>
      </c>
      <c r="E3" s="74">
        <f>IFERROR(__xludf.DUMMYFUNCTION("COUNTA(SPLIT(D3,"" ""))/COUNTA(SPLIT($B$2,"" ""))"),0.23299319727891157)</f>
        <v>0.2329931973</v>
      </c>
      <c r="F3" s="67">
        <v>5.0</v>
      </c>
      <c r="G3" s="67">
        <v>5.0</v>
      </c>
      <c r="H3" s="67">
        <v>5.0</v>
      </c>
      <c r="I3" s="67">
        <v>5.0</v>
      </c>
      <c r="J3" s="67">
        <v>4.0</v>
      </c>
      <c r="K3" s="56"/>
      <c r="L3" s="56"/>
      <c r="M3" s="56"/>
      <c r="N3" s="56"/>
      <c r="O3" s="56"/>
      <c r="P3" s="56"/>
      <c r="Q3" s="56"/>
      <c r="R3" s="56"/>
      <c r="S3" s="56"/>
      <c r="T3" s="56"/>
      <c r="U3" s="56"/>
      <c r="V3" s="56"/>
      <c r="W3" s="56"/>
      <c r="X3" s="56"/>
      <c r="Y3" s="56"/>
      <c r="Z3" s="56"/>
      <c r="AA3" s="56"/>
      <c r="AB3" s="56"/>
    </row>
    <row r="4">
      <c r="C4" s="7" t="s">
        <v>8</v>
      </c>
      <c r="D4" s="54" t="s">
        <v>155</v>
      </c>
      <c r="E4" s="74">
        <f>IFERROR(__xludf.DUMMYFUNCTION("COUNTA(SPLIT(D4,"" ""))/COUNTA(SPLIT($B$2,"" ""))"),0.3401360544217687)</f>
        <v>0.3401360544</v>
      </c>
      <c r="F4" s="7">
        <v>3.0</v>
      </c>
      <c r="G4" s="7">
        <v>4.0</v>
      </c>
      <c r="H4" s="7">
        <v>5.0</v>
      </c>
      <c r="I4" s="7">
        <v>4.0</v>
      </c>
      <c r="J4" s="7">
        <v>5.0</v>
      </c>
      <c r="K4" s="56"/>
      <c r="L4" s="56"/>
      <c r="M4" s="56"/>
      <c r="N4" s="56"/>
      <c r="O4" s="56"/>
      <c r="P4" s="56"/>
      <c r="Q4" s="56"/>
      <c r="R4" s="56"/>
      <c r="S4" s="56"/>
      <c r="T4" s="56"/>
      <c r="U4" s="56"/>
      <c r="V4" s="56"/>
      <c r="W4" s="56"/>
      <c r="X4" s="56"/>
      <c r="Y4" s="56"/>
      <c r="Z4" s="56"/>
      <c r="AA4" s="56"/>
      <c r="AB4" s="56"/>
    </row>
    <row r="5">
      <c r="C5" s="7" t="s">
        <v>23</v>
      </c>
      <c r="D5" s="54" t="s">
        <v>156</v>
      </c>
      <c r="E5" s="74">
        <f>IFERROR(__xludf.DUMMYFUNCTION("COUNTA(SPLIT(D5,"" ""))/COUNTA(SPLIT($B$2,"" ""))"),0.18877551020408162)</f>
        <v>0.1887755102</v>
      </c>
      <c r="F5" s="67">
        <v>4.0</v>
      </c>
      <c r="G5" s="67">
        <v>5.0</v>
      </c>
      <c r="H5" s="67">
        <v>5.0</v>
      </c>
      <c r="I5" s="67">
        <v>5.0</v>
      </c>
      <c r="J5" s="67">
        <v>4.0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157</v>
      </c>
      <c r="E7" s="78">
        <f>IFERROR(__xludf.DUMMYFUNCTION("COUNTA(SPLIT(D7,"" ""))/COUNTA(SPLIT($B$7,"" ""))"),0.2452054794520548)</f>
        <v>0.2452054795</v>
      </c>
      <c r="F7" s="67">
        <v>5.0</v>
      </c>
      <c r="G7" s="67">
        <v>5.0</v>
      </c>
      <c r="H7" s="67">
        <v>5.0</v>
      </c>
      <c r="I7" s="67">
        <v>5.0</v>
      </c>
      <c r="J7" s="67">
        <v>5.0</v>
      </c>
      <c r="K7" s="68"/>
      <c r="L7" s="68"/>
      <c r="M7" s="68"/>
      <c r="N7" s="68"/>
      <c r="O7" s="68"/>
      <c r="P7" s="68"/>
      <c r="Q7" s="68"/>
      <c r="R7" s="68"/>
      <c r="S7" s="68"/>
      <c r="T7" s="68"/>
      <c r="U7" s="68"/>
      <c r="V7" s="68"/>
      <c r="W7" s="68"/>
      <c r="X7" s="68"/>
      <c r="Y7" s="68"/>
      <c r="Z7" s="68"/>
      <c r="AA7" s="68"/>
      <c r="AB7" s="68"/>
    </row>
    <row r="8">
      <c r="C8" s="7" t="s">
        <v>22</v>
      </c>
      <c r="D8" s="54" t="s">
        <v>158</v>
      </c>
      <c r="E8" s="74">
        <f>IFERROR(__xludf.DUMMYFUNCTION("COUNTA(SPLIT(D8,"" ""))/COUNTA(SPLIT($B$7,"" ""))"),0.22054794520547946)</f>
        <v>0.2205479452</v>
      </c>
      <c r="F8" s="7">
        <v>5.0</v>
      </c>
      <c r="G8" s="7">
        <v>5.0</v>
      </c>
      <c r="H8" s="7">
        <v>5.0</v>
      </c>
      <c r="I8" s="7">
        <v>4.0</v>
      </c>
      <c r="J8" s="7">
        <v>5.0</v>
      </c>
      <c r="K8" s="56"/>
      <c r="L8" s="56"/>
      <c r="M8" s="56"/>
      <c r="N8" s="56"/>
      <c r="O8" s="56"/>
      <c r="P8" s="56"/>
      <c r="Q8" s="56"/>
      <c r="R8" s="56"/>
      <c r="S8" s="56"/>
      <c r="T8" s="56"/>
      <c r="U8" s="56"/>
      <c r="V8" s="56"/>
      <c r="W8" s="56"/>
      <c r="X8" s="56"/>
      <c r="Y8" s="56"/>
      <c r="Z8" s="56"/>
      <c r="AA8" s="56"/>
      <c r="AB8" s="56"/>
    </row>
    <row r="9">
      <c r="C9" s="7" t="s">
        <v>8</v>
      </c>
      <c r="D9" s="54" t="s">
        <v>159</v>
      </c>
      <c r="E9" s="74">
        <f>IFERROR(__xludf.DUMMYFUNCTION("COUNTA(SPLIT(D9,"" ""))/COUNTA(SPLIT($B$7,"" ""))"),0.2328767123287671)</f>
        <v>0.2328767123</v>
      </c>
      <c r="F9" s="7">
        <v>4.0</v>
      </c>
      <c r="G9" s="7">
        <v>5.0</v>
      </c>
      <c r="H9" s="7">
        <v>5.0</v>
      </c>
      <c r="I9" s="7">
        <v>5.0</v>
      </c>
      <c r="J9" s="7">
        <v>5.0</v>
      </c>
      <c r="K9" s="56"/>
      <c r="L9" s="56"/>
      <c r="M9" s="56"/>
      <c r="N9" s="56"/>
      <c r="O9" s="56"/>
      <c r="P9" s="56"/>
      <c r="Q9" s="56"/>
      <c r="R9" s="56"/>
      <c r="S9" s="56"/>
      <c r="T9" s="56"/>
      <c r="U9" s="56"/>
      <c r="V9" s="56"/>
      <c r="W9" s="56"/>
      <c r="X9" s="56"/>
      <c r="Y9" s="56"/>
      <c r="Z9" s="56"/>
      <c r="AA9" s="56"/>
      <c r="AB9" s="56"/>
    </row>
    <row r="10">
      <c r="C10" s="7" t="s">
        <v>23</v>
      </c>
      <c r="D10" s="54" t="s">
        <v>160</v>
      </c>
      <c r="E10" s="74">
        <f>IFERROR(__xludf.DUMMYFUNCTION("COUNTA(SPLIT(D10,"" ""))/COUNTA(SPLIT($B$7,"" ""))"),0.13972602739726028)</f>
        <v>0.1397260274</v>
      </c>
      <c r="F10" s="67">
        <v>5.0</v>
      </c>
      <c r="G10" s="67">
        <v>5.0</v>
      </c>
      <c r="H10" s="67">
        <v>5.0</v>
      </c>
      <c r="I10" s="67">
        <v>5.0</v>
      </c>
      <c r="J10" s="67">
        <v>5.0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161</v>
      </c>
      <c r="E12" s="78">
        <f>IFERROR(__xludf.DUMMYFUNCTION("COUNTA(SPLIT(D12,"" ""))/COUNTA(SPLIT($B$12,"" ""))"),0.3377659574468085)</f>
        <v>0.3377659574</v>
      </c>
      <c r="F12" s="67">
        <v>5.0</v>
      </c>
      <c r="G12" s="67">
        <v>5.0</v>
      </c>
      <c r="H12" s="67">
        <v>5.0</v>
      </c>
      <c r="I12" s="67">
        <v>5.0</v>
      </c>
      <c r="J12" s="67">
        <v>2.0</v>
      </c>
      <c r="K12" s="68"/>
      <c r="L12" s="68"/>
      <c r="M12" s="68"/>
      <c r="N12" s="68"/>
      <c r="O12" s="68"/>
      <c r="P12" s="68"/>
      <c r="Q12" s="68"/>
      <c r="R12" s="68"/>
      <c r="S12" s="68"/>
      <c r="T12" s="68"/>
      <c r="U12" s="68"/>
      <c r="V12" s="68"/>
      <c r="W12" s="68"/>
      <c r="X12" s="68"/>
      <c r="Y12" s="68"/>
      <c r="Z12" s="68"/>
      <c r="AA12" s="68"/>
      <c r="AB12" s="68"/>
    </row>
    <row r="13">
      <c r="C13" s="7" t="s">
        <v>22</v>
      </c>
      <c r="D13" s="54" t="s">
        <v>162</v>
      </c>
      <c r="E13" s="74">
        <f>IFERROR(__xludf.DUMMYFUNCTION("COUNTA(SPLIT(D13,"" ""))/COUNTA(SPLIT($B$12,"" ""))"),0.2473404255319149)</f>
        <v>0.2473404255</v>
      </c>
      <c r="F13" s="67">
        <v>5.0</v>
      </c>
      <c r="G13" s="67">
        <v>5.0</v>
      </c>
      <c r="H13" s="67">
        <v>5.0</v>
      </c>
      <c r="I13" s="67">
        <v>5.0</v>
      </c>
      <c r="J13" s="67">
        <v>3.0</v>
      </c>
      <c r="K13" s="56"/>
      <c r="L13" s="56"/>
      <c r="M13" s="56"/>
      <c r="N13" s="56"/>
      <c r="O13" s="56"/>
      <c r="P13" s="56"/>
      <c r="Q13" s="56"/>
      <c r="R13" s="56"/>
      <c r="S13" s="56"/>
      <c r="T13" s="56"/>
      <c r="U13" s="56"/>
      <c r="V13" s="56"/>
      <c r="W13" s="56"/>
      <c r="X13" s="56"/>
      <c r="Y13" s="56"/>
      <c r="Z13" s="56"/>
      <c r="AA13" s="56"/>
      <c r="AB13" s="56"/>
    </row>
    <row r="14">
      <c r="C14" s="7" t="s">
        <v>8</v>
      </c>
      <c r="D14" s="54" t="s">
        <v>163</v>
      </c>
      <c r="E14" s="74">
        <f>IFERROR(__xludf.DUMMYFUNCTION("COUNTA(SPLIT(D14,"" ""))/COUNTA(SPLIT($B$12,"" ""))"),0.5824468085106383)</f>
        <v>0.5824468085</v>
      </c>
      <c r="F14" s="7">
        <v>4.0</v>
      </c>
      <c r="G14" s="7">
        <v>5.0</v>
      </c>
      <c r="H14" s="7">
        <v>5.0</v>
      </c>
      <c r="I14" s="7">
        <v>4.0</v>
      </c>
      <c r="J14" s="7">
        <v>5.0</v>
      </c>
      <c r="K14" s="56"/>
      <c r="L14" s="56"/>
      <c r="M14" s="56"/>
      <c r="N14" s="56"/>
      <c r="O14" s="56"/>
      <c r="P14" s="56"/>
      <c r="Q14" s="56"/>
      <c r="R14" s="56"/>
      <c r="S14" s="56"/>
      <c r="T14" s="56"/>
      <c r="U14" s="56"/>
      <c r="V14" s="56"/>
      <c r="W14" s="56"/>
      <c r="X14" s="56"/>
      <c r="Y14" s="56"/>
      <c r="Z14" s="56"/>
      <c r="AA14" s="56"/>
      <c r="AB14" s="56"/>
    </row>
    <row r="15">
      <c r="C15" s="7" t="s">
        <v>23</v>
      </c>
      <c r="D15" s="54" t="s">
        <v>164</v>
      </c>
      <c r="E15" s="74">
        <f>IFERROR(__xludf.DUMMYFUNCTION("COUNTA(SPLIT(D15,"" ""))/COUNTA(SPLIT($B$12,"" ""))"),0.22074468085106383)</f>
        <v>0.2207446809</v>
      </c>
      <c r="F15" s="67">
        <v>5.0</v>
      </c>
      <c r="G15" s="67">
        <v>5.0</v>
      </c>
      <c r="H15" s="67">
        <v>5.0</v>
      </c>
      <c r="I15" s="67">
        <v>5.0</v>
      </c>
      <c r="J15" s="67">
        <v>3.0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165</v>
      </c>
      <c r="E17" s="78">
        <f>IFERROR(__xludf.DUMMYFUNCTION("COUNTA(SPLIT(D17,"" ""))/COUNTA(SPLIT($B$17,"" ""))"),0.199438202247191)</f>
        <v>0.1994382022</v>
      </c>
      <c r="F17" s="67">
        <v>4.0</v>
      </c>
      <c r="G17" s="67">
        <v>5.0</v>
      </c>
      <c r="H17" s="67">
        <v>5.0</v>
      </c>
      <c r="I17" s="67">
        <v>3.0</v>
      </c>
      <c r="J17" s="67">
        <v>5.0</v>
      </c>
      <c r="K17" s="68"/>
      <c r="L17" s="68"/>
      <c r="M17" s="68"/>
      <c r="N17" s="68"/>
      <c r="O17" s="68"/>
      <c r="P17" s="68"/>
      <c r="Q17" s="68"/>
      <c r="R17" s="68"/>
      <c r="S17" s="68"/>
      <c r="T17" s="68"/>
      <c r="U17" s="68"/>
      <c r="V17" s="68"/>
      <c r="W17" s="68"/>
      <c r="X17" s="68"/>
      <c r="Y17" s="68"/>
      <c r="Z17" s="68"/>
      <c r="AA17" s="68"/>
      <c r="AB17" s="68"/>
    </row>
    <row r="18">
      <c r="C18" s="7" t="s">
        <v>22</v>
      </c>
      <c r="D18" s="54" t="s">
        <v>166</v>
      </c>
      <c r="E18" s="74">
        <f>IFERROR(__xludf.DUMMYFUNCTION("COUNTA(SPLIT(D18,"" ""))/COUNTA(SPLIT($B$17,"" ""))"),0.15168539325842698)</f>
        <v>0.1516853933</v>
      </c>
      <c r="F18" s="67">
        <v>4.0</v>
      </c>
      <c r="G18" s="67">
        <v>5.0</v>
      </c>
      <c r="H18" s="67">
        <v>5.0</v>
      </c>
      <c r="I18" s="67">
        <v>3.0</v>
      </c>
      <c r="J18" s="67">
        <v>5.0</v>
      </c>
      <c r="K18" s="56"/>
      <c r="L18" s="56"/>
      <c r="M18" s="56"/>
      <c r="N18" s="56"/>
      <c r="O18" s="56"/>
      <c r="P18" s="56"/>
      <c r="Q18" s="56"/>
      <c r="R18" s="56"/>
      <c r="S18" s="56"/>
      <c r="T18" s="56"/>
      <c r="U18" s="56"/>
      <c r="V18" s="56"/>
      <c r="W18" s="56"/>
      <c r="X18" s="56"/>
      <c r="Y18" s="56"/>
      <c r="Z18" s="56"/>
      <c r="AA18" s="56"/>
      <c r="AB18" s="56"/>
    </row>
    <row r="19">
      <c r="C19" s="7" t="s">
        <v>8</v>
      </c>
      <c r="D19" s="54" t="s">
        <v>167</v>
      </c>
      <c r="E19" s="74">
        <f>IFERROR(__xludf.DUMMYFUNCTION("COUNTA(SPLIT(D19,"" ""))/COUNTA(SPLIT($B$17,"" ""))"),0.29353932584269665)</f>
        <v>0.2935393258</v>
      </c>
      <c r="F19" s="7">
        <v>4.0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c r="C20" s="7" t="s">
        <v>23</v>
      </c>
      <c r="D20" s="54" t="s">
        <v>168</v>
      </c>
      <c r="E20" s="74">
        <f>IFERROR(__xludf.DUMMYFUNCTION("COUNTA(SPLIT(D20,"" ""))/COUNTA(SPLIT($B$17,"" ""))"),0.16432584269662923)</f>
        <v>0.1643258427</v>
      </c>
      <c r="F20" s="67">
        <v>5.0</v>
      </c>
      <c r="G20" s="67">
        <v>5.0</v>
      </c>
      <c r="H20" s="67">
        <v>5.0</v>
      </c>
      <c r="I20" s="67">
        <v>3.0</v>
      </c>
      <c r="J20" s="67">
        <v>5.0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169</v>
      </c>
      <c r="E22" s="78">
        <f>IFERROR(__xludf.DUMMYFUNCTION("COUNTA(SPLIT(D22,"" ""))/COUNTA(SPLIT($B$22,"" ""))"),0.11022997620935765)</f>
        <v>0.1102299762</v>
      </c>
      <c r="F22" s="67">
        <v>5.0</v>
      </c>
      <c r="G22" s="67">
        <v>4.0</v>
      </c>
      <c r="H22" s="67">
        <v>5.0</v>
      </c>
      <c r="I22" s="67">
        <v>5.0</v>
      </c>
      <c r="J22" s="67">
        <v>4.0</v>
      </c>
      <c r="K22" s="68"/>
      <c r="L22" s="68"/>
      <c r="M22" s="68"/>
      <c r="N22" s="68"/>
      <c r="O22" s="68"/>
      <c r="P22" s="68"/>
      <c r="Q22" s="68"/>
      <c r="R22" s="68"/>
      <c r="S22" s="68"/>
      <c r="T22" s="68"/>
      <c r="U22" s="68"/>
      <c r="V22" s="68"/>
      <c r="W22" s="68"/>
      <c r="X22" s="68"/>
      <c r="Y22" s="68"/>
      <c r="Z22" s="68"/>
      <c r="AA22" s="68"/>
      <c r="AB22" s="68"/>
    </row>
    <row r="23">
      <c r="C23" s="7" t="s">
        <v>22</v>
      </c>
      <c r="D23" s="54" t="s">
        <v>170</v>
      </c>
      <c r="E23" s="74">
        <f>IFERROR(__xludf.DUMMYFUNCTION("COUNTA(SPLIT(D23,"" ""))/COUNTA(SPLIT($B$22,"" ""))"),0.08326724821570182)</f>
        <v>0.08326724822</v>
      </c>
      <c r="F23" s="67">
        <v>5.0</v>
      </c>
      <c r="G23" s="67">
        <v>4.0</v>
      </c>
      <c r="H23" s="67">
        <v>5.0</v>
      </c>
      <c r="I23" s="67">
        <v>5.0</v>
      </c>
      <c r="J23" s="67">
        <v>4.0</v>
      </c>
      <c r="K23" s="56"/>
      <c r="L23" s="56"/>
      <c r="M23" s="56"/>
      <c r="N23" s="56"/>
      <c r="O23" s="56"/>
      <c r="P23" s="56"/>
      <c r="Q23" s="56"/>
      <c r="R23" s="56"/>
      <c r="S23" s="56"/>
      <c r="T23" s="56"/>
      <c r="U23" s="56"/>
      <c r="V23" s="56"/>
      <c r="W23" s="56"/>
      <c r="X23" s="56"/>
      <c r="Y23" s="56"/>
      <c r="Z23" s="56"/>
      <c r="AA23" s="56"/>
      <c r="AB23" s="56"/>
    </row>
    <row r="24">
      <c r="C24" s="7" t="s">
        <v>8</v>
      </c>
      <c r="D24" s="54" t="s">
        <v>171</v>
      </c>
      <c r="E24" s="74">
        <f>IFERROR(__xludf.DUMMYFUNCTION("COUNTA(SPLIT(D24,"" ""))/COUNTA(SPLIT($B$22,"" ""))"),0.15543219666931007)</f>
        <v>0.1554321967</v>
      </c>
      <c r="F24" s="7">
        <v>4.0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c r="C25" s="7" t="s">
        <v>23</v>
      </c>
      <c r="D25" s="54" t="s">
        <v>172</v>
      </c>
      <c r="E25" s="74">
        <f>IFERROR(__xludf.DUMMYFUNCTION("COUNTA(SPLIT(D25,"" ""))/COUNTA(SPLIT($B$22,"" ""))"),0.0816812053925456)</f>
        <v>0.08168120539</v>
      </c>
      <c r="F25" s="67">
        <v>5.0</v>
      </c>
      <c r="G25" s="67">
        <v>5.0</v>
      </c>
      <c r="H25" s="67">
        <v>5.0</v>
      </c>
      <c r="I25" s="67">
        <v>5.0</v>
      </c>
      <c r="J25" s="67">
        <v>3.0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173</v>
      </c>
      <c r="E27" s="83">
        <f>IFERROR(__xludf.DUMMYFUNCTION("COUNTA(SPLIT(D27,"" ""))/COUNTA(SPLIT($B$27,"" ""))"),0.14731585518102372)</f>
        <v>0.1473158552</v>
      </c>
      <c r="F27" s="7">
        <v>5.0</v>
      </c>
      <c r="G27" s="7">
        <v>5.0</v>
      </c>
      <c r="H27" s="7">
        <v>5.0</v>
      </c>
      <c r="I27" s="7">
        <v>5.0</v>
      </c>
      <c r="J27" s="7">
        <v>3.0</v>
      </c>
      <c r="K27" s="56"/>
      <c r="L27" s="56"/>
      <c r="M27" s="56"/>
      <c r="N27" s="56"/>
      <c r="O27" s="56"/>
      <c r="P27" s="56"/>
      <c r="Q27" s="56"/>
      <c r="R27" s="56"/>
      <c r="S27" s="56"/>
      <c r="T27" s="56"/>
      <c r="U27" s="56"/>
      <c r="V27" s="56"/>
      <c r="W27" s="56"/>
      <c r="X27" s="56"/>
      <c r="Y27" s="56"/>
      <c r="Z27" s="56"/>
      <c r="AA27" s="56"/>
      <c r="AB27" s="56"/>
    </row>
    <row r="28">
      <c r="C28" s="85" t="s">
        <v>22</v>
      </c>
      <c r="D28" s="57" t="s">
        <v>174</v>
      </c>
      <c r="E28" s="86">
        <f>IFERROR(__xludf.DUMMYFUNCTION("COUNTA(SPLIT(D28,"" ""))/COUNTA(SPLIT($B$27,"" ""))"),0.149812734082397)</f>
        <v>0.1498127341</v>
      </c>
      <c r="F28" s="7">
        <v>5.0</v>
      </c>
      <c r="G28" s="7">
        <v>5.0</v>
      </c>
      <c r="H28" s="7">
        <v>5.0</v>
      </c>
      <c r="I28" s="7">
        <v>5.0</v>
      </c>
      <c r="J28" s="7">
        <v>5.0</v>
      </c>
      <c r="K28" s="56"/>
      <c r="L28" s="56"/>
      <c r="M28" s="56"/>
      <c r="N28" s="56"/>
      <c r="O28" s="56"/>
      <c r="P28" s="56"/>
      <c r="Q28" s="56"/>
      <c r="R28" s="56"/>
      <c r="S28" s="56"/>
      <c r="T28" s="56"/>
      <c r="U28" s="56"/>
      <c r="V28" s="56"/>
      <c r="W28" s="56"/>
      <c r="X28" s="56"/>
      <c r="Y28" s="56"/>
      <c r="Z28" s="56"/>
      <c r="AA28" s="56"/>
      <c r="AB28" s="56"/>
    </row>
    <row r="29">
      <c r="C29" s="85" t="s">
        <v>8</v>
      </c>
      <c r="D29" s="57" t="s">
        <v>175</v>
      </c>
      <c r="E29" s="87">
        <f>IFERROR(__xludf.DUMMYFUNCTION("COUNTA(SPLIT(D29,"" ""))/COUNTA(SPLIT($B$27,"" ""))"),0.2421972534332085)</f>
        <v>0.2421972534</v>
      </c>
      <c r="F29" s="7">
        <v>4.0</v>
      </c>
      <c r="G29" s="7">
        <v>5.0</v>
      </c>
      <c r="H29" s="7">
        <v>5.0</v>
      </c>
      <c r="I29" s="7">
        <v>4.0</v>
      </c>
      <c r="J29" s="7">
        <v>5.0</v>
      </c>
      <c r="K29" s="56"/>
      <c r="L29" s="56"/>
      <c r="M29" s="56"/>
      <c r="N29" s="56"/>
      <c r="O29" s="56"/>
      <c r="P29" s="56"/>
      <c r="Q29" s="56"/>
      <c r="R29" s="56"/>
      <c r="S29" s="56"/>
      <c r="T29" s="56"/>
      <c r="U29" s="56"/>
      <c r="V29" s="56"/>
      <c r="W29" s="56"/>
      <c r="X29" s="56"/>
      <c r="Y29" s="56"/>
      <c r="Z29" s="56"/>
      <c r="AA29" s="56"/>
      <c r="AB29" s="56"/>
    </row>
    <row r="30">
      <c r="C30" s="85" t="s">
        <v>23</v>
      </c>
      <c r="D30" s="57" t="s">
        <v>176</v>
      </c>
      <c r="E30" s="88">
        <f>IFERROR(__xludf.DUMMYFUNCTION("COUNTA(SPLIT(D30,"" ""))/COUNTA(SPLIT($B$27,"" ""))"),0.13607990012484394)</f>
        <v>0.1360799001</v>
      </c>
      <c r="F30" s="7">
        <v>5.0</v>
      </c>
      <c r="G30" s="7">
        <v>5.0</v>
      </c>
      <c r="H30" s="7">
        <v>5.0</v>
      </c>
      <c r="I30" s="7">
        <v>5.0</v>
      </c>
      <c r="J30" s="7">
        <v>3.0</v>
      </c>
      <c r="K30" s="56"/>
      <c r="L30" s="56"/>
      <c r="M30" s="56"/>
      <c r="N30" s="56"/>
      <c r="O30" s="56"/>
      <c r="P30" s="56"/>
      <c r="Q30" s="56"/>
      <c r="R30" s="56"/>
      <c r="S30" s="56"/>
      <c r="T30" s="56"/>
      <c r="U30" s="56"/>
      <c r="V30" s="56"/>
      <c r="W30" s="56"/>
      <c r="X30" s="56"/>
      <c r="Y30" s="56"/>
      <c r="Z30" s="56"/>
      <c r="AA30" s="56"/>
      <c r="AB30" s="56"/>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177</v>
      </c>
      <c r="E32" s="83">
        <f>IFERROR(__xludf.DUMMYFUNCTION("COUNTA(SPLIT(D32,"" ""))/COUNTA(SPLIT($B$32,"" ""))"),0.13708086785009863)</f>
        <v>0.1370808679</v>
      </c>
      <c r="F32" s="7">
        <v>5.0</v>
      </c>
      <c r="G32" s="7">
        <v>5.0</v>
      </c>
      <c r="H32" s="7">
        <v>5.0</v>
      </c>
      <c r="I32" s="7">
        <v>5.0</v>
      </c>
      <c r="J32" s="7">
        <v>4.0</v>
      </c>
      <c r="K32" s="56"/>
      <c r="L32" s="56"/>
      <c r="M32" s="56"/>
      <c r="N32" s="56"/>
      <c r="O32" s="56"/>
      <c r="P32" s="56"/>
      <c r="Q32" s="56"/>
      <c r="R32" s="56"/>
      <c r="S32" s="56"/>
      <c r="T32" s="56"/>
      <c r="U32" s="56"/>
      <c r="V32" s="56"/>
      <c r="W32" s="56"/>
      <c r="X32" s="56"/>
      <c r="Y32" s="56"/>
      <c r="Z32" s="56"/>
      <c r="AA32" s="56"/>
      <c r="AB32" s="56"/>
    </row>
    <row r="33">
      <c r="C33" s="85" t="s">
        <v>22</v>
      </c>
      <c r="D33" s="57" t="s">
        <v>178</v>
      </c>
      <c r="E33" s="86">
        <f>IFERROR(__xludf.DUMMYFUNCTION("COUNTA(SPLIT(D33,"" ""))/COUNTA(SPLIT($B$32,"" ""))"),0.13806706114398423)</f>
        <v>0.1380670611</v>
      </c>
      <c r="F33" s="7">
        <v>5.0</v>
      </c>
      <c r="G33" s="7">
        <v>5.0</v>
      </c>
      <c r="H33" s="7">
        <v>5.0</v>
      </c>
      <c r="I33" s="7">
        <v>5.0</v>
      </c>
      <c r="J33" s="7">
        <v>4.0</v>
      </c>
      <c r="K33" s="56"/>
      <c r="L33" s="56"/>
      <c r="M33" s="56"/>
      <c r="N33" s="56"/>
      <c r="O33" s="56"/>
      <c r="P33" s="56"/>
      <c r="Q33" s="56"/>
      <c r="R33" s="56"/>
      <c r="S33" s="56"/>
      <c r="T33" s="56"/>
      <c r="U33" s="56"/>
      <c r="V33" s="56"/>
      <c r="W33" s="56"/>
      <c r="X33" s="56"/>
      <c r="Y33" s="56"/>
      <c r="Z33" s="56"/>
      <c r="AA33" s="56"/>
      <c r="AB33" s="56"/>
    </row>
    <row r="34">
      <c r="C34" s="85" t="s">
        <v>8</v>
      </c>
      <c r="D34" s="57" t="s">
        <v>179</v>
      </c>
      <c r="E34" s="87">
        <f>IFERROR(__xludf.DUMMYFUNCTION("COUNTA(SPLIT(D34,"" ""))/COUNTA(SPLIT($B$32,"" ""))"),0.17258382642998027)</f>
        <v>0.1725838264</v>
      </c>
      <c r="F34" s="7">
        <v>3.0</v>
      </c>
      <c r="G34" s="7">
        <v>5.0</v>
      </c>
      <c r="H34" s="7">
        <v>5.0</v>
      </c>
      <c r="I34" s="7">
        <v>5.0</v>
      </c>
      <c r="J34" s="7">
        <v>4.0</v>
      </c>
      <c r="K34" s="56"/>
      <c r="L34" s="56"/>
      <c r="M34" s="56"/>
      <c r="N34" s="56"/>
      <c r="O34" s="56"/>
      <c r="P34" s="56"/>
      <c r="Q34" s="56"/>
      <c r="R34" s="56"/>
      <c r="S34" s="56"/>
      <c r="T34" s="56"/>
      <c r="U34" s="56"/>
      <c r="V34" s="56"/>
      <c r="W34" s="56"/>
      <c r="X34" s="56"/>
      <c r="Y34" s="56"/>
      <c r="Z34" s="56"/>
      <c r="AA34" s="56"/>
      <c r="AB34" s="56"/>
    </row>
    <row r="35">
      <c r="C35" s="85" t="s">
        <v>23</v>
      </c>
      <c r="D35" s="57" t="s">
        <v>180</v>
      </c>
      <c r="E35" s="88">
        <f>IFERROR(__xludf.DUMMYFUNCTION("COUNTA(SPLIT(D35,"" ""))/COUNTA(SPLIT($B$32,"" ""))"),0.10650887573964497)</f>
        <v>0.1065088757</v>
      </c>
      <c r="F35" s="7">
        <v>5.0</v>
      </c>
      <c r="G35" s="7">
        <v>5.0</v>
      </c>
      <c r="H35" s="7">
        <v>5.0</v>
      </c>
      <c r="I35" s="7">
        <v>5.0</v>
      </c>
      <c r="J35" s="7">
        <v>4.0</v>
      </c>
      <c r="K35" s="56"/>
      <c r="L35" s="56"/>
      <c r="M35" s="56"/>
      <c r="N35" s="56"/>
      <c r="O35" s="56"/>
      <c r="P35" s="56"/>
      <c r="Q35" s="56"/>
      <c r="R35" s="56"/>
      <c r="S35" s="56"/>
      <c r="T35" s="56"/>
      <c r="U35" s="56"/>
      <c r="V35" s="56"/>
      <c r="W35" s="56"/>
      <c r="X35" s="56"/>
      <c r="Y35" s="56"/>
      <c r="Z35" s="56"/>
      <c r="AA35" s="56"/>
      <c r="AB35" s="56"/>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0" t="s">
        <v>62</v>
      </c>
      <c r="C37" s="81" t="s">
        <v>21</v>
      </c>
      <c r="D37" s="82" t="s">
        <v>181</v>
      </c>
      <c r="E37" s="83">
        <f>IFERROR(__xludf.DUMMYFUNCTION("COUNTA(SPLIT(D37,"" ""))/COUNTA(SPLIT($B$37,"" ""))"),0.12792642140468227)</f>
        <v>0.1279264214</v>
      </c>
      <c r="F37" s="7">
        <v>5.0</v>
      </c>
      <c r="G37" s="7">
        <v>5.0</v>
      </c>
      <c r="H37" s="7">
        <v>5.0</v>
      </c>
      <c r="I37" s="7">
        <v>5.0</v>
      </c>
      <c r="J37" s="7">
        <v>4.0</v>
      </c>
      <c r="K37" s="56"/>
      <c r="L37" s="56"/>
      <c r="M37" s="56"/>
      <c r="N37" s="56"/>
      <c r="O37" s="56"/>
      <c r="P37" s="56"/>
      <c r="Q37" s="56"/>
      <c r="R37" s="56"/>
      <c r="S37" s="56"/>
      <c r="T37" s="56"/>
      <c r="U37" s="56"/>
      <c r="V37" s="56"/>
      <c r="W37" s="56"/>
      <c r="X37" s="56"/>
      <c r="Y37" s="56"/>
      <c r="Z37" s="56"/>
      <c r="AA37" s="56"/>
      <c r="AB37" s="56"/>
    </row>
    <row r="38">
      <c r="C38" s="85" t="s">
        <v>22</v>
      </c>
      <c r="D38" s="57" t="s">
        <v>182</v>
      </c>
      <c r="E38" s="86">
        <f>IFERROR(__xludf.DUMMYFUNCTION("COUNTA(SPLIT(D38,"" ""))/COUNTA(SPLIT($B$37,"" ""))"),0.13963210702341136)</f>
        <v>0.139632107</v>
      </c>
      <c r="F38" s="7">
        <v>5.0</v>
      </c>
      <c r="G38" s="7">
        <v>5.0</v>
      </c>
      <c r="H38" s="7">
        <v>5.0</v>
      </c>
      <c r="I38" s="7">
        <v>4.0</v>
      </c>
      <c r="J38" s="7">
        <v>4.0</v>
      </c>
      <c r="K38" s="56"/>
      <c r="L38" s="56"/>
      <c r="M38" s="56"/>
      <c r="N38" s="56"/>
      <c r="O38" s="56"/>
      <c r="P38" s="56"/>
      <c r="Q38" s="56"/>
      <c r="R38" s="56"/>
      <c r="S38" s="56"/>
      <c r="T38" s="56"/>
      <c r="U38" s="56"/>
      <c r="V38" s="56"/>
      <c r="W38" s="56"/>
      <c r="X38" s="56"/>
      <c r="Y38" s="56"/>
      <c r="Z38" s="56"/>
      <c r="AA38" s="56"/>
      <c r="AB38" s="56"/>
    </row>
    <row r="39">
      <c r="C39" s="85" t="s">
        <v>8</v>
      </c>
      <c r="D39" s="57" t="s">
        <v>183</v>
      </c>
      <c r="E39" s="87">
        <f>IFERROR(__xludf.DUMMYFUNCTION("COUNTA(SPLIT(D39,"" ""))/COUNTA(SPLIT($B$37,"" ""))"),0.16304347826086957)</f>
        <v>0.1630434783</v>
      </c>
      <c r="F39" s="7">
        <v>3.0</v>
      </c>
      <c r="G39" s="7">
        <v>5.0</v>
      </c>
      <c r="H39" s="7">
        <v>5.0</v>
      </c>
      <c r="I39" s="7">
        <v>5.0</v>
      </c>
      <c r="J39" s="7">
        <v>5.0</v>
      </c>
      <c r="K39" s="56"/>
      <c r="L39" s="56"/>
      <c r="M39" s="56"/>
      <c r="N39" s="56"/>
      <c r="O39" s="56"/>
      <c r="P39" s="56"/>
      <c r="Q39" s="56"/>
      <c r="R39" s="56"/>
      <c r="S39" s="56"/>
      <c r="T39" s="56"/>
      <c r="U39" s="56"/>
      <c r="V39" s="56"/>
      <c r="W39" s="56"/>
      <c r="X39" s="56"/>
      <c r="Y39" s="56"/>
      <c r="Z39" s="56"/>
      <c r="AA39" s="56"/>
      <c r="AB39" s="56"/>
    </row>
    <row r="40">
      <c r="C40" s="85" t="s">
        <v>23</v>
      </c>
      <c r="D40" s="57" t="s">
        <v>184</v>
      </c>
      <c r="E40" s="88">
        <f>IFERROR(__xludf.DUMMYFUNCTION("COUNTA(SPLIT(D40,"" ""))/COUNTA(SPLIT($B$37,"" ""))"),0.08361204013377926)</f>
        <v>0.08361204013</v>
      </c>
      <c r="F40" s="7">
        <v>5.0</v>
      </c>
      <c r="G40" s="7">
        <v>5.0</v>
      </c>
      <c r="H40" s="7">
        <v>5.0</v>
      </c>
      <c r="I40" s="7">
        <v>5.0</v>
      </c>
      <c r="J40" s="7">
        <v>3.0</v>
      </c>
      <c r="K40" s="56"/>
      <c r="L40" s="56"/>
      <c r="M40" s="56"/>
      <c r="N40" s="56"/>
      <c r="O40" s="56"/>
      <c r="P40" s="56"/>
      <c r="Q40" s="56"/>
      <c r="R40" s="56"/>
      <c r="S40" s="56"/>
      <c r="T40" s="56"/>
      <c r="U40" s="56"/>
      <c r="V40" s="56"/>
      <c r="W40" s="56"/>
      <c r="X40" s="56"/>
      <c r="Y40" s="56"/>
      <c r="Z40" s="56"/>
      <c r="AA40" s="56"/>
      <c r="AB40" s="56"/>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185</v>
      </c>
      <c r="E42" s="83">
        <f>IFERROR(__xludf.DUMMYFUNCTION("COUNTA(SPLIT(D42,"" ""))/COUNTA(SPLIT($B$42,"" ""))"),0.2597730138713745)</f>
        <v>0.2597730139</v>
      </c>
      <c r="F42" s="7">
        <v>4.0</v>
      </c>
      <c r="G42" s="7">
        <v>5.0</v>
      </c>
      <c r="H42" s="7">
        <v>5.0</v>
      </c>
      <c r="I42" s="7">
        <v>5.0</v>
      </c>
      <c r="J42" s="7">
        <v>5.0</v>
      </c>
      <c r="K42" s="56"/>
      <c r="L42" s="56"/>
      <c r="M42" s="56"/>
      <c r="N42" s="56"/>
      <c r="O42" s="56"/>
      <c r="P42" s="56"/>
      <c r="Q42" s="56"/>
      <c r="R42" s="56"/>
      <c r="S42" s="56"/>
      <c r="T42" s="56"/>
      <c r="U42" s="56"/>
      <c r="V42" s="56"/>
      <c r="W42" s="56"/>
      <c r="X42" s="56"/>
      <c r="Y42" s="56"/>
      <c r="Z42" s="56"/>
      <c r="AA42" s="56"/>
      <c r="AB42" s="56"/>
    </row>
    <row r="43">
      <c r="C43" s="85" t="s">
        <v>22</v>
      </c>
      <c r="D43" s="57" t="s">
        <v>186</v>
      </c>
      <c r="E43" s="86">
        <f>IFERROR(__xludf.DUMMYFUNCTION("COUNTA(SPLIT(D43,"" ""))/COUNTA(SPLIT($B$42,"" ""))"),0.27616645649432536)</f>
        <v>0.2761664565</v>
      </c>
      <c r="F43" s="7">
        <v>4.0</v>
      </c>
      <c r="G43" s="7">
        <v>5.0</v>
      </c>
      <c r="H43" s="7">
        <v>5.0</v>
      </c>
      <c r="I43" s="7">
        <v>4.0</v>
      </c>
      <c r="J43" s="7">
        <v>4.0</v>
      </c>
      <c r="K43" s="56"/>
      <c r="L43" s="56"/>
      <c r="M43" s="56"/>
      <c r="N43" s="56"/>
      <c r="O43" s="56"/>
      <c r="P43" s="56"/>
      <c r="Q43" s="56"/>
      <c r="R43" s="56"/>
      <c r="S43" s="56"/>
      <c r="T43" s="56"/>
      <c r="U43" s="56"/>
      <c r="V43" s="56"/>
      <c r="W43" s="56"/>
      <c r="X43" s="56"/>
      <c r="Y43" s="56"/>
      <c r="Z43" s="56"/>
      <c r="AA43" s="56"/>
      <c r="AB43" s="56"/>
    </row>
    <row r="44">
      <c r="C44" s="85" t="s">
        <v>8</v>
      </c>
      <c r="D44" s="57" t="s">
        <v>187</v>
      </c>
      <c r="E44" s="87">
        <f>IFERROR(__xludf.DUMMYFUNCTION("COUNTA(SPLIT(D44,"" ""))/COUNTA(SPLIT($B$42,"" ""))"),0.21311475409836064)</f>
        <v>0.2131147541</v>
      </c>
      <c r="F44" s="7">
        <v>3.0</v>
      </c>
      <c r="G44" s="7">
        <v>5.0</v>
      </c>
      <c r="H44" s="7">
        <v>5.0</v>
      </c>
      <c r="I44" s="7">
        <v>4.0</v>
      </c>
      <c r="J44" s="7">
        <v>5.0</v>
      </c>
      <c r="K44" s="56"/>
      <c r="L44" s="56"/>
      <c r="M44" s="56"/>
      <c r="N44" s="56"/>
      <c r="O44" s="56"/>
      <c r="P44" s="56"/>
      <c r="Q44" s="56"/>
      <c r="R44" s="56"/>
      <c r="S44" s="56"/>
      <c r="T44" s="56"/>
      <c r="U44" s="56"/>
      <c r="V44" s="56"/>
      <c r="W44" s="56"/>
      <c r="X44" s="56"/>
      <c r="Y44" s="56"/>
      <c r="Z44" s="56"/>
      <c r="AA44" s="56"/>
      <c r="AB44" s="56"/>
    </row>
    <row r="45">
      <c r="C45" s="85" t="s">
        <v>23</v>
      </c>
      <c r="D45" s="57" t="s">
        <v>188</v>
      </c>
      <c r="E45" s="88">
        <f>IFERROR(__xludf.DUMMYFUNCTION("COUNTA(SPLIT(D45,"" ""))/COUNTA(SPLIT($B$42,"" ""))"),0.14123581336696092)</f>
        <v>0.1412358134</v>
      </c>
      <c r="F45" s="7">
        <v>5.0</v>
      </c>
      <c r="G45" s="7">
        <v>5.0</v>
      </c>
      <c r="H45" s="7">
        <v>5.0</v>
      </c>
      <c r="I45" s="7">
        <v>5.0</v>
      </c>
      <c r="J45" s="7">
        <v>4.0</v>
      </c>
      <c r="K45" s="56"/>
      <c r="L45" s="56"/>
      <c r="M45" s="56"/>
      <c r="N45" s="56"/>
      <c r="O45" s="56"/>
      <c r="P45" s="56"/>
      <c r="Q45" s="56"/>
      <c r="R45" s="56"/>
      <c r="S45" s="56"/>
      <c r="T45" s="56"/>
      <c r="U45" s="56"/>
      <c r="V45" s="56"/>
      <c r="W45" s="56"/>
      <c r="X45" s="56"/>
      <c r="Y45" s="56"/>
      <c r="Z45" s="56"/>
      <c r="AA45" s="56"/>
      <c r="AB45" s="56"/>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189</v>
      </c>
      <c r="E47" s="83">
        <f>IFERROR(__xludf.DUMMYFUNCTION("COUNTA(SPLIT(D47,"" ""))/COUNTA(SPLIT($B$47,"" ""))"),0.1310763888888889)</f>
        <v>0.1310763889</v>
      </c>
      <c r="F47" s="7">
        <v>5.0</v>
      </c>
      <c r="G47" s="7">
        <v>5.0</v>
      </c>
      <c r="H47" s="7">
        <v>5.0</v>
      </c>
      <c r="I47" s="7">
        <v>4.0</v>
      </c>
      <c r="J47" s="7">
        <v>3.0</v>
      </c>
      <c r="K47" s="56"/>
      <c r="L47" s="56"/>
      <c r="M47" s="56"/>
      <c r="N47" s="56"/>
      <c r="O47" s="56"/>
      <c r="P47" s="56"/>
      <c r="Q47" s="56"/>
      <c r="R47" s="56"/>
      <c r="S47" s="56"/>
      <c r="T47" s="56"/>
      <c r="U47" s="56"/>
      <c r="V47" s="56"/>
      <c r="W47" s="56"/>
      <c r="X47" s="56"/>
      <c r="Y47" s="56"/>
      <c r="Z47" s="56"/>
      <c r="AA47" s="56"/>
      <c r="AB47" s="56"/>
    </row>
    <row r="48">
      <c r="C48" s="85" t="s">
        <v>22</v>
      </c>
      <c r="D48" s="57" t="s">
        <v>190</v>
      </c>
      <c r="E48" s="86">
        <f>IFERROR(__xludf.DUMMYFUNCTION("COUNTA(SPLIT(D48,"" ""))/COUNTA(SPLIT($B$47,"" ""))"),0.1467013888888889)</f>
        <v>0.1467013889</v>
      </c>
      <c r="F48" s="7">
        <v>5.0</v>
      </c>
      <c r="G48" s="7">
        <v>5.0</v>
      </c>
      <c r="H48" s="7">
        <v>5.0</v>
      </c>
      <c r="I48" s="7">
        <v>4.0</v>
      </c>
      <c r="J48" s="7">
        <v>4.0</v>
      </c>
      <c r="K48" s="56"/>
      <c r="L48" s="56"/>
      <c r="M48" s="56"/>
      <c r="N48" s="56"/>
      <c r="O48" s="56"/>
      <c r="P48" s="56"/>
      <c r="Q48" s="56"/>
      <c r="R48" s="56"/>
      <c r="S48" s="56"/>
      <c r="T48" s="56"/>
      <c r="U48" s="56"/>
      <c r="V48" s="56"/>
      <c r="W48" s="56"/>
      <c r="X48" s="56"/>
      <c r="Y48" s="56"/>
      <c r="Z48" s="56"/>
      <c r="AA48" s="56"/>
      <c r="AB48" s="56"/>
    </row>
    <row r="49">
      <c r="C49" s="85" t="s">
        <v>8</v>
      </c>
      <c r="D49" s="57" t="s">
        <v>191</v>
      </c>
      <c r="E49" s="87">
        <f>IFERROR(__xludf.DUMMYFUNCTION("COUNTA(SPLIT(D49,"" ""))/COUNTA(SPLIT($B$47,"" ""))"),0.234375)</f>
        <v>0.234375</v>
      </c>
      <c r="F49" s="7">
        <v>3.0</v>
      </c>
      <c r="G49" s="7">
        <v>5.0</v>
      </c>
      <c r="H49" s="7">
        <v>5.0</v>
      </c>
      <c r="I49" s="7">
        <v>4.0</v>
      </c>
      <c r="J49" s="7">
        <v>3.0</v>
      </c>
      <c r="K49" s="56"/>
      <c r="L49" s="56"/>
      <c r="M49" s="56"/>
      <c r="N49" s="56"/>
      <c r="O49" s="56"/>
      <c r="P49" s="56"/>
      <c r="Q49" s="56"/>
      <c r="R49" s="56"/>
      <c r="S49" s="56"/>
      <c r="T49" s="56"/>
      <c r="U49" s="56"/>
      <c r="V49" s="56"/>
      <c r="W49" s="56"/>
      <c r="X49" s="56"/>
      <c r="Y49" s="56"/>
      <c r="Z49" s="56"/>
      <c r="AA49" s="56"/>
      <c r="AB49" s="56"/>
    </row>
    <row r="50">
      <c r="C50" s="85" t="s">
        <v>23</v>
      </c>
      <c r="D50" s="57" t="s">
        <v>192</v>
      </c>
      <c r="E50" s="88">
        <f>IFERROR(__xludf.DUMMYFUNCTION("COUNTA(SPLIT(D50,"" ""))/COUNTA(SPLIT($B$47,"" ""))"),0.08680555555555555)</f>
        <v>0.08680555556</v>
      </c>
      <c r="F50" s="7">
        <v>5.0</v>
      </c>
      <c r="G50" s="7">
        <v>5.0</v>
      </c>
      <c r="H50" s="7">
        <v>5.0</v>
      </c>
      <c r="I50" s="7">
        <v>5.0</v>
      </c>
      <c r="J50" s="7">
        <v>4.0</v>
      </c>
      <c r="K50" s="56"/>
      <c r="L50" s="56"/>
      <c r="M50" s="56"/>
      <c r="N50" s="56"/>
      <c r="O50" s="56"/>
      <c r="P50" s="56"/>
      <c r="Q50" s="56"/>
      <c r="R50" s="56"/>
      <c r="S50" s="56"/>
      <c r="T50" s="56"/>
      <c r="U50" s="56"/>
      <c r="V50" s="56"/>
      <c r="W50" s="56"/>
      <c r="X50" s="56"/>
      <c r="Y50" s="56"/>
      <c r="Z50" s="56"/>
      <c r="AA50" s="56"/>
      <c r="AB50" s="56"/>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193</v>
      </c>
      <c r="E2" s="74">
        <f>IFERROR(__xludf.DUMMYFUNCTION("COUNTA(SPLIT(D2,"" ""))/COUNTA(SPLIT($B$2,"" ""))"),0.21768707482993196)</f>
        <v>0.2176870748</v>
      </c>
      <c r="F2" s="7">
        <v>5.0</v>
      </c>
      <c r="G2" s="7">
        <v>4.0</v>
      </c>
      <c r="H2" s="7">
        <v>4.0</v>
      </c>
      <c r="I2" s="7">
        <v>5.0</v>
      </c>
      <c r="J2" s="7">
        <v>4.0</v>
      </c>
      <c r="K2" s="56"/>
      <c r="L2" s="56"/>
      <c r="M2" s="56"/>
      <c r="N2" s="56"/>
      <c r="O2" s="56"/>
      <c r="P2" s="56"/>
      <c r="Q2" s="56"/>
      <c r="R2" s="56"/>
      <c r="S2" s="56"/>
      <c r="T2" s="56"/>
      <c r="U2" s="56"/>
      <c r="V2" s="56"/>
      <c r="W2" s="56"/>
      <c r="X2" s="56"/>
      <c r="Y2" s="56"/>
      <c r="Z2" s="56"/>
      <c r="AA2" s="56"/>
      <c r="AB2" s="56"/>
    </row>
    <row r="3">
      <c r="C3" s="7" t="s">
        <v>22</v>
      </c>
      <c r="D3" s="54" t="s">
        <v>194</v>
      </c>
      <c r="E3" s="74">
        <f>IFERROR(__xludf.DUMMYFUNCTION("COUNTA(SPLIT(D3,"" ""))/COUNTA(SPLIT($B$2,"" ""))"),0.2108843537414966)</f>
        <v>0.2108843537</v>
      </c>
      <c r="F3" s="67">
        <v>5.0</v>
      </c>
      <c r="G3" s="67">
        <v>3.0</v>
      </c>
      <c r="H3" s="67">
        <v>5.0</v>
      </c>
      <c r="I3" s="67">
        <v>4.0</v>
      </c>
      <c r="J3" s="67">
        <v>4.0</v>
      </c>
      <c r="K3" s="56"/>
      <c r="L3" s="56"/>
      <c r="M3" s="56"/>
      <c r="N3" s="56"/>
      <c r="O3" s="56"/>
      <c r="P3" s="56"/>
      <c r="Q3" s="56"/>
      <c r="R3" s="56"/>
      <c r="S3" s="56"/>
      <c r="T3" s="56"/>
      <c r="U3" s="56"/>
      <c r="V3" s="56"/>
      <c r="W3" s="56"/>
      <c r="X3" s="56"/>
      <c r="Y3" s="56"/>
      <c r="Z3" s="56"/>
      <c r="AA3" s="56"/>
      <c r="AB3" s="56"/>
    </row>
    <row r="4">
      <c r="C4" s="7" t="s">
        <v>8</v>
      </c>
      <c r="D4" s="54" t="s">
        <v>195</v>
      </c>
      <c r="E4" s="74">
        <f>IFERROR(__xludf.DUMMYFUNCTION("COUNTA(SPLIT(D4,"" ""))/COUNTA(SPLIT($B$2,"" ""))"),0.3707482993197279)</f>
        <v>0.3707482993</v>
      </c>
      <c r="F4" s="7">
        <v>3.0</v>
      </c>
      <c r="G4" s="7">
        <v>4.0</v>
      </c>
      <c r="H4" s="7">
        <v>5.0</v>
      </c>
      <c r="I4" s="7">
        <v>5.0</v>
      </c>
      <c r="J4" s="7">
        <v>5.0</v>
      </c>
      <c r="K4" s="56"/>
      <c r="L4" s="56"/>
      <c r="M4" s="56"/>
      <c r="N4" s="56"/>
      <c r="O4" s="56"/>
      <c r="P4" s="56"/>
      <c r="Q4" s="56"/>
      <c r="R4" s="56"/>
      <c r="S4" s="56"/>
      <c r="T4" s="56"/>
      <c r="U4" s="56"/>
      <c r="V4" s="56"/>
      <c r="W4" s="56"/>
      <c r="X4" s="56"/>
      <c r="Y4" s="56"/>
      <c r="Z4" s="56"/>
      <c r="AA4" s="56"/>
      <c r="AB4" s="56"/>
    </row>
    <row r="5">
      <c r="C5" s="7" t="s">
        <v>23</v>
      </c>
      <c r="D5" s="54" t="s">
        <v>196</v>
      </c>
      <c r="E5" s="74">
        <f>IFERROR(__xludf.DUMMYFUNCTION("COUNTA(SPLIT(D5,"" ""))/COUNTA(SPLIT($B$2,"" ""))"),0.20408163265306123)</f>
        <v>0.2040816327</v>
      </c>
      <c r="F5" s="67">
        <v>5.0</v>
      </c>
      <c r="G5" s="67">
        <v>3.0</v>
      </c>
      <c r="H5" s="67">
        <v>3.0</v>
      </c>
      <c r="I5" s="67">
        <v>5.0</v>
      </c>
      <c r="J5" s="67">
        <v>4.0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197</v>
      </c>
      <c r="E7" s="78">
        <f>IFERROR(__xludf.DUMMYFUNCTION("COUNTA(SPLIT(D7,"" ""))/COUNTA(SPLIT($B$7,"" ""))"),0.28904109589041094)</f>
        <v>0.2890410959</v>
      </c>
      <c r="F7" s="67">
        <v>5.0</v>
      </c>
      <c r="G7" s="67">
        <v>5.0</v>
      </c>
      <c r="H7" s="67">
        <v>5.0</v>
      </c>
      <c r="I7" s="67">
        <v>4.0</v>
      </c>
      <c r="J7" s="67">
        <v>3.0</v>
      </c>
      <c r="K7" s="68"/>
      <c r="L7" s="68"/>
      <c r="M7" s="68"/>
      <c r="N7" s="68"/>
      <c r="O7" s="68"/>
      <c r="P7" s="68"/>
      <c r="Q7" s="68"/>
      <c r="R7" s="68"/>
      <c r="S7" s="68"/>
      <c r="T7" s="68"/>
      <c r="U7" s="68"/>
      <c r="V7" s="68"/>
      <c r="W7" s="68"/>
      <c r="X7" s="68"/>
      <c r="Y7" s="68"/>
      <c r="Z7" s="68"/>
      <c r="AA7" s="68"/>
      <c r="AB7" s="68"/>
    </row>
    <row r="8">
      <c r="C8" s="7" t="s">
        <v>22</v>
      </c>
      <c r="D8" s="54" t="s">
        <v>198</v>
      </c>
      <c r="E8" s="74">
        <f>IFERROR(__xludf.DUMMYFUNCTION("COUNTA(SPLIT(D8,"" ""))/COUNTA(SPLIT($B$7,"" ""))"),0.21506849315068494)</f>
        <v>0.2150684932</v>
      </c>
      <c r="F8" s="7">
        <v>5.0</v>
      </c>
      <c r="G8" s="7">
        <v>5.0</v>
      </c>
      <c r="H8" s="7">
        <v>5.0</v>
      </c>
      <c r="I8" s="7">
        <v>4.0</v>
      </c>
      <c r="J8" s="7">
        <v>3.0</v>
      </c>
      <c r="K8" s="56"/>
      <c r="L8" s="56"/>
      <c r="M8" s="56"/>
      <c r="N8" s="56"/>
      <c r="O8" s="56"/>
      <c r="P8" s="56"/>
      <c r="Q8" s="56"/>
      <c r="R8" s="56"/>
      <c r="S8" s="56"/>
      <c r="T8" s="56"/>
      <c r="U8" s="56"/>
      <c r="V8" s="56"/>
      <c r="W8" s="56"/>
      <c r="X8" s="56"/>
      <c r="Y8" s="56"/>
      <c r="Z8" s="56"/>
      <c r="AA8" s="56"/>
      <c r="AB8" s="56"/>
    </row>
    <row r="9">
      <c r="C9" s="7" t="s">
        <v>8</v>
      </c>
      <c r="D9" s="54" t="s">
        <v>199</v>
      </c>
      <c r="E9" s="74">
        <f>IFERROR(__xludf.DUMMYFUNCTION("COUNTA(SPLIT(D9,"" ""))/COUNTA(SPLIT($B$7,"" ""))"),0.24246575342465754)</f>
        <v>0.2424657534</v>
      </c>
      <c r="F9" s="7">
        <v>5.0</v>
      </c>
      <c r="G9" s="7">
        <v>5.0</v>
      </c>
      <c r="H9" s="7">
        <v>5.0</v>
      </c>
      <c r="I9" s="7">
        <v>5.0</v>
      </c>
      <c r="J9" s="7">
        <v>5.0</v>
      </c>
      <c r="K9" s="56"/>
      <c r="L9" s="56"/>
      <c r="M9" s="56"/>
      <c r="N9" s="56"/>
      <c r="O9" s="56"/>
      <c r="P9" s="56"/>
      <c r="Q9" s="56"/>
      <c r="R9" s="56"/>
      <c r="S9" s="56"/>
      <c r="T9" s="56"/>
      <c r="U9" s="56"/>
      <c r="V9" s="56"/>
      <c r="W9" s="56"/>
      <c r="X9" s="56"/>
      <c r="Y9" s="56"/>
      <c r="Z9" s="56"/>
      <c r="AA9" s="56"/>
      <c r="AB9" s="56"/>
    </row>
    <row r="10">
      <c r="C10" s="7" t="s">
        <v>23</v>
      </c>
      <c r="D10" s="54" t="s">
        <v>200</v>
      </c>
      <c r="E10" s="74">
        <f>IFERROR(__xludf.DUMMYFUNCTION("COUNTA(SPLIT(D10,"" ""))/COUNTA(SPLIT($B$7,"" ""))"),0.1643835616438356)</f>
        <v>0.1643835616</v>
      </c>
      <c r="F10" s="67">
        <v>5.0</v>
      </c>
      <c r="G10" s="67">
        <v>5.0</v>
      </c>
      <c r="H10" s="67">
        <v>5.0</v>
      </c>
      <c r="I10" s="67">
        <v>5.0</v>
      </c>
      <c r="J10" s="67">
        <v>3.0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201</v>
      </c>
      <c r="E12" s="78">
        <f>IFERROR(__xludf.DUMMYFUNCTION("COUNTA(SPLIT(D12,"" ""))/COUNTA(SPLIT($B$12,"" ""))"),0.25)</f>
        <v>0.25</v>
      </c>
      <c r="F12" s="67">
        <v>5.0</v>
      </c>
      <c r="G12" s="67">
        <v>5.0</v>
      </c>
      <c r="H12" s="67">
        <v>5.0</v>
      </c>
      <c r="I12" s="67">
        <v>5.0</v>
      </c>
      <c r="J12" s="67">
        <v>2.0</v>
      </c>
      <c r="K12" s="68"/>
      <c r="L12" s="68"/>
      <c r="M12" s="68"/>
      <c r="N12" s="68"/>
      <c r="O12" s="68"/>
      <c r="P12" s="68"/>
      <c r="Q12" s="68"/>
      <c r="R12" s="68"/>
      <c r="S12" s="68"/>
      <c r="T12" s="68"/>
      <c r="U12" s="68"/>
      <c r="V12" s="68"/>
      <c r="W12" s="68"/>
      <c r="X12" s="68"/>
      <c r="Y12" s="68"/>
      <c r="Z12" s="68"/>
      <c r="AA12" s="68"/>
      <c r="AB12" s="68"/>
    </row>
    <row r="13">
      <c r="C13" s="7" t="s">
        <v>22</v>
      </c>
      <c r="D13" s="54" t="s">
        <v>202</v>
      </c>
      <c r="E13" s="74">
        <f>IFERROR(__xludf.DUMMYFUNCTION("COUNTA(SPLIT(D13,"" ""))/COUNTA(SPLIT($B$12,"" ""))"),0.25)</f>
        <v>0.25</v>
      </c>
      <c r="F13" s="67">
        <v>5.0</v>
      </c>
      <c r="G13" s="67">
        <v>5.0</v>
      </c>
      <c r="H13" s="67">
        <v>5.0</v>
      </c>
      <c r="I13" s="67">
        <v>4.0</v>
      </c>
      <c r="J13" s="67">
        <v>2.0</v>
      </c>
      <c r="K13" s="56"/>
      <c r="L13" s="56"/>
      <c r="M13" s="56"/>
      <c r="N13" s="56"/>
      <c r="O13" s="56"/>
      <c r="P13" s="56"/>
      <c r="Q13" s="56"/>
      <c r="R13" s="56"/>
      <c r="S13" s="56"/>
      <c r="T13" s="56"/>
      <c r="U13" s="56"/>
      <c r="V13" s="56"/>
      <c r="W13" s="56"/>
      <c r="X13" s="56"/>
      <c r="Y13" s="56"/>
      <c r="Z13" s="56"/>
      <c r="AA13" s="56"/>
      <c r="AB13" s="56"/>
    </row>
    <row r="14">
      <c r="C14" s="7" t="s">
        <v>8</v>
      </c>
      <c r="D14" s="54" t="s">
        <v>203</v>
      </c>
      <c r="E14" s="74">
        <f>IFERROR(__xludf.DUMMYFUNCTION("COUNTA(SPLIT(D14,"" ""))/COUNTA(SPLIT($B$12,"" ""))"),0.601063829787234)</f>
        <v>0.6010638298</v>
      </c>
      <c r="F14" s="7">
        <v>4.0</v>
      </c>
      <c r="G14" s="7">
        <v>5.0</v>
      </c>
      <c r="H14" s="7">
        <v>5.0</v>
      </c>
      <c r="I14" s="7">
        <v>5.0</v>
      </c>
      <c r="J14" s="7">
        <v>5.0</v>
      </c>
      <c r="K14" s="56"/>
      <c r="L14" s="56"/>
      <c r="M14" s="56"/>
      <c r="N14" s="56"/>
      <c r="O14" s="56"/>
      <c r="P14" s="56"/>
      <c r="Q14" s="56"/>
      <c r="R14" s="56"/>
      <c r="S14" s="56"/>
      <c r="T14" s="56"/>
      <c r="U14" s="56"/>
      <c r="V14" s="56"/>
      <c r="W14" s="56"/>
      <c r="X14" s="56"/>
      <c r="Y14" s="56"/>
      <c r="Z14" s="56"/>
      <c r="AA14" s="56"/>
      <c r="AB14" s="56"/>
    </row>
    <row r="15">
      <c r="C15" s="7" t="s">
        <v>23</v>
      </c>
      <c r="D15" s="54" t="s">
        <v>204</v>
      </c>
      <c r="E15" s="74">
        <f>IFERROR(__xludf.DUMMYFUNCTION("COUNTA(SPLIT(D15,"" ""))/COUNTA(SPLIT($B$12,"" ""))"),0.23138297872340424)</f>
        <v>0.2313829787</v>
      </c>
      <c r="F15" s="67">
        <v>5.0</v>
      </c>
      <c r="G15" s="67">
        <v>5.0</v>
      </c>
      <c r="H15" s="67">
        <v>5.0</v>
      </c>
      <c r="I15" s="67">
        <v>5.0</v>
      </c>
      <c r="J15" s="67">
        <v>2.0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205</v>
      </c>
      <c r="E17" s="78">
        <f>IFERROR(__xludf.DUMMYFUNCTION("COUNTA(SPLIT(D17,"" ""))/COUNTA(SPLIT($B$17,"" ""))"),0.20926966292134833)</f>
        <v>0.2092696629</v>
      </c>
      <c r="F17" s="67">
        <v>5.0</v>
      </c>
      <c r="G17" s="67">
        <v>4.0</v>
      </c>
      <c r="H17" s="67">
        <v>5.0</v>
      </c>
      <c r="I17" s="67">
        <v>5.0</v>
      </c>
      <c r="J17" s="67">
        <v>5.0</v>
      </c>
      <c r="K17" s="68"/>
      <c r="L17" s="68"/>
      <c r="M17" s="68"/>
      <c r="N17" s="68"/>
      <c r="O17" s="68"/>
      <c r="P17" s="68"/>
      <c r="Q17" s="68"/>
      <c r="R17" s="68"/>
      <c r="S17" s="68"/>
      <c r="T17" s="68"/>
      <c r="U17" s="68"/>
      <c r="V17" s="68"/>
      <c r="W17" s="68"/>
      <c r="X17" s="68"/>
      <c r="Y17" s="68"/>
      <c r="Z17" s="68"/>
      <c r="AA17" s="68"/>
      <c r="AB17" s="68"/>
    </row>
    <row r="18">
      <c r="C18" s="7" t="s">
        <v>22</v>
      </c>
      <c r="D18" s="54" t="s">
        <v>206</v>
      </c>
      <c r="E18" s="74">
        <f>IFERROR(__xludf.DUMMYFUNCTION("COUNTA(SPLIT(D18,"" ""))/COUNTA(SPLIT($B$17,"" ""))"),0.1306179775280899)</f>
        <v>0.1306179775</v>
      </c>
      <c r="F18" s="67">
        <v>5.0</v>
      </c>
      <c r="G18" s="67">
        <v>4.0</v>
      </c>
      <c r="H18" s="67">
        <v>5.0</v>
      </c>
      <c r="I18" s="67">
        <v>5.0</v>
      </c>
      <c r="J18" s="67">
        <v>5.0</v>
      </c>
      <c r="K18" s="56"/>
      <c r="L18" s="56"/>
      <c r="M18" s="56"/>
      <c r="N18" s="56"/>
      <c r="O18" s="56"/>
      <c r="P18" s="56"/>
      <c r="Q18" s="56"/>
      <c r="R18" s="56"/>
      <c r="S18" s="56"/>
      <c r="T18" s="56"/>
      <c r="U18" s="56"/>
      <c r="V18" s="56"/>
      <c r="W18" s="56"/>
      <c r="X18" s="56"/>
      <c r="Y18" s="56"/>
      <c r="Z18" s="56"/>
      <c r="AA18" s="56"/>
      <c r="AB18" s="56"/>
    </row>
    <row r="19">
      <c r="C19" s="7" t="s">
        <v>8</v>
      </c>
      <c r="D19" s="54" t="s">
        <v>207</v>
      </c>
      <c r="E19" s="74">
        <f>IFERROR(__xludf.DUMMYFUNCTION("COUNTA(SPLIT(D19,"" ""))/COUNTA(SPLIT($B$17,"" ""))"),0.23595505617977527)</f>
        <v>0.2359550562</v>
      </c>
      <c r="F19" s="7">
        <v>4.0</v>
      </c>
      <c r="G19" s="7">
        <v>5.0</v>
      </c>
      <c r="H19" s="7">
        <v>5.0</v>
      </c>
      <c r="I19" s="7">
        <v>5.0</v>
      </c>
      <c r="J19" s="7">
        <v>5.0</v>
      </c>
      <c r="K19" s="56"/>
      <c r="L19" s="56"/>
      <c r="M19" s="56"/>
      <c r="N19" s="56"/>
      <c r="O19" s="56"/>
      <c r="P19" s="56"/>
      <c r="Q19" s="56"/>
      <c r="R19" s="56"/>
      <c r="S19" s="56"/>
      <c r="T19" s="56"/>
      <c r="U19" s="56"/>
      <c r="V19" s="56"/>
      <c r="W19" s="56"/>
      <c r="X19" s="56"/>
      <c r="Y19" s="56"/>
      <c r="Z19" s="56"/>
      <c r="AA19" s="56"/>
      <c r="AB19" s="56"/>
    </row>
    <row r="20">
      <c r="C20" s="7" t="s">
        <v>23</v>
      </c>
      <c r="D20" s="54" t="s">
        <v>208</v>
      </c>
      <c r="E20" s="74">
        <f>IFERROR(__xludf.DUMMYFUNCTION("COUNTA(SPLIT(D20,"" ""))/COUNTA(SPLIT($B$17,"" ""))"),0.14325842696629212)</f>
        <v>0.143258427</v>
      </c>
      <c r="F20" s="67">
        <v>5.0</v>
      </c>
      <c r="G20" s="67">
        <v>5.0</v>
      </c>
      <c r="H20" s="67">
        <v>5.0</v>
      </c>
      <c r="I20" s="67">
        <v>5.0</v>
      </c>
      <c r="J20" s="67">
        <v>5.0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209</v>
      </c>
      <c r="E22" s="78">
        <f>IFERROR(__xludf.DUMMYFUNCTION("COUNTA(SPLIT(D22,"" ""))/COUNTA(SPLIT($B$22,"" ""))"),0.21015067406819984)</f>
        <v>0.2101506741</v>
      </c>
      <c r="F22" s="67">
        <v>5.0</v>
      </c>
      <c r="G22" s="67">
        <v>4.0</v>
      </c>
      <c r="H22" s="67">
        <v>5.0</v>
      </c>
      <c r="I22" s="67">
        <v>5.0</v>
      </c>
      <c r="J22" s="67">
        <v>4.0</v>
      </c>
      <c r="K22" s="68"/>
      <c r="L22" s="68"/>
      <c r="M22" s="68"/>
      <c r="N22" s="68"/>
      <c r="O22" s="68"/>
      <c r="P22" s="68"/>
      <c r="Q22" s="68"/>
      <c r="R22" s="68"/>
      <c r="S22" s="68"/>
      <c r="T22" s="68"/>
      <c r="U22" s="68"/>
      <c r="V22" s="68"/>
      <c r="W22" s="68"/>
      <c r="X22" s="68"/>
      <c r="Y22" s="68"/>
      <c r="Z22" s="68"/>
      <c r="AA22" s="68"/>
      <c r="AB22" s="68"/>
    </row>
    <row r="23">
      <c r="C23" s="7" t="s">
        <v>22</v>
      </c>
      <c r="D23" s="54" t="s">
        <v>210</v>
      </c>
      <c r="E23" s="74">
        <f>IFERROR(__xludf.DUMMYFUNCTION("COUNTA(SPLIT(D23,"" ""))/COUNTA(SPLIT($B$22,"" ""))"),0.14036478984932593)</f>
        <v>0.1403647898</v>
      </c>
      <c r="F23" s="67">
        <v>5.0</v>
      </c>
      <c r="G23" s="67">
        <v>4.0</v>
      </c>
      <c r="H23" s="67">
        <v>5.0</v>
      </c>
      <c r="I23" s="67">
        <v>4.0</v>
      </c>
      <c r="J23" s="67">
        <v>4.0</v>
      </c>
      <c r="K23" s="56"/>
      <c r="L23" s="56"/>
      <c r="M23" s="56"/>
      <c r="N23" s="56"/>
      <c r="O23" s="56"/>
      <c r="P23" s="56"/>
      <c r="Q23" s="56"/>
      <c r="R23" s="56"/>
      <c r="S23" s="56"/>
      <c r="T23" s="56"/>
      <c r="U23" s="56"/>
      <c r="V23" s="56"/>
      <c r="W23" s="56"/>
      <c r="X23" s="56"/>
      <c r="Y23" s="56"/>
      <c r="Z23" s="56"/>
      <c r="AA23" s="56"/>
      <c r="AB23" s="56"/>
    </row>
    <row r="24">
      <c r="C24" s="7" t="s">
        <v>8</v>
      </c>
      <c r="D24" s="54" t="s">
        <v>211</v>
      </c>
      <c r="E24" s="74">
        <f>IFERROR(__xludf.DUMMYFUNCTION("COUNTA(SPLIT(D24,"" ""))/COUNTA(SPLIT($B$22,"" ""))"),0.17446471054718476)</f>
        <v>0.1744647105</v>
      </c>
      <c r="F24" s="7">
        <v>3.0</v>
      </c>
      <c r="G24" s="7">
        <v>4.0</v>
      </c>
      <c r="H24" s="7">
        <v>5.0</v>
      </c>
      <c r="I24" s="7">
        <v>5.0</v>
      </c>
      <c r="J24" s="7">
        <v>4.0</v>
      </c>
      <c r="K24" s="56"/>
      <c r="L24" s="56"/>
      <c r="M24" s="56"/>
      <c r="N24" s="56"/>
      <c r="O24" s="56"/>
      <c r="P24" s="56"/>
      <c r="Q24" s="56"/>
      <c r="R24" s="56"/>
      <c r="S24" s="56"/>
      <c r="T24" s="56"/>
      <c r="U24" s="56"/>
      <c r="V24" s="56"/>
      <c r="W24" s="56"/>
      <c r="X24" s="56"/>
      <c r="Y24" s="56"/>
      <c r="Z24" s="56"/>
      <c r="AA24" s="56"/>
      <c r="AB24" s="56"/>
    </row>
    <row r="25">
      <c r="C25" s="7" t="s">
        <v>23</v>
      </c>
      <c r="D25" s="54" t="s">
        <v>212</v>
      </c>
      <c r="E25" s="74">
        <f>IFERROR(__xludf.DUMMYFUNCTION("COUNTA(SPLIT(D25,"" ""))/COUNTA(SPLIT($B$22,"" ""))"),0.09357652656621729)</f>
        <v>0.09357652657</v>
      </c>
      <c r="F25" s="67">
        <v>5.0</v>
      </c>
      <c r="G25" s="67">
        <v>4.0</v>
      </c>
      <c r="H25" s="67">
        <v>5.0</v>
      </c>
      <c r="I25" s="67">
        <v>5.0</v>
      </c>
      <c r="J25" s="67">
        <v>4.0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213</v>
      </c>
      <c r="E27" s="83">
        <f>IFERROR(__xludf.DUMMYFUNCTION("COUNTA(SPLIT(D27,"" ""))/COUNTA(SPLIT($B$27,"" ""))"),0.19101123595505617)</f>
        <v>0.191011236</v>
      </c>
      <c r="F27" s="7">
        <v>5.0</v>
      </c>
      <c r="G27" s="7">
        <v>5.0</v>
      </c>
      <c r="H27" s="7">
        <v>5.0</v>
      </c>
      <c r="I27" s="7">
        <v>5.0</v>
      </c>
      <c r="J27" s="7">
        <v>5.0</v>
      </c>
      <c r="K27" s="56"/>
      <c r="L27" s="56"/>
      <c r="M27" s="56"/>
      <c r="N27" s="56"/>
      <c r="O27" s="56"/>
      <c r="P27" s="56"/>
      <c r="Q27" s="56"/>
      <c r="R27" s="56"/>
      <c r="S27" s="56"/>
      <c r="T27" s="56"/>
      <c r="U27" s="56"/>
      <c r="V27" s="56"/>
      <c r="W27" s="56"/>
      <c r="X27" s="56"/>
      <c r="Y27" s="56"/>
      <c r="Z27" s="56"/>
      <c r="AA27" s="56"/>
      <c r="AB27" s="56"/>
    </row>
    <row r="28">
      <c r="C28" s="85" t="s">
        <v>22</v>
      </c>
      <c r="D28" s="57" t="s">
        <v>214</v>
      </c>
      <c r="E28" s="86">
        <f>IFERROR(__xludf.DUMMYFUNCTION("COUNTA(SPLIT(D28,"" ""))/COUNTA(SPLIT($B$27,"" ""))"),0.18352059925093633)</f>
        <v>0.1835205993</v>
      </c>
      <c r="F28" s="7">
        <v>5.0</v>
      </c>
      <c r="G28" s="7">
        <v>5.0</v>
      </c>
      <c r="H28" s="7">
        <v>5.0</v>
      </c>
      <c r="I28" s="7">
        <v>4.0</v>
      </c>
      <c r="J28" s="7">
        <v>3.0</v>
      </c>
      <c r="K28" s="56"/>
      <c r="L28" s="56"/>
      <c r="M28" s="56"/>
      <c r="N28" s="56"/>
      <c r="O28" s="56"/>
      <c r="P28" s="56"/>
      <c r="Q28" s="56"/>
      <c r="R28" s="56"/>
      <c r="S28" s="56"/>
      <c r="T28" s="56"/>
      <c r="U28" s="56"/>
      <c r="V28" s="56"/>
      <c r="W28" s="56"/>
      <c r="X28" s="56"/>
      <c r="Y28" s="56"/>
      <c r="Z28" s="56"/>
      <c r="AA28" s="56"/>
      <c r="AB28" s="56"/>
    </row>
    <row r="29">
      <c r="C29" s="85" t="s">
        <v>8</v>
      </c>
      <c r="D29" s="57" t="s">
        <v>215</v>
      </c>
      <c r="E29" s="87">
        <f>IFERROR(__xludf.DUMMYFUNCTION("COUNTA(SPLIT(D29,"" ""))/COUNTA(SPLIT($B$27,"" ""))"),0.2696629213483146)</f>
        <v>0.2696629213</v>
      </c>
      <c r="F29" s="7">
        <v>5.0</v>
      </c>
      <c r="G29" s="7">
        <v>5.0</v>
      </c>
      <c r="H29" s="7">
        <v>5.0</v>
      </c>
      <c r="I29" s="7">
        <v>5.0</v>
      </c>
      <c r="J29" s="7">
        <v>5.0</v>
      </c>
      <c r="K29" s="56"/>
      <c r="L29" s="56"/>
      <c r="M29" s="56"/>
      <c r="N29" s="56"/>
      <c r="O29" s="56"/>
      <c r="P29" s="56"/>
      <c r="Q29" s="56"/>
      <c r="R29" s="56"/>
      <c r="S29" s="56"/>
      <c r="T29" s="56"/>
      <c r="U29" s="56"/>
      <c r="V29" s="56"/>
      <c r="W29" s="56"/>
      <c r="X29" s="56"/>
      <c r="Y29" s="56"/>
      <c r="Z29" s="56"/>
      <c r="AA29" s="56"/>
      <c r="AB29" s="56"/>
    </row>
    <row r="30">
      <c r="C30" s="85" t="s">
        <v>23</v>
      </c>
      <c r="D30" s="57" t="s">
        <v>216</v>
      </c>
      <c r="E30" s="88">
        <f>IFERROR(__xludf.DUMMYFUNCTION("COUNTA(SPLIT(D30,"" ""))/COUNTA(SPLIT($B$27,"" ""))"),0.27091136079900124)</f>
        <v>0.2709113608</v>
      </c>
      <c r="F30" s="7">
        <v>5.0</v>
      </c>
      <c r="G30" s="7">
        <v>5.0</v>
      </c>
      <c r="H30" s="7">
        <v>5.0</v>
      </c>
      <c r="I30" s="7">
        <v>5.0</v>
      </c>
      <c r="J30" s="7">
        <v>5.0</v>
      </c>
      <c r="K30" s="56"/>
      <c r="L30" s="56"/>
      <c r="M30" s="56"/>
      <c r="N30" s="56"/>
      <c r="O30" s="56"/>
      <c r="P30" s="56"/>
      <c r="Q30" s="56"/>
      <c r="R30" s="56"/>
      <c r="S30" s="56"/>
      <c r="T30" s="56"/>
      <c r="U30" s="56"/>
      <c r="V30" s="56"/>
      <c r="W30" s="56"/>
      <c r="X30" s="56"/>
      <c r="Y30" s="56"/>
      <c r="Z30" s="56"/>
      <c r="AA30" s="56"/>
      <c r="AB30" s="56"/>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217</v>
      </c>
      <c r="E32" s="83">
        <f>IFERROR(__xludf.DUMMYFUNCTION("COUNTA(SPLIT(D32,"" ""))/COUNTA(SPLIT($B$32,"" ""))"),0.10749506903353057)</f>
        <v>0.107495069</v>
      </c>
      <c r="F32" s="7">
        <v>5.0</v>
      </c>
      <c r="G32" s="7">
        <v>5.0</v>
      </c>
      <c r="H32" s="7">
        <v>5.0</v>
      </c>
      <c r="I32" s="7">
        <v>5.0</v>
      </c>
      <c r="J32" s="7">
        <v>4.0</v>
      </c>
      <c r="K32" s="56"/>
      <c r="L32" s="56"/>
      <c r="M32" s="56"/>
      <c r="N32" s="56"/>
      <c r="O32" s="56"/>
      <c r="P32" s="56"/>
      <c r="Q32" s="56"/>
      <c r="R32" s="56"/>
      <c r="S32" s="56"/>
      <c r="T32" s="56"/>
      <c r="U32" s="56"/>
      <c r="V32" s="56"/>
      <c r="W32" s="56"/>
      <c r="X32" s="56"/>
      <c r="Y32" s="56"/>
      <c r="Z32" s="56"/>
      <c r="AA32" s="56"/>
      <c r="AB32" s="56"/>
    </row>
    <row r="33">
      <c r="C33" s="85" t="s">
        <v>22</v>
      </c>
      <c r="D33" s="57" t="s">
        <v>218</v>
      </c>
      <c r="E33" s="86">
        <f>IFERROR(__xludf.DUMMYFUNCTION("COUNTA(SPLIT(D33,"" ""))/COUNTA(SPLIT($B$32,"" ""))"),0.11143984220907298)</f>
        <v>0.1114398422</v>
      </c>
      <c r="F33" s="7">
        <v>5.0</v>
      </c>
      <c r="G33" s="7">
        <v>5.0</v>
      </c>
      <c r="H33" s="7">
        <v>5.0</v>
      </c>
      <c r="I33" s="7">
        <v>5.0</v>
      </c>
      <c r="J33" s="7">
        <v>4.0</v>
      </c>
      <c r="K33" s="56"/>
      <c r="L33" s="56"/>
      <c r="M33" s="56"/>
      <c r="N33" s="56"/>
      <c r="O33" s="56"/>
      <c r="P33" s="56"/>
      <c r="Q33" s="56"/>
      <c r="R33" s="56"/>
      <c r="S33" s="56"/>
      <c r="T33" s="56"/>
      <c r="U33" s="56"/>
      <c r="V33" s="56"/>
      <c r="W33" s="56"/>
      <c r="X33" s="56"/>
      <c r="Y33" s="56"/>
      <c r="Z33" s="56"/>
      <c r="AA33" s="56"/>
      <c r="AB33" s="56"/>
    </row>
    <row r="34">
      <c r="C34" s="85" t="s">
        <v>8</v>
      </c>
      <c r="D34" s="57" t="s">
        <v>219</v>
      </c>
      <c r="E34" s="87">
        <f>IFERROR(__xludf.DUMMYFUNCTION("COUNTA(SPLIT(D34,"" ""))/COUNTA(SPLIT($B$32,"" ""))"),0.24358974358974358)</f>
        <v>0.2435897436</v>
      </c>
      <c r="F34" s="7">
        <v>4.0</v>
      </c>
      <c r="G34" s="7">
        <v>5.0</v>
      </c>
      <c r="H34" s="7">
        <v>5.0</v>
      </c>
      <c r="I34" s="7">
        <v>5.0</v>
      </c>
      <c r="J34" s="7">
        <v>4.0</v>
      </c>
      <c r="K34" s="56"/>
      <c r="L34" s="56"/>
      <c r="M34" s="56"/>
      <c r="N34" s="56"/>
      <c r="O34" s="56"/>
      <c r="P34" s="56"/>
      <c r="Q34" s="56"/>
      <c r="R34" s="56"/>
      <c r="S34" s="56"/>
      <c r="T34" s="56"/>
      <c r="U34" s="56"/>
      <c r="V34" s="56"/>
      <c r="W34" s="56"/>
      <c r="X34" s="56"/>
      <c r="Y34" s="56"/>
      <c r="Z34" s="56"/>
      <c r="AA34" s="56"/>
      <c r="AB34" s="56"/>
    </row>
    <row r="35">
      <c r="C35" s="85" t="s">
        <v>23</v>
      </c>
      <c r="D35" s="57" t="s">
        <v>220</v>
      </c>
      <c r="E35" s="88">
        <f>IFERROR(__xludf.DUMMYFUNCTION("COUNTA(SPLIT(D35,"" ""))/COUNTA(SPLIT($B$32,"" ""))"),0.08579881656804733)</f>
        <v>0.08579881657</v>
      </c>
      <c r="F35" s="7">
        <v>5.0</v>
      </c>
      <c r="G35" s="7">
        <v>5.0</v>
      </c>
      <c r="H35" s="7">
        <v>5.0</v>
      </c>
      <c r="I35" s="7">
        <v>5.0</v>
      </c>
      <c r="J35" s="7">
        <v>4.0</v>
      </c>
      <c r="K35" s="56"/>
      <c r="L35" s="56"/>
      <c r="M35" s="56"/>
      <c r="N35" s="56"/>
      <c r="O35" s="56"/>
      <c r="P35" s="56"/>
      <c r="Q35" s="56"/>
      <c r="R35" s="56"/>
      <c r="S35" s="56"/>
      <c r="T35" s="56"/>
      <c r="U35" s="56"/>
      <c r="V35" s="56"/>
      <c r="W35" s="56"/>
      <c r="X35" s="56"/>
      <c r="Y35" s="56"/>
      <c r="Z35" s="56"/>
      <c r="AA35" s="56"/>
      <c r="AB35" s="56"/>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0" t="s">
        <v>62</v>
      </c>
      <c r="C37" s="81" t="s">
        <v>21</v>
      </c>
      <c r="D37" s="82" t="s">
        <v>221</v>
      </c>
      <c r="E37" s="83">
        <f>IFERROR(__xludf.DUMMYFUNCTION("COUNTA(SPLIT(D37,"" ""))/COUNTA(SPLIT($B$37,"" ""))"),0.11789297658862877)</f>
        <v>0.1178929766</v>
      </c>
      <c r="F37" s="7">
        <v>5.0</v>
      </c>
      <c r="G37" s="7">
        <v>5.0</v>
      </c>
      <c r="H37" s="7">
        <v>5.0</v>
      </c>
      <c r="I37" s="7">
        <v>5.0</v>
      </c>
      <c r="J37" s="7">
        <v>3.0</v>
      </c>
      <c r="K37" s="56"/>
      <c r="L37" s="56"/>
      <c r="M37" s="56"/>
      <c r="N37" s="56"/>
      <c r="O37" s="56"/>
      <c r="P37" s="56"/>
      <c r="Q37" s="56"/>
      <c r="R37" s="56"/>
      <c r="S37" s="56"/>
      <c r="T37" s="56"/>
      <c r="U37" s="56"/>
      <c r="V37" s="56"/>
      <c r="W37" s="56"/>
      <c r="X37" s="56"/>
      <c r="Y37" s="56"/>
      <c r="Z37" s="56"/>
      <c r="AA37" s="56"/>
      <c r="AB37" s="56"/>
    </row>
    <row r="38">
      <c r="C38" s="85" t="s">
        <v>22</v>
      </c>
      <c r="D38" s="57" t="s">
        <v>222</v>
      </c>
      <c r="E38" s="86">
        <f>IFERROR(__xludf.DUMMYFUNCTION("COUNTA(SPLIT(D38,"" ""))/COUNTA(SPLIT($B$37,"" ""))"),0.09448160535117058)</f>
        <v>0.09448160535</v>
      </c>
      <c r="F38" s="7">
        <v>5.0</v>
      </c>
      <c r="G38" s="7">
        <v>5.0</v>
      </c>
      <c r="H38" s="7">
        <v>5.0</v>
      </c>
      <c r="I38" s="7">
        <v>4.0</v>
      </c>
      <c r="J38" s="7">
        <v>3.0</v>
      </c>
      <c r="K38" s="56"/>
      <c r="L38" s="56"/>
      <c r="M38" s="56"/>
      <c r="N38" s="56"/>
      <c r="O38" s="56"/>
      <c r="P38" s="56"/>
      <c r="Q38" s="56"/>
      <c r="R38" s="56"/>
      <c r="S38" s="56"/>
      <c r="T38" s="56"/>
      <c r="U38" s="56"/>
      <c r="V38" s="56"/>
      <c r="W38" s="56"/>
      <c r="X38" s="56"/>
      <c r="Y38" s="56"/>
      <c r="Z38" s="56"/>
      <c r="AA38" s="56"/>
      <c r="AB38" s="56"/>
    </row>
    <row r="39">
      <c r="C39" s="85" t="s">
        <v>8</v>
      </c>
      <c r="D39" s="57" t="s">
        <v>223</v>
      </c>
      <c r="E39" s="87">
        <f>IFERROR(__xludf.DUMMYFUNCTION("COUNTA(SPLIT(D39,"" ""))/COUNTA(SPLIT($B$37,"" ""))"),0.17307692307692307)</f>
        <v>0.1730769231</v>
      </c>
      <c r="F39" s="7">
        <v>4.0</v>
      </c>
      <c r="G39" s="7">
        <v>5.0</v>
      </c>
      <c r="H39" s="7">
        <v>5.0</v>
      </c>
      <c r="I39" s="7">
        <v>5.0</v>
      </c>
      <c r="J39" s="7">
        <v>4.0</v>
      </c>
      <c r="K39" s="56"/>
      <c r="L39" s="56"/>
      <c r="M39" s="56"/>
      <c r="N39" s="56"/>
      <c r="O39" s="56"/>
      <c r="P39" s="56"/>
      <c r="Q39" s="56"/>
      <c r="R39" s="56"/>
      <c r="S39" s="56"/>
      <c r="T39" s="56"/>
      <c r="U39" s="56"/>
      <c r="V39" s="56"/>
      <c r="W39" s="56"/>
      <c r="X39" s="56"/>
      <c r="Y39" s="56"/>
      <c r="Z39" s="56"/>
      <c r="AA39" s="56"/>
      <c r="AB39" s="56"/>
    </row>
    <row r="40">
      <c r="C40" s="85" t="s">
        <v>23</v>
      </c>
      <c r="D40" s="57" t="s">
        <v>224</v>
      </c>
      <c r="E40" s="88">
        <f>IFERROR(__xludf.DUMMYFUNCTION("COUNTA(SPLIT(D40,"" ""))/COUNTA(SPLIT($B$37,"" ""))"),0.09364548494983277)</f>
        <v>0.09364548495</v>
      </c>
      <c r="F40" s="7">
        <v>5.0</v>
      </c>
      <c r="G40" s="7">
        <v>5.0</v>
      </c>
      <c r="H40" s="7">
        <v>5.0</v>
      </c>
      <c r="I40" s="7">
        <v>5.0</v>
      </c>
      <c r="J40" s="7">
        <v>4.0</v>
      </c>
      <c r="K40" s="56"/>
      <c r="L40" s="56"/>
      <c r="M40" s="56"/>
      <c r="N40" s="56"/>
      <c r="O40" s="56"/>
      <c r="P40" s="56"/>
      <c r="Q40" s="56"/>
      <c r="R40" s="56"/>
      <c r="S40" s="56"/>
      <c r="T40" s="56"/>
      <c r="U40" s="56"/>
      <c r="V40" s="56"/>
      <c r="W40" s="56"/>
      <c r="X40" s="56"/>
      <c r="Y40" s="56"/>
      <c r="Z40" s="56"/>
      <c r="AA40" s="56"/>
      <c r="AB40" s="56"/>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225</v>
      </c>
      <c r="E42" s="83">
        <f>IFERROR(__xludf.DUMMYFUNCTION("COUNTA(SPLIT(D42,"" ""))/COUNTA(SPLIT($B$42,"" ""))"),0.25598991172761665)</f>
        <v>0.2559899117</v>
      </c>
      <c r="F42" s="7">
        <v>4.0</v>
      </c>
      <c r="G42" s="7">
        <v>4.0</v>
      </c>
      <c r="H42" s="7">
        <v>5.0</v>
      </c>
      <c r="I42" s="7">
        <v>5.0</v>
      </c>
      <c r="J42" s="7">
        <v>4.0</v>
      </c>
      <c r="K42" s="56"/>
      <c r="L42" s="56"/>
      <c r="M42" s="56"/>
      <c r="N42" s="56"/>
      <c r="O42" s="56"/>
      <c r="P42" s="56"/>
      <c r="Q42" s="56"/>
      <c r="R42" s="56"/>
      <c r="S42" s="56"/>
      <c r="T42" s="56"/>
      <c r="U42" s="56"/>
      <c r="V42" s="56"/>
      <c r="W42" s="56"/>
      <c r="X42" s="56"/>
      <c r="Y42" s="56"/>
      <c r="Z42" s="56"/>
      <c r="AA42" s="56"/>
      <c r="AB42" s="56"/>
    </row>
    <row r="43">
      <c r="C43" s="85" t="s">
        <v>22</v>
      </c>
      <c r="D43" s="57" t="s">
        <v>226</v>
      </c>
      <c r="E43" s="86">
        <f>IFERROR(__xludf.DUMMYFUNCTION("COUNTA(SPLIT(D43,"" ""))/COUNTA(SPLIT($B$42,"" ""))"),0.30138713745271123)</f>
        <v>0.3013871375</v>
      </c>
      <c r="F43" s="7">
        <v>3.0</v>
      </c>
      <c r="G43" s="7">
        <v>5.0</v>
      </c>
      <c r="H43" s="7">
        <v>5.0</v>
      </c>
      <c r="I43" s="7">
        <v>3.0</v>
      </c>
      <c r="J43" s="7">
        <v>5.0</v>
      </c>
      <c r="K43" s="56"/>
      <c r="L43" s="56"/>
      <c r="M43" s="56"/>
      <c r="N43" s="56"/>
      <c r="O43" s="56"/>
      <c r="P43" s="56"/>
      <c r="Q43" s="56"/>
      <c r="R43" s="56"/>
      <c r="S43" s="56"/>
      <c r="T43" s="56"/>
      <c r="U43" s="56"/>
      <c r="V43" s="56"/>
      <c r="W43" s="56"/>
      <c r="X43" s="56"/>
      <c r="Y43" s="56"/>
      <c r="Z43" s="56"/>
      <c r="AA43" s="56"/>
      <c r="AB43" s="56"/>
    </row>
    <row r="44">
      <c r="C44" s="85" t="s">
        <v>8</v>
      </c>
      <c r="D44" s="57" t="s">
        <v>227</v>
      </c>
      <c r="E44" s="87">
        <f>IFERROR(__xludf.DUMMYFUNCTION("COUNTA(SPLIT(D44,"" ""))/COUNTA(SPLIT($B$42,"" ""))"),0.3203026481715006)</f>
        <v>0.3203026482</v>
      </c>
      <c r="F44" s="7">
        <v>4.0</v>
      </c>
      <c r="G44" s="7">
        <v>5.0</v>
      </c>
      <c r="H44" s="7">
        <v>5.0</v>
      </c>
      <c r="I44" s="7">
        <v>5.0</v>
      </c>
      <c r="J44" s="7">
        <v>5.0</v>
      </c>
      <c r="K44" s="56"/>
      <c r="L44" s="56"/>
      <c r="M44" s="56"/>
      <c r="N44" s="56"/>
      <c r="O44" s="56"/>
      <c r="P44" s="56"/>
      <c r="Q44" s="56"/>
      <c r="R44" s="56"/>
      <c r="S44" s="56"/>
      <c r="T44" s="56"/>
      <c r="U44" s="56"/>
      <c r="V44" s="56"/>
      <c r="W44" s="56"/>
      <c r="X44" s="56"/>
      <c r="Y44" s="56"/>
      <c r="Z44" s="56"/>
      <c r="AA44" s="56"/>
      <c r="AB44" s="56"/>
    </row>
    <row r="45">
      <c r="C45" s="85" t="s">
        <v>23</v>
      </c>
      <c r="D45" s="57" t="s">
        <v>228</v>
      </c>
      <c r="E45" s="88">
        <f>IFERROR(__xludf.DUMMYFUNCTION("COUNTA(SPLIT(D45,"" ""))/COUNTA(SPLIT($B$42,"" ""))"),0.14880201765447668)</f>
        <v>0.1488020177</v>
      </c>
      <c r="F45" s="7">
        <v>3.0</v>
      </c>
      <c r="G45" s="7">
        <v>5.0</v>
      </c>
      <c r="H45" s="7">
        <v>5.0</v>
      </c>
      <c r="I45" s="7">
        <v>5.0</v>
      </c>
      <c r="J45" s="7">
        <v>4.0</v>
      </c>
      <c r="K45" s="56"/>
      <c r="L45" s="56"/>
      <c r="M45" s="56"/>
      <c r="N45" s="56"/>
      <c r="O45" s="56"/>
      <c r="P45" s="56"/>
      <c r="Q45" s="56"/>
      <c r="R45" s="56"/>
      <c r="S45" s="56"/>
      <c r="T45" s="56"/>
      <c r="U45" s="56"/>
      <c r="V45" s="56"/>
      <c r="W45" s="56"/>
      <c r="X45" s="56"/>
      <c r="Y45" s="56"/>
      <c r="Z45" s="56"/>
      <c r="AA45" s="56"/>
      <c r="AB45" s="56"/>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229</v>
      </c>
      <c r="E47" s="83">
        <f>IFERROR(__xludf.DUMMYFUNCTION("COUNTA(SPLIT(D47,"" ""))/COUNTA(SPLIT($B$47,"" ""))"),0.2309027777777778)</f>
        <v>0.2309027778</v>
      </c>
      <c r="F47" s="7">
        <v>5.0</v>
      </c>
      <c r="G47" s="7">
        <v>5.0</v>
      </c>
      <c r="H47" s="7">
        <v>5.0</v>
      </c>
      <c r="I47" s="7">
        <v>4.0</v>
      </c>
      <c r="J47" s="7">
        <v>5.0</v>
      </c>
      <c r="K47" s="56"/>
      <c r="L47" s="56"/>
      <c r="M47" s="56"/>
      <c r="N47" s="56"/>
      <c r="O47" s="56"/>
      <c r="P47" s="56"/>
      <c r="Q47" s="56"/>
      <c r="R47" s="56"/>
      <c r="S47" s="56"/>
      <c r="T47" s="56"/>
      <c r="U47" s="56"/>
      <c r="V47" s="56"/>
      <c r="W47" s="56"/>
      <c r="X47" s="56"/>
      <c r="Y47" s="56"/>
      <c r="Z47" s="56"/>
      <c r="AA47" s="56"/>
      <c r="AB47" s="56"/>
    </row>
    <row r="48">
      <c r="C48" s="85" t="s">
        <v>22</v>
      </c>
      <c r="D48" s="57" t="s">
        <v>230</v>
      </c>
      <c r="E48" s="86">
        <f>IFERROR(__xludf.DUMMYFUNCTION("COUNTA(SPLIT(D48,"" ""))/COUNTA(SPLIT($B$47,"" ""))"),0.109375)</f>
        <v>0.109375</v>
      </c>
      <c r="F48" s="7">
        <v>4.0</v>
      </c>
      <c r="G48" s="7">
        <v>5.0</v>
      </c>
      <c r="H48" s="7">
        <v>5.0</v>
      </c>
      <c r="I48" s="7">
        <v>3.0</v>
      </c>
      <c r="J48" s="7">
        <v>5.0</v>
      </c>
      <c r="K48" s="56"/>
      <c r="L48" s="56"/>
      <c r="M48" s="56"/>
      <c r="N48" s="56"/>
      <c r="O48" s="56"/>
      <c r="P48" s="56"/>
      <c r="Q48" s="56"/>
      <c r="R48" s="56"/>
      <c r="S48" s="56"/>
      <c r="T48" s="56"/>
      <c r="U48" s="56"/>
      <c r="V48" s="56"/>
      <c r="W48" s="56"/>
      <c r="X48" s="56"/>
      <c r="Y48" s="56"/>
      <c r="Z48" s="56"/>
      <c r="AA48" s="56"/>
      <c r="AB48" s="56"/>
    </row>
    <row r="49">
      <c r="C49" s="85" t="s">
        <v>8</v>
      </c>
      <c r="D49" s="57" t="s">
        <v>231</v>
      </c>
      <c r="E49" s="87">
        <f>IFERROR(__xludf.DUMMYFUNCTION("COUNTA(SPLIT(D49,"" ""))/COUNTA(SPLIT($B$47,"" ""))"),0.20833333333333334)</f>
        <v>0.2083333333</v>
      </c>
      <c r="F49" s="7">
        <v>4.0</v>
      </c>
      <c r="G49" s="7">
        <v>5.0</v>
      </c>
      <c r="H49" s="7">
        <v>5.0</v>
      </c>
      <c r="I49" s="7">
        <v>5.0</v>
      </c>
      <c r="J49" s="7">
        <v>5.0</v>
      </c>
      <c r="K49" s="56"/>
      <c r="L49" s="56"/>
      <c r="M49" s="56"/>
      <c r="N49" s="56"/>
      <c r="O49" s="56"/>
      <c r="P49" s="56"/>
      <c r="Q49" s="56"/>
      <c r="R49" s="56"/>
      <c r="S49" s="56"/>
      <c r="T49" s="56"/>
      <c r="U49" s="56"/>
      <c r="V49" s="56"/>
      <c r="W49" s="56"/>
      <c r="X49" s="56"/>
      <c r="Y49" s="56"/>
      <c r="Z49" s="56"/>
      <c r="AA49" s="56"/>
      <c r="AB49" s="56"/>
    </row>
    <row r="50">
      <c r="C50" s="85" t="s">
        <v>23</v>
      </c>
      <c r="D50" s="57" t="s">
        <v>232</v>
      </c>
      <c r="E50" s="88">
        <f>IFERROR(__xludf.DUMMYFUNCTION("COUNTA(SPLIT(D50,"" ""))/COUNTA(SPLIT($B$47,"" ""))"),0.08506944444444445)</f>
        <v>0.08506944444</v>
      </c>
      <c r="F50" s="7">
        <v>5.0</v>
      </c>
      <c r="G50" s="7">
        <v>5.0</v>
      </c>
      <c r="H50" s="7">
        <v>5.0</v>
      </c>
      <c r="I50" s="7">
        <v>4.0</v>
      </c>
      <c r="J50" s="7">
        <v>4.0</v>
      </c>
      <c r="K50" s="56"/>
      <c r="L50" s="56"/>
      <c r="M50" s="56"/>
      <c r="N50" s="56"/>
      <c r="O50" s="56"/>
      <c r="P50" s="56"/>
      <c r="Q50" s="56"/>
      <c r="R50" s="56"/>
      <c r="S50" s="56"/>
      <c r="T50" s="56"/>
      <c r="U50" s="56"/>
      <c r="V50" s="56"/>
      <c r="W50" s="56"/>
      <c r="X50" s="56"/>
      <c r="Y50" s="56"/>
      <c r="Z50" s="56"/>
      <c r="AA50" s="56"/>
      <c r="AB50" s="56"/>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70" t="s">
        <v>0</v>
      </c>
      <c r="B1" s="71" t="s">
        <v>30</v>
      </c>
      <c r="C1" s="2" t="s">
        <v>2</v>
      </c>
      <c r="D1" s="49" t="s">
        <v>32</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c r="A2" s="72" t="s">
        <v>33</v>
      </c>
      <c r="B2" s="73" t="s">
        <v>34</v>
      </c>
      <c r="C2" s="7" t="s">
        <v>21</v>
      </c>
      <c r="D2" s="54" t="s">
        <v>233</v>
      </c>
      <c r="E2" s="74">
        <f>IFERROR(__xludf.DUMMYFUNCTION("COUNTA(SPLIT(D2,"" ""))/COUNTA(SPLIT($B$2,"" ""))"),0.33503401360544216)</f>
        <v>0.3350340136</v>
      </c>
      <c r="F2" s="7">
        <v>3.0</v>
      </c>
      <c r="G2" s="7">
        <v>5.0</v>
      </c>
      <c r="H2" s="7">
        <v>4.0</v>
      </c>
      <c r="I2" s="7">
        <v>4.0</v>
      </c>
      <c r="J2" s="7">
        <v>4.0</v>
      </c>
      <c r="K2" s="56"/>
      <c r="L2" s="56"/>
      <c r="M2" s="56"/>
      <c r="N2" s="56"/>
      <c r="O2" s="56"/>
      <c r="P2" s="56"/>
      <c r="Q2" s="56"/>
      <c r="R2" s="56"/>
      <c r="S2" s="56"/>
      <c r="T2" s="56"/>
      <c r="U2" s="56"/>
      <c r="V2" s="56"/>
      <c r="W2" s="56"/>
      <c r="X2" s="56"/>
      <c r="Y2" s="56"/>
      <c r="Z2" s="56"/>
      <c r="AA2" s="56"/>
      <c r="AB2" s="56"/>
    </row>
    <row r="3">
      <c r="C3" s="7" t="s">
        <v>22</v>
      </c>
      <c r="D3" s="54" t="s">
        <v>234</v>
      </c>
      <c r="E3" s="74">
        <f>IFERROR(__xludf.DUMMYFUNCTION("COUNTA(SPLIT(D3,"" ""))/COUNTA(SPLIT($B$2,"" ""))"),0.31462585034013607)</f>
        <v>0.3146258503</v>
      </c>
      <c r="F3" s="67">
        <v>3.0</v>
      </c>
      <c r="G3" s="67">
        <v>5.0</v>
      </c>
      <c r="H3" s="67">
        <v>4.0</v>
      </c>
      <c r="I3" s="67">
        <v>4.0</v>
      </c>
      <c r="J3" s="67">
        <v>4.0</v>
      </c>
      <c r="K3" s="56"/>
      <c r="L3" s="56"/>
      <c r="M3" s="56"/>
      <c r="N3" s="56"/>
      <c r="O3" s="56"/>
      <c r="P3" s="56"/>
      <c r="Q3" s="56"/>
      <c r="R3" s="56"/>
      <c r="S3" s="56"/>
      <c r="T3" s="56"/>
      <c r="U3" s="56"/>
      <c r="V3" s="56"/>
      <c r="W3" s="56"/>
      <c r="X3" s="56"/>
      <c r="Y3" s="56"/>
      <c r="Z3" s="56"/>
      <c r="AA3" s="56"/>
      <c r="AB3" s="56"/>
    </row>
    <row r="4">
      <c r="C4" s="7" t="s">
        <v>8</v>
      </c>
      <c r="D4" s="54" t="s">
        <v>235</v>
      </c>
      <c r="E4" s="74">
        <f>IFERROR(__xludf.DUMMYFUNCTION("COUNTA(SPLIT(D4,"" ""))/COUNTA(SPLIT($B$2,"" ""))"),0.27380952380952384)</f>
        <v>0.2738095238</v>
      </c>
      <c r="F4" s="7">
        <v>3.0</v>
      </c>
      <c r="G4" s="7">
        <v>5.0</v>
      </c>
      <c r="H4" s="7">
        <v>5.0</v>
      </c>
      <c r="I4" s="7">
        <v>5.0</v>
      </c>
      <c r="J4" s="7">
        <v>5.0</v>
      </c>
      <c r="K4" s="56"/>
      <c r="L4" s="56"/>
      <c r="M4" s="56"/>
      <c r="N4" s="56"/>
      <c r="O4" s="56"/>
      <c r="P4" s="56"/>
      <c r="Q4" s="56"/>
      <c r="R4" s="56"/>
      <c r="S4" s="56"/>
      <c r="T4" s="56"/>
      <c r="U4" s="56"/>
      <c r="V4" s="56"/>
      <c r="W4" s="56"/>
      <c r="X4" s="56"/>
      <c r="Y4" s="56"/>
      <c r="Z4" s="56"/>
      <c r="AA4" s="56"/>
      <c r="AB4" s="56"/>
    </row>
    <row r="5">
      <c r="C5" s="7" t="s">
        <v>23</v>
      </c>
      <c r="D5" s="54" t="s">
        <v>236</v>
      </c>
      <c r="E5" s="74">
        <f>IFERROR(__xludf.DUMMYFUNCTION("COUNTA(SPLIT(D5,"" ""))/COUNTA(SPLIT($B$2,"" ""))"),0.18877551020408162)</f>
        <v>0.1887755102</v>
      </c>
      <c r="F5" s="67">
        <v>5.0</v>
      </c>
      <c r="G5" s="67">
        <v>5.0</v>
      </c>
      <c r="H5" s="67">
        <v>5.0</v>
      </c>
      <c r="I5" s="67">
        <v>4.0</v>
      </c>
      <c r="J5" s="67">
        <v>4.0</v>
      </c>
      <c r="K5" s="56"/>
      <c r="L5" s="56"/>
      <c r="M5" s="56"/>
      <c r="N5" s="56"/>
      <c r="O5" s="56"/>
      <c r="P5" s="56"/>
      <c r="Q5" s="56"/>
      <c r="R5" s="56"/>
      <c r="S5" s="56"/>
      <c r="T5" s="56"/>
      <c r="U5" s="56"/>
      <c r="V5" s="56"/>
      <c r="W5" s="56"/>
      <c r="X5" s="56"/>
      <c r="Y5" s="56"/>
      <c r="Z5" s="56"/>
      <c r="AA5" s="56"/>
      <c r="AB5" s="56"/>
    </row>
    <row r="6">
      <c r="A6" s="75"/>
      <c r="B6" s="69"/>
      <c r="C6" s="60"/>
      <c r="D6" s="61"/>
      <c r="E6" s="74"/>
      <c r="F6" s="60"/>
      <c r="G6" s="60"/>
      <c r="H6" s="60"/>
      <c r="I6" s="60"/>
      <c r="J6" s="60"/>
      <c r="K6" s="56"/>
      <c r="L6" s="56"/>
      <c r="M6" s="56"/>
      <c r="N6" s="56"/>
      <c r="O6" s="56"/>
      <c r="P6" s="56"/>
      <c r="Q6" s="56"/>
      <c r="R6" s="56"/>
      <c r="S6" s="56"/>
      <c r="T6" s="56"/>
      <c r="U6" s="56"/>
      <c r="V6" s="56"/>
      <c r="W6" s="56"/>
      <c r="X6" s="56"/>
      <c r="Y6" s="56"/>
      <c r="Z6" s="56"/>
      <c r="AA6" s="56"/>
      <c r="AB6" s="56"/>
    </row>
    <row r="7">
      <c r="A7" s="76" t="s">
        <v>37</v>
      </c>
      <c r="B7" s="77" t="s">
        <v>38</v>
      </c>
      <c r="C7" s="64" t="s">
        <v>21</v>
      </c>
      <c r="D7" s="65" t="s">
        <v>237</v>
      </c>
      <c r="E7" s="78">
        <f>IFERROR(__xludf.DUMMYFUNCTION("COUNTA(SPLIT(D7,"" ""))/COUNTA(SPLIT($B$7,"" ""))"),0.34383561643835614)</f>
        <v>0.3438356164</v>
      </c>
      <c r="F7" s="67">
        <v>3.0</v>
      </c>
      <c r="G7" s="67">
        <v>5.0</v>
      </c>
      <c r="H7" s="67">
        <v>5.0</v>
      </c>
      <c r="I7" s="67">
        <v>4.0</v>
      </c>
      <c r="J7" s="67">
        <v>3.0</v>
      </c>
      <c r="K7" s="68"/>
      <c r="L7" s="68"/>
      <c r="M7" s="68"/>
      <c r="N7" s="68"/>
      <c r="O7" s="68"/>
      <c r="P7" s="68"/>
      <c r="Q7" s="68"/>
      <c r="R7" s="68"/>
      <c r="S7" s="68"/>
      <c r="T7" s="68"/>
      <c r="U7" s="68"/>
      <c r="V7" s="68"/>
      <c r="W7" s="68"/>
      <c r="X7" s="68"/>
      <c r="Y7" s="68"/>
      <c r="Z7" s="68"/>
      <c r="AA7" s="68"/>
      <c r="AB7" s="68"/>
    </row>
    <row r="8">
      <c r="C8" s="7" t="s">
        <v>22</v>
      </c>
      <c r="D8" s="54" t="s">
        <v>238</v>
      </c>
      <c r="E8" s="74">
        <f>IFERROR(__xludf.DUMMYFUNCTION("COUNTA(SPLIT(D8,"" ""))/COUNTA(SPLIT($B$7,"" ""))"),0.3287671232876712)</f>
        <v>0.3287671233</v>
      </c>
      <c r="F8" s="7">
        <v>4.0</v>
      </c>
      <c r="G8" s="7">
        <v>5.0</v>
      </c>
      <c r="H8" s="7">
        <v>5.0</v>
      </c>
      <c r="I8" s="7">
        <v>4.0</v>
      </c>
      <c r="J8" s="7">
        <v>3.0</v>
      </c>
      <c r="K8" s="56"/>
      <c r="L8" s="56"/>
      <c r="M8" s="56"/>
      <c r="N8" s="56"/>
      <c r="O8" s="56"/>
      <c r="P8" s="56"/>
      <c r="Q8" s="56"/>
      <c r="R8" s="56"/>
      <c r="S8" s="56"/>
      <c r="T8" s="56"/>
      <c r="U8" s="56"/>
      <c r="V8" s="56"/>
      <c r="W8" s="56"/>
      <c r="X8" s="56"/>
      <c r="Y8" s="56"/>
      <c r="Z8" s="56"/>
      <c r="AA8" s="56"/>
      <c r="AB8" s="56"/>
    </row>
    <row r="9">
      <c r="C9" s="7" t="s">
        <v>8</v>
      </c>
      <c r="D9" s="54" t="s">
        <v>239</v>
      </c>
      <c r="E9" s="74">
        <f>IFERROR(__xludf.DUMMYFUNCTION("COUNTA(SPLIT(D9,"" ""))/COUNTA(SPLIT($B$7,"" ""))"),0.24794520547945206)</f>
        <v>0.2479452055</v>
      </c>
      <c r="F9" s="7">
        <v>3.0</v>
      </c>
      <c r="G9" s="7">
        <v>5.0</v>
      </c>
      <c r="H9" s="7">
        <v>5.0</v>
      </c>
      <c r="I9" s="7">
        <v>4.0</v>
      </c>
      <c r="J9" s="7">
        <v>5.0</v>
      </c>
      <c r="K9" s="56"/>
      <c r="L9" s="56"/>
      <c r="M9" s="56"/>
      <c r="N9" s="56"/>
      <c r="O9" s="56"/>
      <c r="P9" s="56"/>
      <c r="Q9" s="56"/>
      <c r="R9" s="56"/>
      <c r="S9" s="56"/>
      <c r="T9" s="56"/>
      <c r="U9" s="56"/>
      <c r="V9" s="56"/>
      <c r="W9" s="56"/>
      <c r="X9" s="56"/>
      <c r="Y9" s="56"/>
      <c r="Z9" s="56"/>
      <c r="AA9" s="56"/>
      <c r="AB9" s="56"/>
    </row>
    <row r="10">
      <c r="C10" s="7" t="s">
        <v>23</v>
      </c>
      <c r="D10" s="54" t="s">
        <v>240</v>
      </c>
      <c r="E10" s="74">
        <f>IFERROR(__xludf.DUMMYFUNCTION("COUNTA(SPLIT(D10,"" ""))/COUNTA(SPLIT($B$7,"" ""))"),0.16027397260273973)</f>
        <v>0.1602739726</v>
      </c>
      <c r="F10" s="67">
        <v>5.0</v>
      </c>
      <c r="G10" s="67">
        <v>5.0</v>
      </c>
      <c r="H10" s="67">
        <v>5.0</v>
      </c>
      <c r="I10" s="67">
        <v>5.0</v>
      </c>
      <c r="J10" s="67">
        <v>3.0</v>
      </c>
      <c r="K10" s="56"/>
      <c r="L10" s="56"/>
      <c r="M10" s="56"/>
      <c r="N10" s="56"/>
      <c r="O10" s="56"/>
      <c r="P10" s="56"/>
      <c r="Q10" s="56"/>
      <c r="R10" s="56"/>
      <c r="S10" s="56"/>
      <c r="T10" s="56"/>
      <c r="U10" s="56"/>
      <c r="V10" s="56"/>
      <c r="W10" s="56"/>
      <c r="X10" s="56"/>
      <c r="Y10" s="56"/>
      <c r="Z10" s="56"/>
      <c r="AA10" s="56"/>
      <c r="AB10" s="56"/>
    </row>
    <row r="11">
      <c r="A11" s="75"/>
      <c r="B11" s="69"/>
      <c r="C11" s="60"/>
      <c r="D11" s="61"/>
      <c r="E11" s="74"/>
      <c r="F11" s="60"/>
      <c r="G11" s="60"/>
      <c r="H11" s="60"/>
      <c r="I11" s="60"/>
      <c r="J11" s="60"/>
      <c r="K11" s="56"/>
      <c r="L11" s="56"/>
      <c r="M11" s="56"/>
      <c r="N11" s="56"/>
      <c r="O11" s="56"/>
      <c r="P11" s="56"/>
      <c r="Q11" s="56"/>
      <c r="R11" s="56"/>
      <c r="S11" s="56"/>
      <c r="T11" s="56"/>
      <c r="U11" s="56"/>
      <c r="V11" s="56"/>
      <c r="W11" s="56"/>
      <c r="X11" s="56"/>
      <c r="Y11" s="56"/>
      <c r="Z11" s="56"/>
      <c r="AA11" s="56"/>
      <c r="AB11" s="56"/>
    </row>
    <row r="12">
      <c r="A12" s="76" t="s">
        <v>41</v>
      </c>
      <c r="B12" s="77" t="s">
        <v>42</v>
      </c>
      <c r="C12" s="64" t="s">
        <v>21</v>
      </c>
      <c r="D12" s="65" t="s">
        <v>241</v>
      </c>
      <c r="E12" s="78">
        <f>IFERROR(__xludf.DUMMYFUNCTION("COUNTA(SPLIT(D12,"" ""))/COUNTA(SPLIT($B$12,"" ""))"),0.30319148936170215)</f>
        <v>0.3031914894</v>
      </c>
      <c r="F12" s="67">
        <v>5.0</v>
      </c>
      <c r="G12" s="67">
        <v>5.0</v>
      </c>
      <c r="H12" s="67">
        <v>5.0</v>
      </c>
      <c r="I12" s="67">
        <v>4.0</v>
      </c>
      <c r="J12" s="67">
        <v>4.0</v>
      </c>
      <c r="K12" s="68"/>
      <c r="L12" s="68"/>
      <c r="M12" s="68"/>
      <c r="N12" s="68"/>
      <c r="O12" s="68"/>
      <c r="P12" s="68"/>
      <c r="Q12" s="68"/>
      <c r="R12" s="68"/>
      <c r="S12" s="68"/>
      <c r="T12" s="68"/>
      <c r="U12" s="68"/>
      <c r="V12" s="68"/>
      <c r="W12" s="68"/>
      <c r="X12" s="68"/>
      <c r="Y12" s="68"/>
      <c r="Z12" s="68"/>
      <c r="AA12" s="68"/>
      <c r="AB12" s="68"/>
    </row>
    <row r="13">
      <c r="C13" s="7" t="s">
        <v>22</v>
      </c>
      <c r="D13" s="54" t="s">
        <v>242</v>
      </c>
      <c r="E13" s="74">
        <f>IFERROR(__xludf.DUMMYFUNCTION("COUNTA(SPLIT(D13,"" ""))/COUNTA(SPLIT($B$12,"" ""))"),0.3696808510638298)</f>
        <v>0.3696808511</v>
      </c>
      <c r="F13" s="67">
        <v>3.0</v>
      </c>
      <c r="G13" s="67">
        <v>5.0</v>
      </c>
      <c r="H13" s="67">
        <v>5.0</v>
      </c>
      <c r="I13" s="67">
        <v>4.0</v>
      </c>
      <c r="J13" s="67">
        <v>2.0</v>
      </c>
      <c r="K13" s="56"/>
      <c r="L13" s="56"/>
      <c r="M13" s="56"/>
      <c r="N13" s="56"/>
      <c r="O13" s="56"/>
      <c r="P13" s="56"/>
      <c r="Q13" s="56"/>
      <c r="R13" s="56"/>
      <c r="S13" s="56"/>
      <c r="T13" s="56"/>
      <c r="U13" s="56"/>
      <c r="V13" s="56"/>
      <c r="W13" s="56"/>
      <c r="X13" s="56"/>
      <c r="Y13" s="56"/>
      <c r="Z13" s="56"/>
      <c r="AA13" s="56"/>
      <c r="AB13" s="56"/>
    </row>
    <row r="14">
      <c r="C14" s="7" t="s">
        <v>8</v>
      </c>
      <c r="D14" s="54" t="s">
        <v>243</v>
      </c>
      <c r="E14" s="74">
        <f>IFERROR(__xludf.DUMMYFUNCTION("COUNTA(SPLIT(D14,"" ""))/COUNTA(SPLIT($B$12,"" ""))"),0.5425531914893617)</f>
        <v>0.5425531915</v>
      </c>
      <c r="F14" s="7">
        <v>4.0</v>
      </c>
      <c r="G14" s="7">
        <v>5.0</v>
      </c>
      <c r="H14" s="7">
        <v>5.0</v>
      </c>
      <c r="I14" s="7">
        <v>4.0</v>
      </c>
      <c r="J14" s="7">
        <v>4.0</v>
      </c>
      <c r="K14" s="56"/>
      <c r="L14" s="56"/>
      <c r="M14" s="56"/>
      <c r="N14" s="56"/>
      <c r="O14" s="56"/>
      <c r="P14" s="56"/>
      <c r="Q14" s="56"/>
      <c r="R14" s="56"/>
      <c r="S14" s="56"/>
      <c r="T14" s="56"/>
      <c r="U14" s="56"/>
      <c r="V14" s="56"/>
      <c r="W14" s="56"/>
      <c r="X14" s="56"/>
      <c r="Y14" s="56"/>
      <c r="Z14" s="56"/>
      <c r="AA14" s="56"/>
      <c r="AB14" s="56"/>
    </row>
    <row r="15">
      <c r="C15" s="7" t="s">
        <v>23</v>
      </c>
      <c r="D15" s="54" t="s">
        <v>244</v>
      </c>
      <c r="E15" s="74">
        <f>IFERROR(__xludf.DUMMYFUNCTION("COUNTA(SPLIT(D15,"" ""))/COUNTA(SPLIT($B$12,"" ""))"),0.2393617021276596)</f>
        <v>0.2393617021</v>
      </c>
      <c r="F15" s="67">
        <v>5.0</v>
      </c>
      <c r="G15" s="67">
        <v>5.0</v>
      </c>
      <c r="H15" s="67">
        <v>5.0</v>
      </c>
      <c r="I15" s="67">
        <v>4.0</v>
      </c>
      <c r="J15" s="67">
        <v>2.0</v>
      </c>
      <c r="K15" s="56"/>
      <c r="L15" s="56"/>
      <c r="M15" s="56"/>
      <c r="N15" s="56"/>
      <c r="O15" s="56"/>
      <c r="P15" s="56"/>
      <c r="Q15" s="56"/>
      <c r="R15" s="56"/>
      <c r="S15" s="56"/>
      <c r="T15" s="56"/>
      <c r="U15" s="56"/>
      <c r="V15" s="56"/>
      <c r="W15" s="56"/>
      <c r="X15" s="56"/>
      <c r="Y15" s="56"/>
      <c r="Z15" s="56"/>
      <c r="AA15" s="56"/>
      <c r="AB15" s="56"/>
    </row>
    <row r="16">
      <c r="A16" s="75"/>
      <c r="B16" s="69"/>
      <c r="C16" s="60"/>
      <c r="D16" s="61"/>
      <c r="E16" s="74"/>
      <c r="F16" s="60"/>
      <c r="G16" s="60"/>
      <c r="H16" s="60"/>
      <c r="I16" s="60"/>
      <c r="J16" s="60"/>
      <c r="K16" s="56"/>
      <c r="L16" s="56"/>
      <c r="M16" s="56"/>
      <c r="N16" s="56"/>
      <c r="O16" s="56"/>
      <c r="P16" s="56"/>
      <c r="Q16" s="56"/>
      <c r="R16" s="56"/>
      <c r="S16" s="56"/>
      <c r="T16" s="56"/>
      <c r="U16" s="56"/>
      <c r="V16" s="56"/>
      <c r="W16" s="56"/>
      <c r="X16" s="56"/>
      <c r="Y16" s="56"/>
      <c r="Z16" s="56"/>
      <c r="AA16" s="56"/>
      <c r="AB16" s="56"/>
    </row>
    <row r="17">
      <c r="A17" s="76" t="s">
        <v>45</v>
      </c>
      <c r="B17" s="77" t="s">
        <v>46</v>
      </c>
      <c r="C17" s="64" t="s">
        <v>21</v>
      </c>
      <c r="D17" s="65" t="s">
        <v>245</v>
      </c>
      <c r="E17" s="78">
        <f>IFERROR(__xludf.DUMMYFUNCTION("COUNTA(SPLIT(D17,"" ""))/COUNTA(SPLIT($B$17,"" ""))"),0.300561797752809)</f>
        <v>0.3005617978</v>
      </c>
      <c r="F17" s="67">
        <v>5.0</v>
      </c>
      <c r="G17" s="67">
        <v>5.0</v>
      </c>
      <c r="H17" s="67">
        <v>4.0</v>
      </c>
      <c r="I17" s="67">
        <v>2.0</v>
      </c>
      <c r="J17" s="67">
        <v>5.0</v>
      </c>
      <c r="K17" s="68"/>
      <c r="L17" s="68"/>
      <c r="M17" s="68"/>
      <c r="N17" s="68"/>
      <c r="O17" s="68"/>
      <c r="P17" s="68"/>
      <c r="Q17" s="68"/>
      <c r="R17" s="68"/>
      <c r="S17" s="68"/>
      <c r="T17" s="68"/>
      <c r="U17" s="68"/>
      <c r="V17" s="68"/>
      <c r="W17" s="68"/>
      <c r="X17" s="68"/>
      <c r="Y17" s="68"/>
      <c r="Z17" s="68"/>
      <c r="AA17" s="68"/>
      <c r="AB17" s="68"/>
    </row>
    <row r="18">
      <c r="C18" s="7" t="s">
        <v>22</v>
      </c>
      <c r="D18" s="54" t="s">
        <v>246</v>
      </c>
      <c r="E18" s="74">
        <f>IFERROR(__xludf.DUMMYFUNCTION("COUNTA(SPLIT(D18,"" ""))/COUNTA(SPLIT($B$17,"" ""))"),0.2991573033707865)</f>
        <v>0.2991573034</v>
      </c>
      <c r="F18" s="67">
        <v>3.0</v>
      </c>
      <c r="G18" s="67">
        <v>5.0</v>
      </c>
      <c r="H18" s="67">
        <v>5.0</v>
      </c>
      <c r="I18" s="67">
        <v>2.0</v>
      </c>
      <c r="J18" s="67">
        <v>5.0</v>
      </c>
      <c r="K18" s="56"/>
      <c r="L18" s="56"/>
      <c r="M18" s="56"/>
      <c r="N18" s="56"/>
      <c r="O18" s="56"/>
      <c r="P18" s="56"/>
      <c r="Q18" s="56"/>
      <c r="R18" s="56"/>
      <c r="S18" s="56"/>
      <c r="T18" s="56"/>
      <c r="U18" s="56"/>
      <c r="V18" s="56"/>
      <c r="W18" s="56"/>
      <c r="X18" s="56"/>
      <c r="Y18" s="56"/>
      <c r="Z18" s="56"/>
      <c r="AA18" s="56"/>
      <c r="AB18" s="56"/>
    </row>
    <row r="19">
      <c r="C19" s="7" t="s">
        <v>8</v>
      </c>
      <c r="D19" s="54" t="s">
        <v>247</v>
      </c>
      <c r="E19" s="74">
        <f>IFERROR(__xludf.DUMMYFUNCTION("COUNTA(SPLIT(D19,"" ""))/COUNTA(SPLIT($B$17,"" ""))"),0.3398876404494382)</f>
        <v>0.3398876404</v>
      </c>
      <c r="F19" s="7">
        <v>4.0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c r="C20" s="7" t="s">
        <v>23</v>
      </c>
      <c r="D20" s="54" t="s">
        <v>248</v>
      </c>
      <c r="E20" s="74">
        <f>IFERROR(__xludf.DUMMYFUNCTION("COUNTA(SPLIT(D20,"" ""))/COUNTA(SPLIT($B$17,"" ""))"),0.10674157303370786)</f>
        <v>0.106741573</v>
      </c>
      <c r="F20" s="67">
        <v>5.0</v>
      </c>
      <c r="G20" s="67">
        <v>5.0</v>
      </c>
      <c r="H20" s="67">
        <v>5.0</v>
      </c>
      <c r="I20" s="67">
        <v>5.0</v>
      </c>
      <c r="J20" s="67">
        <v>4.0</v>
      </c>
      <c r="K20" s="56"/>
      <c r="L20" s="56"/>
      <c r="M20" s="56"/>
      <c r="N20" s="56"/>
      <c r="O20" s="56"/>
      <c r="P20" s="56"/>
      <c r="Q20" s="56"/>
      <c r="R20" s="56"/>
      <c r="S20" s="56"/>
      <c r="T20" s="56"/>
      <c r="U20" s="56"/>
      <c r="V20" s="56"/>
      <c r="W20" s="56"/>
      <c r="X20" s="56"/>
      <c r="Y20" s="56"/>
      <c r="Z20" s="56"/>
      <c r="AA20" s="56"/>
      <c r="AB20" s="56"/>
    </row>
    <row r="21">
      <c r="A21" s="75"/>
      <c r="B21" s="69"/>
      <c r="C21" s="60"/>
      <c r="D21" s="61"/>
      <c r="E21" s="74"/>
      <c r="F21" s="60"/>
      <c r="G21" s="60"/>
      <c r="H21" s="60"/>
      <c r="I21" s="60"/>
      <c r="J21" s="60"/>
      <c r="K21" s="56"/>
      <c r="L21" s="56"/>
      <c r="M21" s="56"/>
      <c r="N21" s="56"/>
      <c r="O21" s="56"/>
      <c r="P21" s="56"/>
      <c r="Q21" s="56"/>
      <c r="R21" s="56"/>
      <c r="S21" s="56"/>
      <c r="T21" s="56"/>
      <c r="U21" s="56"/>
      <c r="V21" s="56"/>
      <c r="W21" s="56"/>
      <c r="X21" s="56"/>
      <c r="Y21" s="56"/>
      <c r="Z21" s="56"/>
      <c r="AA21" s="56"/>
      <c r="AB21" s="56"/>
    </row>
    <row r="22">
      <c r="A22" s="76" t="s">
        <v>49</v>
      </c>
      <c r="B22" s="77" t="s">
        <v>50</v>
      </c>
      <c r="C22" s="64" t="s">
        <v>21</v>
      </c>
      <c r="D22" s="65" t="s">
        <v>249</v>
      </c>
      <c r="E22" s="78">
        <f>IFERROR(__xludf.DUMMYFUNCTION("COUNTA(SPLIT(D22,"" ""))/COUNTA(SPLIT($B$22,"" ""))"),0.2268041237113402)</f>
        <v>0.2268041237</v>
      </c>
      <c r="F22" s="67">
        <v>3.0</v>
      </c>
      <c r="G22" s="67">
        <v>4.0</v>
      </c>
      <c r="H22" s="67">
        <v>5.0</v>
      </c>
      <c r="I22" s="67">
        <v>4.0</v>
      </c>
      <c r="J22" s="67">
        <v>4.0</v>
      </c>
      <c r="K22" s="68"/>
      <c r="L22" s="68"/>
      <c r="M22" s="68"/>
      <c r="N22" s="68"/>
      <c r="O22" s="68"/>
      <c r="P22" s="68"/>
      <c r="Q22" s="68"/>
      <c r="R22" s="68"/>
      <c r="S22" s="68"/>
      <c r="T22" s="68"/>
      <c r="U22" s="68"/>
      <c r="V22" s="68"/>
      <c r="W22" s="68"/>
      <c r="X22" s="68"/>
      <c r="Y22" s="68"/>
      <c r="Z22" s="68"/>
      <c r="AA22" s="68"/>
      <c r="AB22" s="68"/>
    </row>
    <row r="23">
      <c r="C23" s="7" t="s">
        <v>22</v>
      </c>
      <c r="D23" s="54" t="s">
        <v>250</v>
      </c>
      <c r="E23" s="74">
        <f>IFERROR(__xludf.DUMMYFUNCTION("COUNTA(SPLIT(D23,"" ""))/COUNTA(SPLIT($B$22,"" ""))"),0.21094369547977795)</f>
        <v>0.2109436955</v>
      </c>
      <c r="F23" s="67">
        <v>3.0</v>
      </c>
      <c r="G23" s="67">
        <v>4.0</v>
      </c>
      <c r="H23" s="67">
        <v>5.0</v>
      </c>
      <c r="I23" s="67">
        <v>4.0</v>
      </c>
      <c r="J23" s="67">
        <v>4.0</v>
      </c>
      <c r="K23" s="56"/>
      <c r="L23" s="56"/>
      <c r="M23" s="56"/>
      <c r="N23" s="56"/>
      <c r="O23" s="56"/>
      <c r="P23" s="56"/>
      <c r="Q23" s="56"/>
      <c r="R23" s="56"/>
      <c r="S23" s="56"/>
      <c r="T23" s="56"/>
      <c r="U23" s="56"/>
      <c r="V23" s="56"/>
      <c r="W23" s="56"/>
      <c r="X23" s="56"/>
      <c r="Y23" s="56"/>
      <c r="Z23" s="56"/>
      <c r="AA23" s="56"/>
      <c r="AB23" s="56"/>
    </row>
    <row r="24">
      <c r="C24" s="7" t="s">
        <v>8</v>
      </c>
      <c r="D24" s="54" t="s">
        <v>251</v>
      </c>
      <c r="E24" s="74">
        <f>IFERROR(__xludf.DUMMYFUNCTION("COUNTA(SPLIT(D24,"" ""))/COUNTA(SPLIT($B$22,"" ""))"),0.19904837430610625)</f>
        <v>0.1990483743</v>
      </c>
      <c r="F24" s="7">
        <v>4.0</v>
      </c>
      <c r="G24" s="7">
        <v>5.0</v>
      </c>
      <c r="H24" s="7">
        <v>5.0</v>
      </c>
      <c r="I24" s="7">
        <v>4.0</v>
      </c>
      <c r="J24" s="7">
        <v>4.0</v>
      </c>
      <c r="K24" s="56"/>
      <c r="L24" s="56"/>
      <c r="M24" s="56"/>
      <c r="N24" s="56"/>
      <c r="O24" s="56"/>
      <c r="P24" s="56"/>
      <c r="Q24" s="56"/>
      <c r="R24" s="56"/>
      <c r="S24" s="56"/>
      <c r="T24" s="56"/>
      <c r="U24" s="56"/>
      <c r="V24" s="56"/>
      <c r="W24" s="56"/>
      <c r="X24" s="56"/>
      <c r="Y24" s="56"/>
      <c r="Z24" s="56"/>
      <c r="AA24" s="56"/>
      <c r="AB24" s="56"/>
    </row>
    <row r="25">
      <c r="C25" s="7" t="s">
        <v>23</v>
      </c>
      <c r="D25" s="54" t="s">
        <v>252</v>
      </c>
      <c r="E25" s="74">
        <f>IFERROR(__xludf.DUMMYFUNCTION("COUNTA(SPLIT(D25,"" ""))/COUNTA(SPLIT($B$22,"" ""))"),0.14432989690721648)</f>
        <v>0.1443298969</v>
      </c>
      <c r="F25" s="67">
        <v>5.0</v>
      </c>
      <c r="G25" s="67">
        <v>5.0</v>
      </c>
      <c r="H25" s="67">
        <v>5.0</v>
      </c>
      <c r="I25" s="67">
        <v>5.0</v>
      </c>
      <c r="J25" s="67">
        <v>5.0</v>
      </c>
      <c r="K25" s="56"/>
      <c r="L25" s="56"/>
      <c r="M25" s="56"/>
      <c r="N25" s="56"/>
      <c r="O25" s="56"/>
      <c r="P25" s="56"/>
      <c r="Q25" s="56"/>
      <c r="R25" s="56"/>
      <c r="S25" s="56"/>
      <c r="T25" s="56"/>
      <c r="U25" s="56"/>
      <c r="V25" s="56"/>
      <c r="W25" s="56"/>
      <c r="X25" s="56"/>
      <c r="Y25" s="56"/>
      <c r="Z25" s="56"/>
      <c r="AA25" s="56"/>
      <c r="AB25" s="56"/>
    </row>
    <row r="26">
      <c r="A26" s="75"/>
      <c r="B26" s="69"/>
      <c r="C26" s="60"/>
      <c r="D26" s="61"/>
      <c r="E26" s="69"/>
      <c r="F26" s="60"/>
      <c r="G26" s="60"/>
      <c r="H26" s="60"/>
      <c r="I26" s="60"/>
      <c r="J26" s="60"/>
      <c r="K26" s="56"/>
      <c r="L26" s="56"/>
      <c r="M26" s="56"/>
      <c r="N26" s="56"/>
      <c r="O26" s="56"/>
      <c r="P26" s="56"/>
      <c r="Q26" s="56"/>
      <c r="R26" s="56"/>
      <c r="S26" s="56"/>
      <c r="T26" s="56"/>
      <c r="U26" s="56"/>
      <c r="V26" s="56"/>
      <c r="W26" s="56"/>
      <c r="X26" s="56"/>
      <c r="Y26" s="56"/>
      <c r="Z26" s="56"/>
      <c r="AA26" s="56"/>
      <c r="AB26" s="56"/>
    </row>
    <row r="27">
      <c r="A27" s="79" t="s">
        <v>53</v>
      </c>
      <c r="B27" s="80" t="s">
        <v>54</v>
      </c>
      <c r="C27" s="81" t="s">
        <v>21</v>
      </c>
      <c r="D27" s="82" t="s">
        <v>253</v>
      </c>
      <c r="E27" s="83">
        <f>IFERROR(__xludf.DUMMYFUNCTION("COUNTA(SPLIT(D27,"" ""))/COUNTA(SPLIT($B$27,"" ""))"),0.3945068664169788)</f>
        <v>0.3945068664</v>
      </c>
      <c r="F27" s="7">
        <v>3.0</v>
      </c>
      <c r="G27" s="7">
        <v>5.0</v>
      </c>
      <c r="H27" s="7">
        <v>5.0</v>
      </c>
      <c r="I27" s="7">
        <v>4.0</v>
      </c>
      <c r="J27" s="7">
        <v>3.0</v>
      </c>
      <c r="K27" s="56"/>
      <c r="L27" s="56"/>
      <c r="M27" s="56"/>
      <c r="N27" s="56"/>
      <c r="O27" s="56"/>
      <c r="P27" s="56"/>
      <c r="Q27" s="56"/>
      <c r="R27" s="56"/>
      <c r="S27" s="56"/>
      <c r="T27" s="56"/>
      <c r="U27" s="56"/>
      <c r="V27" s="56"/>
      <c r="W27" s="56"/>
      <c r="X27" s="56"/>
      <c r="Y27" s="56"/>
      <c r="Z27" s="56"/>
      <c r="AA27" s="56"/>
      <c r="AB27" s="56"/>
    </row>
    <row r="28">
      <c r="C28" s="85" t="s">
        <v>22</v>
      </c>
      <c r="D28" s="57" t="s">
        <v>254</v>
      </c>
      <c r="E28" s="86">
        <f>IFERROR(__xludf.DUMMYFUNCTION("COUNTA(SPLIT(D28,"" ""))/COUNTA(SPLIT($B$27,"" ""))"),0.2759051186017478)</f>
        <v>0.2759051186</v>
      </c>
      <c r="F28" s="7">
        <v>2.0</v>
      </c>
      <c r="G28" s="7">
        <v>5.0</v>
      </c>
      <c r="H28" s="7">
        <v>5.0</v>
      </c>
      <c r="I28" s="7">
        <v>4.0</v>
      </c>
      <c r="J28" s="7">
        <v>3.0</v>
      </c>
      <c r="K28" s="56"/>
      <c r="L28" s="56"/>
      <c r="M28" s="56"/>
      <c r="N28" s="56"/>
      <c r="O28" s="56"/>
      <c r="P28" s="56"/>
      <c r="Q28" s="56"/>
      <c r="R28" s="56"/>
      <c r="S28" s="56"/>
      <c r="T28" s="56"/>
      <c r="U28" s="56"/>
      <c r="V28" s="56"/>
      <c r="W28" s="56"/>
      <c r="X28" s="56"/>
      <c r="Y28" s="56"/>
      <c r="Z28" s="56"/>
      <c r="AA28" s="56"/>
      <c r="AB28" s="56"/>
    </row>
    <row r="29">
      <c r="C29" s="85" t="s">
        <v>8</v>
      </c>
      <c r="D29" s="57" t="s">
        <v>255</v>
      </c>
      <c r="E29" s="87">
        <f>IFERROR(__xludf.DUMMYFUNCTION("COUNTA(SPLIT(D29,"" ""))/COUNTA(SPLIT($B$27,"" ""))"),0.21972534332084895)</f>
        <v>0.2197253433</v>
      </c>
      <c r="F29" s="7">
        <v>3.0</v>
      </c>
      <c r="G29" s="7">
        <v>5.0</v>
      </c>
      <c r="H29" s="7">
        <v>5.0</v>
      </c>
      <c r="I29" s="7">
        <v>4.0</v>
      </c>
      <c r="J29" s="7">
        <v>5.0</v>
      </c>
      <c r="K29" s="56"/>
      <c r="L29" s="56"/>
      <c r="M29" s="56"/>
      <c r="N29" s="56"/>
      <c r="O29" s="56"/>
      <c r="P29" s="56"/>
      <c r="Q29" s="56"/>
      <c r="R29" s="56"/>
      <c r="S29" s="56"/>
      <c r="T29" s="56"/>
      <c r="U29" s="56"/>
      <c r="V29" s="56"/>
      <c r="W29" s="56"/>
      <c r="X29" s="56"/>
      <c r="Y29" s="56"/>
      <c r="Z29" s="56"/>
      <c r="AA29" s="56"/>
      <c r="AB29" s="56"/>
    </row>
    <row r="30">
      <c r="C30" s="85" t="s">
        <v>23</v>
      </c>
      <c r="D30" s="57" t="s">
        <v>256</v>
      </c>
      <c r="E30" s="88">
        <f>IFERROR(__xludf.DUMMYFUNCTION("COUNTA(SPLIT(D30,"" ""))/COUNTA(SPLIT($B$27,"" ""))"),0.19101123595505617)</f>
        <v>0.191011236</v>
      </c>
      <c r="F30" s="7">
        <v>4.0</v>
      </c>
      <c r="G30" s="7">
        <v>5.0</v>
      </c>
      <c r="H30" s="7">
        <v>5.0</v>
      </c>
      <c r="I30" s="7">
        <v>4.0</v>
      </c>
      <c r="J30" s="7">
        <v>3.0</v>
      </c>
      <c r="K30" s="56"/>
      <c r="L30" s="56"/>
      <c r="M30" s="56"/>
      <c r="N30" s="56"/>
      <c r="O30" s="56"/>
      <c r="P30" s="56"/>
      <c r="Q30" s="56"/>
      <c r="R30" s="56"/>
      <c r="S30" s="56"/>
      <c r="T30" s="56"/>
      <c r="U30" s="56"/>
      <c r="V30" s="56"/>
      <c r="W30" s="56"/>
      <c r="X30" s="56"/>
      <c r="Y30" s="56"/>
      <c r="Z30" s="56"/>
      <c r="AA30" s="56"/>
      <c r="AB30" s="56"/>
    </row>
    <row r="31">
      <c r="A31" s="75"/>
      <c r="B31" s="69"/>
      <c r="C31" s="60"/>
      <c r="D31" s="61"/>
      <c r="E31" s="69"/>
      <c r="F31" s="60"/>
      <c r="G31" s="60"/>
      <c r="H31" s="60"/>
      <c r="I31" s="60"/>
      <c r="J31" s="60"/>
      <c r="K31" s="56"/>
      <c r="L31" s="56"/>
      <c r="M31" s="56"/>
      <c r="N31" s="56"/>
      <c r="O31" s="56"/>
      <c r="P31" s="56"/>
      <c r="Q31" s="56"/>
      <c r="R31" s="56"/>
      <c r="S31" s="56"/>
      <c r="T31" s="56"/>
      <c r="U31" s="56"/>
      <c r="V31" s="56"/>
      <c r="W31" s="56"/>
      <c r="X31" s="56"/>
      <c r="Y31" s="56"/>
      <c r="Z31" s="56"/>
      <c r="AA31" s="56"/>
      <c r="AB31" s="56"/>
    </row>
    <row r="32">
      <c r="A32" s="89" t="s">
        <v>57</v>
      </c>
      <c r="B32" s="90" t="s">
        <v>58</v>
      </c>
      <c r="C32" s="81" t="s">
        <v>21</v>
      </c>
      <c r="D32" s="82" t="s">
        <v>257</v>
      </c>
      <c r="E32" s="83">
        <f>IFERROR(__xludf.DUMMYFUNCTION("COUNTA(SPLIT(D32,"" ""))/COUNTA(SPLIT($B$32,"" ""))"),0.26331360946745563)</f>
        <v>0.2633136095</v>
      </c>
      <c r="F32" s="7">
        <v>3.0</v>
      </c>
      <c r="G32" s="7">
        <v>5.0</v>
      </c>
      <c r="H32" s="7">
        <v>5.0</v>
      </c>
      <c r="I32" s="7">
        <v>5.0</v>
      </c>
      <c r="J32" s="7">
        <v>4.0</v>
      </c>
      <c r="K32" s="56"/>
      <c r="L32" s="56"/>
      <c r="M32" s="56"/>
      <c r="N32" s="56"/>
      <c r="O32" s="56"/>
      <c r="P32" s="56"/>
      <c r="Q32" s="56"/>
      <c r="R32" s="56"/>
      <c r="S32" s="56"/>
      <c r="T32" s="56"/>
      <c r="U32" s="56"/>
      <c r="V32" s="56"/>
      <c r="W32" s="56"/>
      <c r="X32" s="56"/>
      <c r="Y32" s="56"/>
      <c r="Z32" s="56"/>
      <c r="AA32" s="56"/>
      <c r="AB32" s="56"/>
    </row>
    <row r="33">
      <c r="C33" s="85" t="s">
        <v>22</v>
      </c>
      <c r="D33" s="57" t="s">
        <v>258</v>
      </c>
      <c r="E33" s="86">
        <f>IFERROR(__xludf.DUMMYFUNCTION("COUNTA(SPLIT(D33,"" ""))/COUNTA(SPLIT($B$32,"" ""))"),0.23767258382642997)</f>
        <v>0.2376725838</v>
      </c>
      <c r="F33" s="7">
        <v>3.0</v>
      </c>
      <c r="G33" s="7">
        <v>5.0</v>
      </c>
      <c r="H33" s="7">
        <v>5.0</v>
      </c>
      <c r="I33" s="7">
        <v>4.0</v>
      </c>
      <c r="J33" s="7">
        <v>4.0</v>
      </c>
      <c r="K33" s="56"/>
      <c r="L33" s="56"/>
      <c r="M33" s="56"/>
      <c r="N33" s="56"/>
      <c r="O33" s="56"/>
      <c r="P33" s="56"/>
      <c r="Q33" s="56"/>
      <c r="R33" s="56"/>
      <c r="S33" s="56"/>
      <c r="T33" s="56"/>
      <c r="U33" s="56"/>
      <c r="V33" s="56"/>
      <c r="W33" s="56"/>
      <c r="X33" s="56"/>
      <c r="Y33" s="56"/>
      <c r="Z33" s="56"/>
      <c r="AA33" s="56"/>
      <c r="AB33" s="56"/>
    </row>
    <row r="34">
      <c r="C34" s="85" t="s">
        <v>8</v>
      </c>
      <c r="D34" s="57" t="s">
        <v>259</v>
      </c>
      <c r="E34" s="87">
        <f>IFERROR(__xludf.DUMMYFUNCTION("COUNTA(SPLIT(D34,"" ""))/COUNTA(SPLIT($B$32,"" ""))"),0.16863905325443787)</f>
        <v>0.1686390533</v>
      </c>
      <c r="F34" s="7">
        <v>4.0</v>
      </c>
      <c r="G34" s="7">
        <v>5.0</v>
      </c>
      <c r="H34" s="7">
        <v>5.0</v>
      </c>
      <c r="I34" s="7">
        <v>4.0</v>
      </c>
      <c r="J34" s="7">
        <v>4.0</v>
      </c>
      <c r="K34" s="56"/>
      <c r="L34" s="56"/>
      <c r="M34" s="56"/>
      <c r="N34" s="56"/>
      <c r="O34" s="56"/>
      <c r="P34" s="56"/>
      <c r="Q34" s="56"/>
      <c r="R34" s="56"/>
      <c r="S34" s="56"/>
      <c r="T34" s="56"/>
      <c r="U34" s="56"/>
      <c r="V34" s="56"/>
      <c r="W34" s="56"/>
      <c r="X34" s="56"/>
      <c r="Y34" s="56"/>
      <c r="Z34" s="56"/>
      <c r="AA34" s="56"/>
      <c r="AB34" s="56"/>
    </row>
    <row r="35">
      <c r="C35" s="85" t="s">
        <v>23</v>
      </c>
      <c r="D35" s="57" t="s">
        <v>260</v>
      </c>
      <c r="E35" s="88">
        <f>IFERROR(__xludf.DUMMYFUNCTION("COUNTA(SPLIT(D35,"" ""))/COUNTA(SPLIT($B$32,"" ""))"),0.21005917159763313)</f>
        <v>0.2100591716</v>
      </c>
      <c r="F35" s="7">
        <v>3.0</v>
      </c>
      <c r="G35" s="7">
        <v>5.0</v>
      </c>
      <c r="H35" s="7">
        <v>5.0</v>
      </c>
      <c r="I35" s="7">
        <v>4.0</v>
      </c>
      <c r="J35" s="7">
        <v>4.0</v>
      </c>
      <c r="K35" s="56"/>
      <c r="L35" s="56"/>
      <c r="M35" s="56"/>
      <c r="N35" s="56"/>
      <c r="O35" s="56"/>
      <c r="P35" s="56"/>
      <c r="Q35" s="56"/>
      <c r="R35" s="56"/>
      <c r="S35" s="56"/>
      <c r="T35" s="56"/>
      <c r="U35" s="56"/>
      <c r="V35" s="56"/>
      <c r="W35" s="56"/>
      <c r="X35" s="56"/>
      <c r="Y35" s="56"/>
      <c r="Z35" s="56"/>
      <c r="AA35" s="56"/>
      <c r="AB35" s="56"/>
    </row>
    <row r="36">
      <c r="A36" s="75"/>
      <c r="B36" s="69"/>
      <c r="C36" s="60"/>
      <c r="D36" s="61"/>
      <c r="E36" s="69"/>
      <c r="F36" s="60"/>
      <c r="G36" s="60"/>
      <c r="H36" s="60"/>
      <c r="I36" s="60"/>
      <c r="J36" s="60"/>
      <c r="K36" s="56"/>
      <c r="L36" s="56"/>
      <c r="M36" s="56"/>
      <c r="N36" s="56"/>
      <c r="O36" s="56"/>
      <c r="P36" s="56"/>
      <c r="Q36" s="56"/>
      <c r="R36" s="56"/>
      <c r="S36" s="56"/>
      <c r="T36" s="56"/>
      <c r="U36" s="56"/>
      <c r="V36" s="56"/>
      <c r="W36" s="56"/>
      <c r="X36" s="56"/>
      <c r="Y36" s="56"/>
      <c r="Z36" s="56"/>
      <c r="AA36" s="56"/>
      <c r="AB36" s="56"/>
    </row>
    <row r="37">
      <c r="A37" s="89" t="s">
        <v>61</v>
      </c>
      <c r="B37" s="91" t="s">
        <v>62</v>
      </c>
      <c r="C37" s="81" t="s">
        <v>21</v>
      </c>
      <c r="D37" s="82" t="s">
        <v>261</v>
      </c>
      <c r="E37" s="83">
        <f>IFERROR(__xludf.DUMMYFUNCTION("COUNTA(SPLIT(D37,"" ""))/COUNTA(SPLIT($B$37,"" ""))"),0.21822742474916387)</f>
        <v>0.2182274247</v>
      </c>
      <c r="F37" s="7">
        <v>3.0</v>
      </c>
      <c r="G37" s="7">
        <v>5.0</v>
      </c>
      <c r="H37" s="7">
        <v>5.0</v>
      </c>
      <c r="I37" s="7">
        <v>3.0</v>
      </c>
      <c r="J37" s="7">
        <v>4.0</v>
      </c>
      <c r="K37" s="56"/>
      <c r="L37" s="56"/>
      <c r="M37" s="56"/>
      <c r="N37" s="56"/>
      <c r="O37" s="56"/>
      <c r="P37" s="56"/>
      <c r="Q37" s="56"/>
      <c r="R37" s="56"/>
      <c r="S37" s="56"/>
      <c r="T37" s="56"/>
      <c r="U37" s="56"/>
      <c r="V37" s="56"/>
      <c r="W37" s="56"/>
      <c r="X37" s="56"/>
      <c r="Y37" s="56"/>
      <c r="Z37" s="56"/>
      <c r="AA37" s="56"/>
      <c r="AB37" s="56"/>
    </row>
    <row r="38">
      <c r="C38" s="85" t="s">
        <v>22</v>
      </c>
      <c r="D38" s="57" t="s">
        <v>262</v>
      </c>
      <c r="E38" s="86">
        <f>IFERROR(__xludf.DUMMYFUNCTION("COUNTA(SPLIT(D38,"" ""))/COUNTA(SPLIT($B$37,"" ""))"),0.1797658862876254)</f>
        <v>0.1797658863</v>
      </c>
      <c r="F38" s="7">
        <v>3.0</v>
      </c>
      <c r="G38" s="7">
        <v>5.0</v>
      </c>
      <c r="H38" s="7">
        <v>5.0</v>
      </c>
      <c r="I38" s="7">
        <v>3.0</v>
      </c>
      <c r="J38" s="7">
        <v>3.0</v>
      </c>
      <c r="K38" s="56"/>
      <c r="L38" s="56"/>
      <c r="M38" s="56"/>
      <c r="N38" s="56"/>
      <c r="O38" s="56"/>
      <c r="P38" s="56"/>
      <c r="Q38" s="56"/>
      <c r="R38" s="56"/>
      <c r="S38" s="56"/>
      <c r="T38" s="56"/>
      <c r="U38" s="56"/>
      <c r="V38" s="56"/>
      <c r="W38" s="56"/>
      <c r="X38" s="56"/>
      <c r="Y38" s="56"/>
      <c r="Z38" s="56"/>
      <c r="AA38" s="56"/>
      <c r="AB38" s="56"/>
    </row>
    <row r="39">
      <c r="C39" s="85" t="s">
        <v>8</v>
      </c>
      <c r="D39" s="57" t="s">
        <v>263</v>
      </c>
      <c r="E39" s="87">
        <f>IFERROR(__xludf.DUMMYFUNCTION("COUNTA(SPLIT(D39,"" ""))/COUNTA(SPLIT($B$37,"" ""))"),0.14715719063545152)</f>
        <v>0.1471571906</v>
      </c>
      <c r="F39" s="7">
        <v>5.0</v>
      </c>
      <c r="G39" s="7">
        <v>5.0</v>
      </c>
      <c r="H39" s="7">
        <v>5.0</v>
      </c>
      <c r="I39" s="7">
        <v>4.0</v>
      </c>
      <c r="J39" s="7">
        <v>5.0</v>
      </c>
      <c r="K39" s="56"/>
      <c r="L39" s="56"/>
      <c r="M39" s="56"/>
      <c r="N39" s="56"/>
      <c r="O39" s="56"/>
      <c r="P39" s="56"/>
      <c r="Q39" s="56"/>
      <c r="R39" s="56"/>
      <c r="S39" s="56"/>
      <c r="T39" s="56"/>
      <c r="U39" s="56"/>
      <c r="V39" s="56"/>
      <c r="W39" s="56"/>
      <c r="X39" s="56"/>
      <c r="Y39" s="56"/>
      <c r="Z39" s="56"/>
      <c r="AA39" s="56"/>
      <c r="AB39" s="56"/>
    </row>
    <row r="40">
      <c r="C40" s="85" t="s">
        <v>23</v>
      </c>
      <c r="D40" s="57" t="s">
        <v>264</v>
      </c>
      <c r="E40" s="88">
        <f>IFERROR(__xludf.DUMMYFUNCTION("COUNTA(SPLIT(D40,"" ""))/COUNTA(SPLIT($B$37,"" ""))"),0.08528428093645485)</f>
        <v>0.08528428094</v>
      </c>
      <c r="F40" s="7">
        <v>5.0</v>
      </c>
      <c r="G40" s="7">
        <v>5.0</v>
      </c>
      <c r="H40" s="7">
        <v>5.0</v>
      </c>
      <c r="I40" s="7">
        <v>4.0</v>
      </c>
      <c r="J40" s="7">
        <v>3.0</v>
      </c>
      <c r="K40" s="56"/>
      <c r="L40" s="56"/>
      <c r="M40" s="56"/>
      <c r="N40" s="56"/>
      <c r="O40" s="56"/>
      <c r="P40" s="56"/>
      <c r="Q40" s="56"/>
      <c r="R40" s="56"/>
      <c r="S40" s="56"/>
      <c r="T40" s="56"/>
      <c r="U40" s="56"/>
      <c r="V40" s="56"/>
      <c r="W40" s="56"/>
      <c r="X40" s="56"/>
      <c r="Y40" s="56"/>
      <c r="Z40" s="56"/>
      <c r="AA40" s="56"/>
      <c r="AB40" s="56"/>
    </row>
    <row r="41">
      <c r="A41" s="75"/>
      <c r="B41" s="69"/>
      <c r="C41" s="60"/>
      <c r="D41" s="61"/>
      <c r="E41" s="69"/>
      <c r="F41" s="60"/>
      <c r="G41" s="60"/>
      <c r="H41" s="60"/>
      <c r="I41" s="60"/>
      <c r="J41" s="60"/>
      <c r="K41" s="56"/>
      <c r="L41" s="56"/>
      <c r="M41" s="56"/>
      <c r="N41" s="56"/>
      <c r="O41" s="56"/>
      <c r="P41" s="56"/>
      <c r="Q41" s="56"/>
      <c r="R41" s="56"/>
      <c r="S41" s="56"/>
      <c r="T41" s="56"/>
      <c r="U41" s="56"/>
      <c r="V41" s="56"/>
      <c r="W41" s="56"/>
      <c r="X41" s="56"/>
      <c r="Y41" s="56"/>
      <c r="Z41" s="56"/>
      <c r="AA41" s="56"/>
      <c r="AB41" s="56"/>
    </row>
    <row r="42">
      <c r="A42" s="89" t="s">
        <v>65</v>
      </c>
      <c r="B42" s="90" t="s">
        <v>66</v>
      </c>
      <c r="C42" s="81" t="s">
        <v>21</v>
      </c>
      <c r="D42" s="82" t="s">
        <v>265</v>
      </c>
      <c r="E42" s="83">
        <f>IFERROR(__xludf.DUMMYFUNCTION("COUNTA(SPLIT(D42,"" ""))/COUNTA(SPLIT($B$42,"" ""))"),0.29760403530895335)</f>
        <v>0.2976040353</v>
      </c>
      <c r="F42" s="7">
        <v>5.0</v>
      </c>
      <c r="G42" s="7">
        <v>5.0</v>
      </c>
      <c r="H42" s="7">
        <v>5.0</v>
      </c>
      <c r="I42" s="7">
        <v>4.0</v>
      </c>
      <c r="J42" s="7">
        <v>5.0</v>
      </c>
      <c r="K42" s="56"/>
      <c r="L42" s="56"/>
      <c r="M42" s="56"/>
      <c r="N42" s="56"/>
      <c r="O42" s="56"/>
      <c r="P42" s="56"/>
      <c r="Q42" s="56"/>
      <c r="R42" s="56"/>
      <c r="S42" s="56"/>
      <c r="T42" s="56"/>
      <c r="U42" s="56"/>
      <c r="V42" s="56"/>
      <c r="W42" s="56"/>
      <c r="X42" s="56"/>
      <c r="Y42" s="56"/>
      <c r="Z42" s="56"/>
      <c r="AA42" s="56"/>
      <c r="AB42" s="56"/>
    </row>
    <row r="43">
      <c r="C43" s="85" t="s">
        <v>22</v>
      </c>
      <c r="D43" s="57" t="s">
        <v>266</v>
      </c>
      <c r="E43" s="86">
        <f>IFERROR(__xludf.DUMMYFUNCTION("COUNTA(SPLIT(D43,"" ""))/COUNTA(SPLIT($B$42,"" ""))"),0.2786885245901639)</f>
        <v>0.2786885246</v>
      </c>
      <c r="F43" s="7">
        <v>3.0</v>
      </c>
      <c r="G43" s="7">
        <v>5.0</v>
      </c>
      <c r="H43" s="7">
        <v>5.0</v>
      </c>
      <c r="I43" s="7">
        <v>4.0</v>
      </c>
      <c r="J43" s="7">
        <v>4.0</v>
      </c>
      <c r="K43" s="56"/>
      <c r="L43" s="56"/>
      <c r="M43" s="56"/>
      <c r="N43" s="56"/>
      <c r="O43" s="56"/>
      <c r="P43" s="56"/>
      <c r="Q43" s="56"/>
      <c r="R43" s="56"/>
      <c r="S43" s="56"/>
      <c r="T43" s="56"/>
      <c r="U43" s="56"/>
      <c r="V43" s="56"/>
      <c r="W43" s="56"/>
      <c r="X43" s="56"/>
      <c r="Y43" s="56"/>
      <c r="Z43" s="56"/>
      <c r="AA43" s="56"/>
      <c r="AB43" s="56"/>
    </row>
    <row r="44">
      <c r="C44" s="85" t="s">
        <v>8</v>
      </c>
      <c r="D44" s="57" t="s">
        <v>267</v>
      </c>
      <c r="E44" s="87">
        <f>IFERROR(__xludf.DUMMYFUNCTION("COUNTA(SPLIT(D44,"" ""))/COUNTA(SPLIT($B$42,"" ""))"),0.2812105926860025)</f>
        <v>0.2812105927</v>
      </c>
      <c r="F44" s="7">
        <v>3.0</v>
      </c>
      <c r="G44" s="7">
        <v>5.0</v>
      </c>
      <c r="H44" s="7">
        <v>5.0</v>
      </c>
      <c r="I44" s="7">
        <v>4.0</v>
      </c>
      <c r="J44" s="7">
        <v>5.0</v>
      </c>
      <c r="K44" s="56"/>
      <c r="L44" s="56"/>
      <c r="M44" s="56"/>
      <c r="N44" s="56"/>
      <c r="O44" s="56"/>
      <c r="P44" s="56"/>
      <c r="Q44" s="56"/>
      <c r="R44" s="56"/>
      <c r="S44" s="56"/>
      <c r="T44" s="56"/>
      <c r="U44" s="56"/>
      <c r="V44" s="56"/>
      <c r="W44" s="56"/>
      <c r="X44" s="56"/>
      <c r="Y44" s="56"/>
      <c r="Z44" s="56"/>
      <c r="AA44" s="56"/>
      <c r="AB44" s="56"/>
    </row>
    <row r="45">
      <c r="C45" s="85" t="s">
        <v>23</v>
      </c>
      <c r="D45" s="57" t="s">
        <v>268</v>
      </c>
      <c r="E45" s="88">
        <f>IFERROR(__xludf.DUMMYFUNCTION("COUNTA(SPLIT(D45,"" ""))/COUNTA(SPLIT($B$42,"" ""))"),0.19798234552332913)</f>
        <v>0.1979823455</v>
      </c>
      <c r="F45" s="7">
        <v>3.0</v>
      </c>
      <c r="G45" s="7">
        <v>5.0</v>
      </c>
      <c r="H45" s="7">
        <v>5.0</v>
      </c>
      <c r="I45" s="7">
        <v>4.0</v>
      </c>
      <c r="J45" s="7">
        <v>4.0</v>
      </c>
      <c r="K45" s="56"/>
      <c r="L45" s="56"/>
      <c r="M45" s="56"/>
      <c r="N45" s="56"/>
      <c r="O45" s="56"/>
      <c r="P45" s="56"/>
      <c r="Q45" s="56"/>
      <c r="R45" s="56"/>
      <c r="S45" s="56"/>
      <c r="T45" s="56"/>
      <c r="U45" s="56"/>
      <c r="V45" s="56"/>
      <c r="W45" s="56"/>
      <c r="X45" s="56"/>
      <c r="Y45" s="56"/>
      <c r="Z45" s="56"/>
      <c r="AA45" s="56"/>
      <c r="AB45" s="56"/>
    </row>
    <row r="46">
      <c r="A46" s="75"/>
      <c r="B46" s="69"/>
      <c r="C46" s="60"/>
      <c r="D46" s="61"/>
      <c r="E46" s="69"/>
      <c r="F46" s="60"/>
      <c r="G46" s="60"/>
      <c r="H46" s="60"/>
      <c r="I46" s="60"/>
      <c r="J46" s="60"/>
      <c r="K46" s="56"/>
      <c r="L46" s="56"/>
      <c r="M46" s="56"/>
      <c r="N46" s="56"/>
      <c r="O46" s="56"/>
      <c r="P46" s="56"/>
      <c r="Q46" s="56"/>
      <c r="R46" s="56"/>
      <c r="S46" s="56"/>
      <c r="T46" s="56"/>
      <c r="U46" s="56"/>
      <c r="V46" s="56"/>
      <c r="W46" s="56"/>
      <c r="X46" s="56"/>
      <c r="Y46" s="56"/>
      <c r="Z46" s="56"/>
      <c r="AA46" s="56"/>
      <c r="AB46" s="56"/>
    </row>
    <row r="47">
      <c r="A47" s="89" t="s">
        <v>69</v>
      </c>
      <c r="B47" s="90" t="s">
        <v>70</v>
      </c>
      <c r="C47" s="81" t="s">
        <v>21</v>
      </c>
      <c r="D47" s="82" t="s">
        <v>269</v>
      </c>
      <c r="E47" s="83">
        <f>IFERROR(__xludf.DUMMYFUNCTION("COUNTA(SPLIT(D47,"" ""))/COUNTA(SPLIT($B$47,"" ""))"),0.2586805555555556)</f>
        <v>0.2586805556</v>
      </c>
      <c r="F47" s="7">
        <v>3.0</v>
      </c>
      <c r="G47" s="7">
        <v>5.0</v>
      </c>
      <c r="H47" s="7">
        <v>5.0</v>
      </c>
      <c r="I47" s="7">
        <v>3.0</v>
      </c>
      <c r="J47" s="7">
        <v>4.0</v>
      </c>
      <c r="K47" s="56"/>
      <c r="L47" s="56"/>
      <c r="M47" s="56"/>
      <c r="N47" s="56"/>
      <c r="O47" s="56"/>
      <c r="P47" s="56"/>
      <c r="Q47" s="56"/>
      <c r="R47" s="56"/>
      <c r="S47" s="56"/>
      <c r="T47" s="56"/>
      <c r="U47" s="56"/>
      <c r="V47" s="56"/>
      <c r="W47" s="56"/>
      <c r="X47" s="56"/>
      <c r="Y47" s="56"/>
      <c r="Z47" s="56"/>
      <c r="AA47" s="56"/>
      <c r="AB47" s="56"/>
    </row>
    <row r="48">
      <c r="C48" s="85" t="s">
        <v>22</v>
      </c>
      <c r="D48" s="57" t="s">
        <v>270</v>
      </c>
      <c r="E48" s="86">
        <f>IFERROR(__xludf.DUMMYFUNCTION("COUNTA(SPLIT(D48,"" ""))/COUNTA(SPLIT($B$47,"" ""))"),0.2769097222222222)</f>
        <v>0.2769097222</v>
      </c>
      <c r="F48" s="7">
        <v>3.0</v>
      </c>
      <c r="G48" s="7">
        <v>5.0</v>
      </c>
      <c r="H48" s="7">
        <v>5.0</v>
      </c>
      <c r="I48" s="7">
        <v>3.0</v>
      </c>
      <c r="J48" s="7">
        <v>5.0</v>
      </c>
      <c r="K48" s="56"/>
      <c r="L48" s="56"/>
      <c r="M48" s="56"/>
      <c r="N48" s="56"/>
      <c r="O48" s="56"/>
      <c r="P48" s="56"/>
      <c r="Q48" s="56"/>
      <c r="R48" s="56"/>
      <c r="S48" s="56"/>
      <c r="T48" s="56"/>
      <c r="U48" s="56"/>
      <c r="V48" s="56"/>
      <c r="W48" s="56"/>
      <c r="X48" s="56"/>
      <c r="Y48" s="56"/>
      <c r="Z48" s="56"/>
      <c r="AA48" s="56"/>
      <c r="AB48" s="56"/>
    </row>
    <row r="49">
      <c r="C49" s="85" t="s">
        <v>8</v>
      </c>
      <c r="D49" s="57" t="s">
        <v>271</v>
      </c>
      <c r="E49" s="87">
        <f>IFERROR(__xludf.DUMMYFUNCTION("COUNTA(SPLIT(D49,"" ""))/COUNTA(SPLIT($B$47,"" ""))"),0.3185763888888889)</f>
        <v>0.3185763889</v>
      </c>
      <c r="F49" s="7">
        <v>3.0</v>
      </c>
      <c r="G49" s="7">
        <v>5.0</v>
      </c>
      <c r="H49" s="7">
        <v>5.0</v>
      </c>
      <c r="I49" s="7">
        <v>4.0</v>
      </c>
      <c r="J49" s="7">
        <v>5.0</v>
      </c>
      <c r="K49" s="56"/>
      <c r="L49" s="56"/>
      <c r="M49" s="56"/>
      <c r="N49" s="56"/>
      <c r="O49" s="56"/>
      <c r="P49" s="56"/>
      <c r="Q49" s="56"/>
      <c r="R49" s="56"/>
      <c r="S49" s="56"/>
      <c r="T49" s="56"/>
      <c r="U49" s="56"/>
      <c r="V49" s="56"/>
      <c r="W49" s="56"/>
      <c r="X49" s="56"/>
      <c r="Y49" s="56"/>
      <c r="Z49" s="56"/>
      <c r="AA49" s="56"/>
      <c r="AB49" s="56"/>
    </row>
    <row r="50">
      <c r="C50" s="85" t="s">
        <v>23</v>
      </c>
      <c r="D50" s="57" t="s">
        <v>272</v>
      </c>
      <c r="E50" s="88">
        <f>IFERROR(__xludf.DUMMYFUNCTION("COUNTA(SPLIT(D50,"" ""))/COUNTA(SPLIT($B$47,"" ""))"),0.08940972222222222)</f>
        <v>0.08940972222</v>
      </c>
      <c r="F50" s="7">
        <v>5.0</v>
      </c>
      <c r="G50" s="7">
        <v>5.0</v>
      </c>
      <c r="H50" s="7">
        <v>5.0</v>
      </c>
      <c r="I50" s="7">
        <v>5.0</v>
      </c>
      <c r="J50" s="7">
        <v>3.0</v>
      </c>
      <c r="K50" s="56"/>
      <c r="L50" s="56"/>
      <c r="M50" s="56"/>
      <c r="N50" s="56"/>
      <c r="O50" s="56"/>
      <c r="P50" s="56"/>
      <c r="Q50" s="56"/>
      <c r="R50" s="56"/>
      <c r="S50" s="56"/>
      <c r="T50" s="56"/>
      <c r="U50" s="56"/>
      <c r="V50" s="56"/>
      <c r="W50" s="56"/>
      <c r="X50" s="56"/>
      <c r="Y50" s="56"/>
      <c r="Z50" s="56"/>
      <c r="AA50" s="56"/>
      <c r="AB50" s="56"/>
    </row>
    <row r="51">
      <c r="A51" s="75"/>
      <c r="B51" s="69"/>
      <c r="C51" s="60"/>
      <c r="D51" s="61"/>
      <c r="E51" s="69"/>
      <c r="F51" s="60"/>
      <c r="G51" s="60"/>
      <c r="H51" s="60"/>
      <c r="I51" s="60"/>
      <c r="J51" s="60"/>
      <c r="K51" s="56"/>
      <c r="L51" s="56"/>
      <c r="M51" s="56"/>
      <c r="N51" s="56"/>
      <c r="O51" s="56"/>
      <c r="P51" s="56"/>
      <c r="Q51" s="56"/>
      <c r="R51" s="56"/>
      <c r="S51" s="56"/>
      <c r="T51" s="56"/>
      <c r="U51" s="56"/>
      <c r="V51" s="56"/>
      <c r="W51" s="56"/>
      <c r="X51" s="56"/>
      <c r="Y51" s="56"/>
      <c r="Z51" s="56"/>
      <c r="AA51" s="56"/>
      <c r="AB51" s="56"/>
    </row>
    <row r="52">
      <c r="A52" s="75"/>
      <c r="B52" s="69"/>
      <c r="C52" s="60"/>
      <c r="D52" s="61"/>
      <c r="E52" s="69"/>
      <c r="F52" s="60"/>
      <c r="G52" s="60"/>
      <c r="H52" s="60"/>
      <c r="I52" s="60"/>
      <c r="J52" s="60"/>
      <c r="K52" s="56"/>
      <c r="L52" s="56"/>
      <c r="M52" s="56"/>
      <c r="N52" s="56"/>
      <c r="O52" s="56"/>
      <c r="P52" s="56"/>
      <c r="Q52" s="56"/>
      <c r="R52" s="56"/>
      <c r="S52" s="56"/>
      <c r="T52" s="56"/>
      <c r="U52" s="56"/>
      <c r="V52" s="56"/>
      <c r="W52" s="56"/>
      <c r="X52" s="56"/>
      <c r="Y52" s="56"/>
      <c r="Z52" s="56"/>
      <c r="AA52" s="56"/>
      <c r="AB52" s="56"/>
    </row>
    <row r="53">
      <c r="A53" s="75"/>
      <c r="B53" s="69"/>
      <c r="C53" s="60"/>
      <c r="D53" s="61"/>
      <c r="E53" s="69"/>
      <c r="F53" s="60"/>
      <c r="G53" s="60"/>
      <c r="H53" s="60"/>
      <c r="I53" s="60"/>
      <c r="J53" s="60"/>
      <c r="K53" s="56"/>
      <c r="L53" s="56"/>
      <c r="M53" s="56"/>
      <c r="N53" s="56"/>
      <c r="O53" s="56"/>
      <c r="P53" s="56"/>
      <c r="Q53" s="56"/>
      <c r="R53" s="56"/>
      <c r="S53" s="56"/>
      <c r="T53" s="56"/>
      <c r="U53" s="56"/>
      <c r="V53" s="56"/>
      <c r="W53" s="56"/>
      <c r="X53" s="56"/>
      <c r="Y53" s="56"/>
      <c r="Z53" s="56"/>
      <c r="AA53" s="56"/>
      <c r="AB53" s="56"/>
    </row>
    <row r="54">
      <c r="A54" s="75"/>
      <c r="B54" s="69"/>
      <c r="C54" s="60"/>
      <c r="D54" s="61"/>
      <c r="E54" s="69"/>
      <c r="F54" s="60"/>
      <c r="G54" s="60"/>
      <c r="H54" s="60"/>
      <c r="I54" s="60"/>
      <c r="J54" s="60"/>
      <c r="K54" s="56"/>
      <c r="L54" s="56"/>
      <c r="M54" s="56"/>
      <c r="N54" s="56"/>
      <c r="O54" s="56"/>
      <c r="P54" s="56"/>
      <c r="Q54" s="56"/>
      <c r="R54" s="56"/>
      <c r="S54" s="56"/>
      <c r="T54" s="56"/>
      <c r="U54" s="56"/>
      <c r="V54" s="56"/>
      <c r="W54" s="56"/>
      <c r="X54" s="56"/>
      <c r="Y54" s="56"/>
      <c r="Z54" s="56"/>
      <c r="AA54" s="56"/>
      <c r="AB54" s="56"/>
    </row>
    <row r="55">
      <c r="A55" s="75"/>
      <c r="B55" s="69"/>
      <c r="C55" s="60"/>
      <c r="D55" s="61"/>
      <c r="E55" s="69"/>
      <c r="F55" s="60"/>
      <c r="G55" s="60"/>
      <c r="H55" s="60"/>
      <c r="I55" s="60"/>
      <c r="J55" s="60"/>
      <c r="K55" s="56"/>
      <c r="L55" s="56"/>
      <c r="M55" s="56"/>
      <c r="N55" s="56"/>
      <c r="O55" s="56"/>
      <c r="P55" s="56"/>
      <c r="Q55" s="56"/>
      <c r="R55" s="56"/>
      <c r="S55" s="56"/>
      <c r="T55" s="56"/>
      <c r="U55" s="56"/>
      <c r="V55" s="56"/>
      <c r="W55" s="56"/>
      <c r="X55" s="56"/>
      <c r="Y55" s="56"/>
      <c r="Z55" s="56"/>
      <c r="AA55" s="56"/>
      <c r="AB55" s="56"/>
    </row>
    <row r="56">
      <c r="A56" s="75"/>
      <c r="B56" s="69"/>
      <c r="C56" s="60"/>
      <c r="D56" s="61"/>
      <c r="E56" s="69"/>
      <c r="F56" s="60"/>
      <c r="G56" s="60"/>
      <c r="H56" s="60"/>
      <c r="I56" s="60"/>
      <c r="J56" s="60"/>
      <c r="K56" s="56"/>
      <c r="L56" s="56"/>
      <c r="M56" s="56"/>
      <c r="N56" s="56"/>
      <c r="O56" s="56"/>
      <c r="P56" s="56"/>
      <c r="Q56" s="56"/>
      <c r="R56" s="56"/>
      <c r="S56" s="56"/>
      <c r="T56" s="56"/>
      <c r="U56" s="56"/>
      <c r="V56" s="56"/>
      <c r="W56" s="56"/>
      <c r="X56" s="56"/>
      <c r="Y56" s="56"/>
      <c r="Z56" s="56"/>
      <c r="AA56" s="56"/>
      <c r="AB56" s="56"/>
    </row>
    <row r="57">
      <c r="A57" s="75"/>
      <c r="B57" s="69"/>
      <c r="C57" s="60"/>
      <c r="D57" s="61"/>
      <c r="E57" s="69"/>
      <c r="F57" s="60"/>
      <c r="G57" s="60"/>
      <c r="H57" s="60"/>
      <c r="I57" s="60"/>
      <c r="J57" s="60"/>
      <c r="K57" s="56"/>
      <c r="L57" s="56"/>
      <c r="M57" s="56"/>
      <c r="N57" s="56"/>
      <c r="O57" s="56"/>
      <c r="P57" s="56"/>
      <c r="Q57" s="56"/>
      <c r="R57" s="56"/>
      <c r="S57" s="56"/>
      <c r="T57" s="56"/>
      <c r="U57" s="56"/>
      <c r="V57" s="56"/>
      <c r="W57" s="56"/>
      <c r="X57" s="56"/>
      <c r="Y57" s="56"/>
      <c r="Z57" s="56"/>
      <c r="AA57" s="56"/>
      <c r="AB57" s="56"/>
    </row>
    <row r="58">
      <c r="A58" s="75"/>
      <c r="B58" s="69"/>
      <c r="C58" s="60"/>
      <c r="D58" s="61"/>
      <c r="E58" s="69"/>
      <c r="F58" s="60"/>
      <c r="G58" s="60"/>
      <c r="H58" s="60"/>
      <c r="I58" s="60"/>
      <c r="J58" s="60"/>
      <c r="K58" s="56"/>
      <c r="L58" s="56"/>
      <c r="M58" s="56"/>
      <c r="N58" s="56"/>
      <c r="O58" s="56"/>
      <c r="P58" s="56"/>
      <c r="Q58" s="56"/>
      <c r="R58" s="56"/>
      <c r="S58" s="56"/>
      <c r="T58" s="56"/>
      <c r="U58" s="56"/>
      <c r="V58" s="56"/>
      <c r="W58" s="56"/>
      <c r="X58" s="56"/>
      <c r="Y58" s="56"/>
      <c r="Z58" s="56"/>
      <c r="AA58" s="56"/>
      <c r="AB58" s="56"/>
    </row>
    <row r="59">
      <c r="A59" s="75"/>
      <c r="B59" s="69"/>
      <c r="C59" s="60"/>
      <c r="D59" s="61"/>
      <c r="E59" s="69"/>
      <c r="F59" s="60"/>
      <c r="G59" s="60"/>
      <c r="H59" s="60"/>
      <c r="I59" s="60"/>
      <c r="J59" s="60"/>
      <c r="K59" s="56"/>
      <c r="L59" s="56"/>
      <c r="M59" s="56"/>
      <c r="N59" s="56"/>
      <c r="O59" s="56"/>
      <c r="P59" s="56"/>
      <c r="Q59" s="56"/>
      <c r="R59" s="56"/>
      <c r="S59" s="56"/>
      <c r="T59" s="56"/>
      <c r="U59" s="56"/>
      <c r="V59" s="56"/>
      <c r="W59" s="56"/>
      <c r="X59" s="56"/>
      <c r="Y59" s="56"/>
      <c r="Z59" s="56"/>
      <c r="AA59" s="56"/>
      <c r="AB59" s="56"/>
    </row>
    <row r="60">
      <c r="A60" s="75"/>
      <c r="B60" s="69"/>
      <c r="C60" s="60"/>
      <c r="D60" s="61"/>
      <c r="E60" s="69"/>
      <c r="F60" s="60"/>
      <c r="G60" s="60"/>
      <c r="H60" s="60"/>
      <c r="I60" s="60"/>
      <c r="J60" s="60"/>
      <c r="K60" s="56"/>
      <c r="L60" s="56"/>
      <c r="M60" s="56"/>
      <c r="N60" s="56"/>
      <c r="O60" s="56"/>
      <c r="P60" s="56"/>
      <c r="Q60" s="56"/>
      <c r="R60" s="56"/>
      <c r="S60" s="56"/>
      <c r="T60" s="56"/>
      <c r="U60" s="56"/>
      <c r="V60" s="56"/>
      <c r="W60" s="56"/>
      <c r="X60" s="56"/>
      <c r="Y60" s="56"/>
      <c r="Z60" s="56"/>
      <c r="AA60" s="56"/>
      <c r="AB60" s="56"/>
    </row>
    <row r="61">
      <c r="A61" s="75"/>
      <c r="B61" s="69"/>
      <c r="C61" s="60"/>
      <c r="D61" s="61"/>
      <c r="E61" s="69"/>
      <c r="F61" s="60"/>
      <c r="G61" s="60"/>
      <c r="H61" s="60"/>
      <c r="I61" s="60"/>
      <c r="J61" s="60"/>
      <c r="K61" s="56"/>
      <c r="L61" s="56"/>
      <c r="M61" s="56"/>
      <c r="N61" s="56"/>
      <c r="O61" s="56"/>
      <c r="P61" s="56"/>
      <c r="Q61" s="56"/>
      <c r="R61" s="56"/>
      <c r="S61" s="56"/>
      <c r="T61" s="56"/>
      <c r="U61" s="56"/>
      <c r="V61" s="56"/>
      <c r="W61" s="56"/>
      <c r="X61" s="56"/>
      <c r="Y61" s="56"/>
      <c r="Z61" s="56"/>
      <c r="AA61" s="56"/>
      <c r="AB61" s="56"/>
    </row>
    <row r="62">
      <c r="A62" s="75"/>
      <c r="B62" s="69"/>
      <c r="C62" s="60"/>
      <c r="D62" s="61"/>
      <c r="E62" s="69"/>
      <c r="F62" s="60"/>
      <c r="G62" s="60"/>
      <c r="H62" s="60"/>
      <c r="I62" s="60"/>
      <c r="J62" s="60"/>
      <c r="K62" s="56"/>
      <c r="L62" s="56"/>
      <c r="M62" s="56"/>
      <c r="N62" s="56"/>
      <c r="O62" s="56"/>
      <c r="P62" s="56"/>
      <c r="Q62" s="56"/>
      <c r="R62" s="56"/>
      <c r="S62" s="56"/>
      <c r="T62" s="56"/>
      <c r="U62" s="56"/>
      <c r="V62" s="56"/>
      <c r="W62" s="56"/>
      <c r="X62" s="56"/>
      <c r="Y62" s="56"/>
      <c r="Z62" s="56"/>
      <c r="AA62" s="56"/>
      <c r="AB62" s="56"/>
    </row>
    <row r="63">
      <c r="A63" s="75"/>
      <c r="B63" s="69"/>
      <c r="C63" s="60"/>
      <c r="D63" s="61"/>
      <c r="E63" s="69"/>
      <c r="F63" s="60"/>
      <c r="G63" s="60"/>
      <c r="H63" s="60"/>
      <c r="I63" s="60"/>
      <c r="J63" s="60"/>
      <c r="K63" s="56"/>
      <c r="L63" s="56"/>
      <c r="M63" s="56"/>
      <c r="N63" s="56"/>
      <c r="O63" s="56"/>
      <c r="P63" s="56"/>
      <c r="Q63" s="56"/>
      <c r="R63" s="56"/>
      <c r="S63" s="56"/>
      <c r="T63" s="56"/>
      <c r="U63" s="56"/>
      <c r="V63" s="56"/>
      <c r="W63" s="56"/>
      <c r="X63" s="56"/>
      <c r="Y63" s="56"/>
      <c r="Z63" s="56"/>
      <c r="AA63" s="56"/>
      <c r="AB63" s="56"/>
    </row>
    <row r="64">
      <c r="A64" s="75"/>
      <c r="B64" s="69"/>
      <c r="C64" s="60"/>
      <c r="D64" s="61"/>
      <c r="E64" s="69"/>
      <c r="F64" s="60"/>
      <c r="G64" s="60"/>
      <c r="H64" s="60"/>
      <c r="I64" s="60"/>
      <c r="J64" s="60"/>
      <c r="K64" s="56"/>
      <c r="L64" s="56"/>
      <c r="M64" s="56"/>
      <c r="N64" s="56"/>
      <c r="O64" s="56"/>
      <c r="P64" s="56"/>
      <c r="Q64" s="56"/>
      <c r="R64" s="56"/>
      <c r="S64" s="56"/>
      <c r="T64" s="56"/>
      <c r="U64" s="56"/>
      <c r="V64" s="56"/>
      <c r="W64" s="56"/>
      <c r="X64" s="56"/>
      <c r="Y64" s="56"/>
      <c r="Z64" s="56"/>
      <c r="AA64" s="56"/>
      <c r="AB64" s="56"/>
    </row>
    <row r="65">
      <c r="A65" s="75"/>
      <c r="B65" s="69"/>
      <c r="C65" s="60"/>
      <c r="D65" s="61"/>
      <c r="E65" s="69"/>
      <c r="F65" s="60"/>
      <c r="G65" s="60"/>
      <c r="H65" s="60"/>
      <c r="I65" s="60"/>
      <c r="J65" s="60"/>
      <c r="K65" s="56"/>
      <c r="L65" s="56"/>
      <c r="M65" s="56"/>
      <c r="N65" s="56"/>
      <c r="O65" s="56"/>
      <c r="P65" s="56"/>
      <c r="Q65" s="56"/>
      <c r="R65" s="56"/>
      <c r="S65" s="56"/>
      <c r="T65" s="56"/>
      <c r="U65" s="56"/>
      <c r="V65" s="56"/>
      <c r="W65" s="56"/>
      <c r="X65" s="56"/>
      <c r="Y65" s="56"/>
      <c r="Z65" s="56"/>
      <c r="AA65" s="56"/>
      <c r="AB65" s="56"/>
    </row>
    <row r="66">
      <c r="A66" s="75"/>
      <c r="B66" s="69"/>
      <c r="C66" s="60"/>
      <c r="D66" s="61"/>
      <c r="E66" s="69"/>
      <c r="F66" s="60"/>
      <c r="G66" s="60"/>
      <c r="H66" s="60"/>
      <c r="I66" s="60"/>
      <c r="J66" s="60"/>
      <c r="K66" s="56"/>
      <c r="L66" s="56"/>
      <c r="M66" s="56"/>
      <c r="N66" s="56"/>
      <c r="O66" s="56"/>
      <c r="P66" s="56"/>
      <c r="Q66" s="56"/>
      <c r="R66" s="56"/>
      <c r="S66" s="56"/>
      <c r="T66" s="56"/>
      <c r="U66" s="56"/>
      <c r="V66" s="56"/>
      <c r="W66" s="56"/>
      <c r="X66" s="56"/>
      <c r="Y66" s="56"/>
      <c r="Z66" s="56"/>
      <c r="AA66" s="56"/>
      <c r="AB66" s="56"/>
    </row>
    <row r="67">
      <c r="A67" s="75"/>
      <c r="B67" s="69"/>
      <c r="C67" s="60"/>
      <c r="D67" s="61"/>
      <c r="E67" s="69"/>
      <c r="F67" s="60"/>
      <c r="G67" s="60"/>
      <c r="H67" s="60"/>
      <c r="I67" s="60"/>
      <c r="J67" s="60"/>
      <c r="K67" s="56"/>
      <c r="L67" s="56"/>
      <c r="M67" s="56"/>
      <c r="N67" s="56"/>
      <c r="O67" s="56"/>
      <c r="P67" s="56"/>
      <c r="Q67" s="56"/>
      <c r="R67" s="56"/>
      <c r="S67" s="56"/>
      <c r="T67" s="56"/>
      <c r="U67" s="56"/>
      <c r="V67" s="56"/>
      <c r="W67" s="56"/>
      <c r="X67" s="56"/>
      <c r="Y67" s="56"/>
      <c r="Z67" s="56"/>
      <c r="AA67" s="56"/>
      <c r="AB67" s="56"/>
    </row>
    <row r="68">
      <c r="A68" s="75"/>
      <c r="B68" s="69"/>
      <c r="C68" s="60"/>
      <c r="D68" s="61"/>
      <c r="E68" s="69"/>
      <c r="F68" s="60"/>
      <c r="G68" s="60"/>
      <c r="H68" s="60"/>
      <c r="I68" s="60"/>
      <c r="J68" s="60"/>
      <c r="K68" s="56"/>
      <c r="L68" s="56"/>
      <c r="M68" s="56"/>
      <c r="N68" s="56"/>
      <c r="O68" s="56"/>
      <c r="P68" s="56"/>
      <c r="Q68" s="56"/>
      <c r="R68" s="56"/>
      <c r="S68" s="56"/>
      <c r="T68" s="56"/>
      <c r="U68" s="56"/>
      <c r="V68" s="56"/>
      <c r="W68" s="56"/>
      <c r="X68" s="56"/>
      <c r="Y68" s="56"/>
      <c r="Z68" s="56"/>
      <c r="AA68" s="56"/>
      <c r="AB68" s="56"/>
    </row>
    <row r="69">
      <c r="A69" s="75"/>
      <c r="B69" s="69"/>
      <c r="C69" s="60"/>
      <c r="D69" s="61"/>
      <c r="E69" s="69"/>
      <c r="F69" s="60"/>
      <c r="G69" s="60"/>
      <c r="H69" s="60"/>
      <c r="I69" s="60"/>
      <c r="J69" s="60"/>
      <c r="K69" s="56"/>
      <c r="L69" s="56"/>
      <c r="M69" s="56"/>
      <c r="N69" s="56"/>
      <c r="O69" s="56"/>
      <c r="P69" s="56"/>
      <c r="Q69" s="56"/>
      <c r="R69" s="56"/>
      <c r="S69" s="56"/>
      <c r="T69" s="56"/>
      <c r="U69" s="56"/>
      <c r="V69" s="56"/>
      <c r="W69" s="56"/>
      <c r="X69" s="56"/>
      <c r="Y69" s="56"/>
      <c r="Z69" s="56"/>
      <c r="AA69" s="56"/>
      <c r="AB69" s="56"/>
    </row>
    <row r="70">
      <c r="A70" s="75"/>
      <c r="B70" s="69"/>
      <c r="C70" s="60"/>
      <c r="D70" s="61"/>
      <c r="E70" s="69"/>
      <c r="F70" s="60"/>
      <c r="G70" s="60"/>
      <c r="H70" s="60"/>
      <c r="I70" s="60"/>
      <c r="J70" s="60"/>
      <c r="K70" s="56"/>
      <c r="L70" s="56"/>
      <c r="M70" s="56"/>
      <c r="N70" s="56"/>
      <c r="O70" s="56"/>
      <c r="P70" s="56"/>
      <c r="Q70" s="56"/>
      <c r="R70" s="56"/>
      <c r="S70" s="56"/>
      <c r="T70" s="56"/>
      <c r="U70" s="56"/>
      <c r="V70" s="56"/>
      <c r="W70" s="56"/>
      <c r="X70" s="56"/>
      <c r="Y70" s="56"/>
      <c r="Z70" s="56"/>
      <c r="AA70" s="56"/>
      <c r="AB70" s="56"/>
    </row>
    <row r="71">
      <c r="A71" s="75"/>
      <c r="B71" s="69"/>
      <c r="C71" s="60"/>
      <c r="D71" s="61"/>
      <c r="E71" s="69"/>
      <c r="F71" s="60"/>
      <c r="G71" s="60"/>
      <c r="H71" s="60"/>
      <c r="I71" s="60"/>
      <c r="J71" s="60"/>
      <c r="K71" s="56"/>
      <c r="L71" s="56"/>
      <c r="M71" s="56"/>
      <c r="N71" s="56"/>
      <c r="O71" s="56"/>
      <c r="P71" s="56"/>
      <c r="Q71" s="56"/>
      <c r="R71" s="56"/>
      <c r="S71" s="56"/>
      <c r="T71" s="56"/>
      <c r="U71" s="56"/>
      <c r="V71" s="56"/>
      <c r="W71" s="56"/>
      <c r="X71" s="56"/>
      <c r="Y71" s="56"/>
      <c r="Z71" s="56"/>
      <c r="AA71" s="56"/>
      <c r="AB71" s="56"/>
    </row>
    <row r="72">
      <c r="A72" s="75"/>
      <c r="B72" s="69"/>
      <c r="C72" s="60"/>
      <c r="D72" s="61"/>
      <c r="E72" s="69"/>
      <c r="F72" s="60"/>
      <c r="G72" s="60"/>
      <c r="H72" s="60"/>
      <c r="I72" s="60"/>
      <c r="J72" s="60"/>
      <c r="K72" s="56"/>
      <c r="L72" s="56"/>
      <c r="M72" s="56"/>
      <c r="N72" s="56"/>
      <c r="O72" s="56"/>
      <c r="P72" s="56"/>
      <c r="Q72" s="56"/>
      <c r="R72" s="56"/>
      <c r="S72" s="56"/>
      <c r="T72" s="56"/>
      <c r="U72" s="56"/>
      <c r="V72" s="56"/>
      <c r="W72" s="56"/>
      <c r="X72" s="56"/>
      <c r="Y72" s="56"/>
      <c r="Z72" s="56"/>
      <c r="AA72" s="56"/>
      <c r="AB72" s="56"/>
    </row>
    <row r="73">
      <c r="A73" s="75"/>
      <c r="B73" s="69"/>
      <c r="C73" s="60"/>
      <c r="D73" s="61"/>
      <c r="E73" s="69"/>
      <c r="F73" s="60"/>
      <c r="G73" s="60"/>
      <c r="H73" s="60"/>
      <c r="I73" s="60"/>
      <c r="J73" s="60"/>
      <c r="K73" s="56"/>
      <c r="L73" s="56"/>
      <c r="M73" s="56"/>
      <c r="N73" s="56"/>
      <c r="O73" s="56"/>
      <c r="P73" s="56"/>
      <c r="Q73" s="56"/>
      <c r="R73" s="56"/>
      <c r="S73" s="56"/>
      <c r="T73" s="56"/>
      <c r="U73" s="56"/>
      <c r="V73" s="56"/>
      <c r="W73" s="56"/>
      <c r="X73" s="56"/>
      <c r="Y73" s="56"/>
      <c r="Z73" s="56"/>
      <c r="AA73" s="56"/>
      <c r="AB73" s="56"/>
    </row>
    <row r="74">
      <c r="A74" s="75"/>
      <c r="B74" s="69"/>
      <c r="C74" s="60"/>
      <c r="D74" s="61"/>
      <c r="E74" s="69"/>
      <c r="F74" s="60"/>
      <c r="G74" s="60"/>
      <c r="H74" s="60"/>
      <c r="I74" s="60"/>
      <c r="J74" s="60"/>
      <c r="K74" s="56"/>
      <c r="L74" s="56"/>
      <c r="M74" s="56"/>
      <c r="N74" s="56"/>
      <c r="O74" s="56"/>
      <c r="P74" s="56"/>
      <c r="Q74" s="56"/>
      <c r="R74" s="56"/>
      <c r="S74" s="56"/>
      <c r="T74" s="56"/>
      <c r="U74" s="56"/>
      <c r="V74" s="56"/>
      <c r="W74" s="56"/>
      <c r="X74" s="56"/>
      <c r="Y74" s="56"/>
      <c r="Z74" s="56"/>
      <c r="AA74" s="56"/>
      <c r="AB74" s="56"/>
    </row>
    <row r="75">
      <c r="A75" s="75"/>
      <c r="B75" s="69"/>
      <c r="C75" s="60"/>
      <c r="D75" s="61"/>
      <c r="E75" s="69"/>
      <c r="F75" s="60"/>
      <c r="G75" s="60"/>
      <c r="H75" s="60"/>
      <c r="I75" s="60"/>
      <c r="J75" s="60"/>
      <c r="K75" s="56"/>
      <c r="L75" s="56"/>
      <c r="M75" s="56"/>
      <c r="N75" s="56"/>
      <c r="O75" s="56"/>
      <c r="P75" s="56"/>
      <c r="Q75" s="56"/>
      <c r="R75" s="56"/>
      <c r="S75" s="56"/>
      <c r="T75" s="56"/>
      <c r="U75" s="56"/>
      <c r="V75" s="56"/>
      <c r="W75" s="56"/>
      <c r="X75" s="56"/>
      <c r="Y75" s="56"/>
      <c r="Z75" s="56"/>
      <c r="AA75" s="56"/>
      <c r="AB75" s="56"/>
    </row>
    <row r="76">
      <c r="A76" s="75"/>
      <c r="B76" s="69"/>
      <c r="C76" s="60"/>
      <c r="D76" s="61"/>
      <c r="E76" s="69"/>
      <c r="F76" s="60"/>
      <c r="G76" s="60"/>
      <c r="H76" s="60"/>
      <c r="I76" s="60"/>
      <c r="J76" s="60"/>
      <c r="K76" s="56"/>
      <c r="L76" s="56"/>
      <c r="M76" s="56"/>
      <c r="N76" s="56"/>
      <c r="O76" s="56"/>
      <c r="P76" s="56"/>
      <c r="Q76" s="56"/>
      <c r="R76" s="56"/>
      <c r="S76" s="56"/>
      <c r="T76" s="56"/>
      <c r="U76" s="56"/>
      <c r="V76" s="56"/>
      <c r="W76" s="56"/>
      <c r="X76" s="56"/>
      <c r="Y76" s="56"/>
      <c r="Z76" s="56"/>
      <c r="AA76" s="56"/>
      <c r="AB76" s="56"/>
    </row>
    <row r="77">
      <c r="A77" s="75"/>
      <c r="B77" s="69"/>
      <c r="C77" s="60"/>
      <c r="D77" s="61"/>
      <c r="E77" s="69"/>
      <c r="F77" s="60"/>
      <c r="G77" s="60"/>
      <c r="H77" s="60"/>
      <c r="I77" s="60"/>
      <c r="J77" s="60"/>
      <c r="K77" s="56"/>
      <c r="L77" s="56"/>
      <c r="M77" s="56"/>
      <c r="N77" s="56"/>
      <c r="O77" s="56"/>
      <c r="P77" s="56"/>
      <c r="Q77" s="56"/>
      <c r="R77" s="56"/>
      <c r="S77" s="56"/>
      <c r="T77" s="56"/>
      <c r="U77" s="56"/>
      <c r="V77" s="56"/>
      <c r="W77" s="56"/>
      <c r="X77" s="56"/>
      <c r="Y77" s="56"/>
      <c r="Z77" s="56"/>
      <c r="AA77" s="56"/>
      <c r="AB77" s="56"/>
    </row>
    <row r="78">
      <c r="A78" s="75"/>
      <c r="B78" s="69"/>
      <c r="C78" s="60"/>
      <c r="D78" s="61"/>
      <c r="E78" s="69"/>
      <c r="F78" s="60"/>
      <c r="G78" s="60"/>
      <c r="H78" s="60"/>
      <c r="I78" s="60"/>
      <c r="J78" s="60"/>
      <c r="K78" s="56"/>
      <c r="L78" s="56"/>
      <c r="M78" s="56"/>
      <c r="N78" s="56"/>
      <c r="O78" s="56"/>
      <c r="P78" s="56"/>
      <c r="Q78" s="56"/>
      <c r="R78" s="56"/>
      <c r="S78" s="56"/>
      <c r="T78" s="56"/>
      <c r="U78" s="56"/>
      <c r="V78" s="56"/>
      <c r="W78" s="56"/>
      <c r="X78" s="56"/>
      <c r="Y78" s="56"/>
      <c r="Z78" s="56"/>
      <c r="AA78" s="56"/>
      <c r="AB78" s="56"/>
    </row>
    <row r="79">
      <c r="A79" s="75"/>
      <c r="B79" s="69"/>
      <c r="C79" s="60"/>
      <c r="D79" s="61"/>
      <c r="E79" s="69"/>
      <c r="F79" s="60"/>
      <c r="G79" s="60"/>
      <c r="H79" s="60"/>
      <c r="I79" s="60"/>
      <c r="J79" s="60"/>
      <c r="K79" s="56"/>
      <c r="L79" s="56"/>
      <c r="M79" s="56"/>
      <c r="N79" s="56"/>
      <c r="O79" s="56"/>
      <c r="P79" s="56"/>
      <c r="Q79" s="56"/>
      <c r="R79" s="56"/>
      <c r="S79" s="56"/>
      <c r="T79" s="56"/>
      <c r="U79" s="56"/>
      <c r="V79" s="56"/>
      <c r="W79" s="56"/>
      <c r="X79" s="56"/>
      <c r="Y79" s="56"/>
      <c r="Z79" s="56"/>
      <c r="AA79" s="56"/>
      <c r="AB79" s="56"/>
    </row>
    <row r="80">
      <c r="A80" s="75"/>
      <c r="B80" s="69"/>
      <c r="C80" s="60"/>
      <c r="D80" s="61"/>
      <c r="E80" s="69"/>
      <c r="F80" s="60"/>
      <c r="G80" s="60"/>
      <c r="H80" s="60"/>
      <c r="I80" s="60"/>
      <c r="J80" s="60"/>
      <c r="K80" s="56"/>
      <c r="L80" s="56"/>
      <c r="M80" s="56"/>
      <c r="N80" s="56"/>
      <c r="O80" s="56"/>
      <c r="P80" s="56"/>
      <c r="Q80" s="56"/>
      <c r="R80" s="56"/>
      <c r="S80" s="56"/>
      <c r="T80" s="56"/>
      <c r="U80" s="56"/>
      <c r="V80" s="56"/>
      <c r="W80" s="56"/>
      <c r="X80" s="56"/>
      <c r="Y80" s="56"/>
      <c r="Z80" s="56"/>
      <c r="AA80" s="56"/>
      <c r="AB80" s="56"/>
    </row>
    <row r="81">
      <c r="A81" s="75"/>
      <c r="B81" s="69"/>
      <c r="C81" s="60"/>
      <c r="D81" s="61"/>
      <c r="E81" s="69"/>
      <c r="F81" s="60"/>
      <c r="G81" s="60"/>
      <c r="H81" s="60"/>
      <c r="I81" s="60"/>
      <c r="J81" s="60"/>
      <c r="K81" s="56"/>
      <c r="L81" s="56"/>
      <c r="M81" s="56"/>
      <c r="N81" s="56"/>
      <c r="O81" s="56"/>
      <c r="P81" s="56"/>
      <c r="Q81" s="56"/>
      <c r="R81" s="56"/>
      <c r="S81" s="56"/>
      <c r="T81" s="56"/>
      <c r="U81" s="56"/>
      <c r="V81" s="56"/>
      <c r="W81" s="56"/>
      <c r="X81" s="56"/>
      <c r="Y81" s="56"/>
      <c r="Z81" s="56"/>
      <c r="AA81" s="56"/>
      <c r="AB81" s="56"/>
    </row>
    <row r="82">
      <c r="A82" s="75"/>
      <c r="B82" s="69"/>
      <c r="C82" s="60"/>
      <c r="D82" s="61"/>
      <c r="E82" s="69"/>
      <c r="F82" s="60"/>
      <c r="G82" s="60"/>
      <c r="H82" s="60"/>
      <c r="I82" s="60"/>
      <c r="J82" s="60"/>
      <c r="K82" s="56"/>
      <c r="L82" s="56"/>
      <c r="M82" s="56"/>
      <c r="N82" s="56"/>
      <c r="O82" s="56"/>
      <c r="P82" s="56"/>
      <c r="Q82" s="56"/>
      <c r="R82" s="56"/>
      <c r="S82" s="56"/>
      <c r="T82" s="56"/>
      <c r="U82" s="56"/>
      <c r="V82" s="56"/>
      <c r="W82" s="56"/>
      <c r="X82" s="56"/>
      <c r="Y82" s="56"/>
      <c r="Z82" s="56"/>
      <c r="AA82" s="56"/>
      <c r="AB82" s="56"/>
    </row>
    <row r="83">
      <c r="A83" s="75"/>
      <c r="B83" s="69"/>
      <c r="C83" s="60"/>
      <c r="D83" s="61"/>
      <c r="E83" s="69"/>
      <c r="F83" s="60"/>
      <c r="G83" s="60"/>
      <c r="H83" s="60"/>
      <c r="I83" s="60"/>
      <c r="J83" s="60"/>
      <c r="K83" s="56"/>
      <c r="L83" s="56"/>
      <c r="M83" s="56"/>
      <c r="N83" s="56"/>
      <c r="O83" s="56"/>
      <c r="P83" s="56"/>
      <c r="Q83" s="56"/>
      <c r="R83" s="56"/>
      <c r="S83" s="56"/>
      <c r="T83" s="56"/>
      <c r="U83" s="56"/>
      <c r="V83" s="56"/>
      <c r="W83" s="56"/>
      <c r="X83" s="56"/>
      <c r="Y83" s="56"/>
      <c r="Z83" s="56"/>
      <c r="AA83" s="56"/>
      <c r="AB83" s="56"/>
    </row>
    <row r="84">
      <c r="A84" s="75"/>
      <c r="B84" s="69"/>
      <c r="C84" s="60"/>
      <c r="D84" s="61"/>
      <c r="E84" s="69"/>
      <c r="F84" s="60"/>
      <c r="G84" s="60"/>
      <c r="H84" s="60"/>
      <c r="I84" s="60"/>
      <c r="J84" s="60"/>
      <c r="K84" s="56"/>
      <c r="L84" s="56"/>
      <c r="M84" s="56"/>
      <c r="N84" s="56"/>
      <c r="O84" s="56"/>
      <c r="P84" s="56"/>
      <c r="Q84" s="56"/>
      <c r="R84" s="56"/>
      <c r="S84" s="56"/>
      <c r="T84" s="56"/>
      <c r="U84" s="56"/>
      <c r="V84" s="56"/>
      <c r="W84" s="56"/>
      <c r="X84" s="56"/>
      <c r="Y84" s="56"/>
      <c r="Z84" s="56"/>
      <c r="AA84" s="56"/>
      <c r="AB84" s="56"/>
    </row>
    <row r="85">
      <c r="A85" s="75"/>
      <c r="B85" s="69"/>
      <c r="C85" s="60"/>
      <c r="D85" s="61"/>
      <c r="E85" s="69"/>
      <c r="F85" s="60"/>
      <c r="G85" s="60"/>
      <c r="H85" s="60"/>
      <c r="I85" s="60"/>
      <c r="J85" s="60"/>
      <c r="K85" s="56"/>
      <c r="L85" s="56"/>
      <c r="M85" s="56"/>
      <c r="N85" s="56"/>
      <c r="O85" s="56"/>
      <c r="P85" s="56"/>
      <c r="Q85" s="56"/>
      <c r="R85" s="56"/>
      <c r="S85" s="56"/>
      <c r="T85" s="56"/>
      <c r="U85" s="56"/>
      <c r="V85" s="56"/>
      <c r="W85" s="56"/>
      <c r="X85" s="56"/>
      <c r="Y85" s="56"/>
      <c r="Z85" s="56"/>
      <c r="AA85" s="56"/>
      <c r="AB85" s="56"/>
    </row>
    <row r="86">
      <c r="A86" s="75"/>
      <c r="B86" s="69"/>
      <c r="C86" s="60"/>
      <c r="D86" s="61"/>
      <c r="E86" s="69"/>
      <c r="F86" s="60"/>
      <c r="G86" s="60"/>
      <c r="H86" s="60"/>
      <c r="I86" s="60"/>
      <c r="J86" s="60"/>
      <c r="K86" s="56"/>
      <c r="L86" s="56"/>
      <c r="M86" s="56"/>
      <c r="N86" s="56"/>
      <c r="O86" s="56"/>
      <c r="P86" s="56"/>
      <c r="Q86" s="56"/>
      <c r="R86" s="56"/>
      <c r="S86" s="56"/>
      <c r="T86" s="56"/>
      <c r="U86" s="56"/>
      <c r="V86" s="56"/>
      <c r="W86" s="56"/>
      <c r="X86" s="56"/>
      <c r="Y86" s="56"/>
      <c r="Z86" s="56"/>
      <c r="AA86" s="56"/>
      <c r="AB86" s="56"/>
    </row>
    <row r="87">
      <c r="A87" s="75"/>
      <c r="B87" s="69"/>
      <c r="C87" s="60"/>
      <c r="D87" s="61"/>
      <c r="E87" s="69"/>
      <c r="F87" s="60"/>
      <c r="G87" s="60"/>
      <c r="H87" s="60"/>
      <c r="I87" s="60"/>
      <c r="J87" s="60"/>
      <c r="K87" s="56"/>
      <c r="L87" s="56"/>
      <c r="M87" s="56"/>
      <c r="N87" s="56"/>
      <c r="O87" s="56"/>
      <c r="P87" s="56"/>
      <c r="Q87" s="56"/>
      <c r="R87" s="56"/>
      <c r="S87" s="56"/>
      <c r="T87" s="56"/>
      <c r="U87" s="56"/>
      <c r="V87" s="56"/>
      <c r="W87" s="56"/>
      <c r="X87" s="56"/>
      <c r="Y87" s="56"/>
      <c r="Z87" s="56"/>
      <c r="AA87" s="56"/>
      <c r="AB87" s="56"/>
    </row>
    <row r="88">
      <c r="A88" s="75"/>
      <c r="B88" s="69"/>
      <c r="C88" s="60"/>
      <c r="D88" s="61"/>
      <c r="E88" s="69"/>
      <c r="F88" s="60"/>
      <c r="G88" s="60"/>
      <c r="H88" s="60"/>
      <c r="I88" s="60"/>
      <c r="J88" s="60"/>
      <c r="K88" s="56"/>
      <c r="L88" s="56"/>
      <c r="M88" s="56"/>
      <c r="N88" s="56"/>
      <c r="O88" s="56"/>
      <c r="P88" s="56"/>
      <c r="Q88" s="56"/>
      <c r="R88" s="56"/>
      <c r="S88" s="56"/>
      <c r="T88" s="56"/>
      <c r="U88" s="56"/>
      <c r="V88" s="56"/>
      <c r="W88" s="56"/>
      <c r="X88" s="56"/>
      <c r="Y88" s="56"/>
      <c r="Z88" s="56"/>
      <c r="AA88" s="56"/>
      <c r="AB88" s="56"/>
    </row>
    <row r="89">
      <c r="A89" s="75"/>
      <c r="B89" s="69"/>
      <c r="C89" s="60"/>
      <c r="D89" s="61"/>
      <c r="E89" s="69"/>
      <c r="F89" s="60"/>
      <c r="G89" s="60"/>
      <c r="H89" s="60"/>
      <c r="I89" s="60"/>
      <c r="J89" s="60"/>
      <c r="K89" s="56"/>
      <c r="L89" s="56"/>
      <c r="M89" s="56"/>
      <c r="N89" s="56"/>
      <c r="O89" s="56"/>
      <c r="P89" s="56"/>
      <c r="Q89" s="56"/>
      <c r="R89" s="56"/>
      <c r="S89" s="56"/>
      <c r="T89" s="56"/>
      <c r="U89" s="56"/>
      <c r="V89" s="56"/>
      <c r="W89" s="56"/>
      <c r="X89" s="56"/>
      <c r="Y89" s="56"/>
      <c r="Z89" s="56"/>
      <c r="AA89" s="56"/>
      <c r="AB89" s="56"/>
    </row>
    <row r="90">
      <c r="A90" s="75"/>
      <c r="B90" s="69"/>
      <c r="C90" s="60"/>
      <c r="D90" s="61"/>
      <c r="E90" s="69"/>
      <c r="F90" s="60"/>
      <c r="G90" s="60"/>
      <c r="H90" s="60"/>
      <c r="I90" s="60"/>
      <c r="J90" s="60"/>
      <c r="K90" s="56"/>
      <c r="L90" s="56"/>
      <c r="M90" s="56"/>
      <c r="N90" s="56"/>
      <c r="O90" s="56"/>
      <c r="P90" s="56"/>
      <c r="Q90" s="56"/>
      <c r="R90" s="56"/>
      <c r="S90" s="56"/>
      <c r="T90" s="56"/>
      <c r="U90" s="56"/>
      <c r="V90" s="56"/>
      <c r="W90" s="56"/>
      <c r="X90" s="56"/>
      <c r="Y90" s="56"/>
      <c r="Z90" s="56"/>
      <c r="AA90" s="56"/>
      <c r="AB90" s="56"/>
    </row>
    <row r="91">
      <c r="A91" s="75"/>
      <c r="B91" s="69"/>
      <c r="C91" s="60"/>
      <c r="D91" s="61"/>
      <c r="E91" s="69"/>
      <c r="F91" s="60"/>
      <c r="G91" s="60"/>
      <c r="H91" s="60"/>
      <c r="I91" s="60"/>
      <c r="J91" s="60"/>
      <c r="K91" s="56"/>
      <c r="L91" s="56"/>
      <c r="M91" s="56"/>
      <c r="N91" s="56"/>
      <c r="O91" s="56"/>
      <c r="P91" s="56"/>
      <c r="Q91" s="56"/>
      <c r="R91" s="56"/>
      <c r="S91" s="56"/>
      <c r="T91" s="56"/>
      <c r="U91" s="56"/>
      <c r="V91" s="56"/>
      <c r="W91" s="56"/>
      <c r="X91" s="56"/>
      <c r="Y91" s="56"/>
      <c r="Z91" s="56"/>
      <c r="AA91" s="56"/>
      <c r="AB91" s="56"/>
    </row>
    <row r="92">
      <c r="A92" s="75"/>
      <c r="B92" s="69"/>
      <c r="C92" s="60"/>
      <c r="D92" s="61"/>
      <c r="E92" s="69"/>
      <c r="F92" s="60"/>
      <c r="G92" s="60"/>
      <c r="H92" s="60"/>
      <c r="I92" s="60"/>
      <c r="J92" s="60"/>
      <c r="K92" s="56"/>
      <c r="L92" s="56"/>
      <c r="M92" s="56"/>
      <c r="N92" s="56"/>
      <c r="O92" s="56"/>
      <c r="P92" s="56"/>
      <c r="Q92" s="56"/>
      <c r="R92" s="56"/>
      <c r="S92" s="56"/>
      <c r="T92" s="56"/>
      <c r="U92" s="56"/>
      <c r="V92" s="56"/>
      <c r="W92" s="56"/>
      <c r="X92" s="56"/>
      <c r="Y92" s="56"/>
      <c r="Z92" s="56"/>
      <c r="AA92" s="56"/>
      <c r="AB92" s="56"/>
    </row>
    <row r="93">
      <c r="A93" s="75"/>
      <c r="B93" s="69"/>
      <c r="C93" s="60"/>
      <c r="D93" s="61"/>
      <c r="E93" s="69"/>
      <c r="F93" s="60"/>
      <c r="G93" s="60"/>
      <c r="H93" s="60"/>
      <c r="I93" s="60"/>
      <c r="J93" s="60"/>
      <c r="K93" s="56"/>
      <c r="L93" s="56"/>
      <c r="M93" s="56"/>
      <c r="N93" s="56"/>
      <c r="O93" s="56"/>
      <c r="P93" s="56"/>
      <c r="Q93" s="56"/>
      <c r="R93" s="56"/>
      <c r="S93" s="56"/>
      <c r="T93" s="56"/>
      <c r="U93" s="56"/>
      <c r="V93" s="56"/>
      <c r="W93" s="56"/>
      <c r="X93" s="56"/>
      <c r="Y93" s="56"/>
      <c r="Z93" s="56"/>
      <c r="AA93" s="56"/>
      <c r="AB93" s="56"/>
    </row>
    <row r="94">
      <c r="A94" s="75"/>
      <c r="B94" s="69"/>
      <c r="C94" s="60"/>
      <c r="D94" s="61"/>
      <c r="E94" s="69"/>
      <c r="F94" s="60"/>
      <c r="G94" s="60"/>
      <c r="H94" s="60"/>
      <c r="I94" s="60"/>
      <c r="J94" s="60"/>
      <c r="K94" s="56"/>
      <c r="L94" s="56"/>
      <c r="M94" s="56"/>
      <c r="N94" s="56"/>
      <c r="O94" s="56"/>
      <c r="P94" s="56"/>
      <c r="Q94" s="56"/>
      <c r="R94" s="56"/>
      <c r="S94" s="56"/>
      <c r="T94" s="56"/>
      <c r="U94" s="56"/>
      <c r="V94" s="56"/>
      <c r="W94" s="56"/>
      <c r="X94" s="56"/>
      <c r="Y94" s="56"/>
      <c r="Z94" s="56"/>
      <c r="AA94" s="56"/>
      <c r="AB94" s="56"/>
    </row>
    <row r="95">
      <c r="A95" s="75"/>
      <c r="B95" s="69"/>
      <c r="C95" s="60"/>
      <c r="D95" s="61"/>
      <c r="E95" s="69"/>
      <c r="F95" s="60"/>
      <c r="G95" s="60"/>
      <c r="H95" s="60"/>
      <c r="I95" s="60"/>
      <c r="J95" s="60"/>
      <c r="K95" s="56"/>
      <c r="L95" s="56"/>
      <c r="M95" s="56"/>
      <c r="N95" s="56"/>
      <c r="O95" s="56"/>
      <c r="P95" s="56"/>
      <c r="Q95" s="56"/>
      <c r="R95" s="56"/>
      <c r="S95" s="56"/>
      <c r="T95" s="56"/>
      <c r="U95" s="56"/>
      <c r="V95" s="56"/>
      <c r="W95" s="56"/>
      <c r="X95" s="56"/>
      <c r="Y95" s="56"/>
      <c r="Z95" s="56"/>
      <c r="AA95" s="56"/>
      <c r="AB95" s="56"/>
    </row>
    <row r="96">
      <c r="A96" s="75"/>
      <c r="B96" s="69"/>
      <c r="C96" s="60"/>
      <c r="D96" s="61"/>
      <c r="E96" s="69"/>
      <c r="F96" s="60"/>
      <c r="G96" s="60"/>
      <c r="H96" s="60"/>
      <c r="I96" s="60"/>
      <c r="J96" s="60"/>
      <c r="K96" s="56"/>
      <c r="L96" s="56"/>
      <c r="M96" s="56"/>
      <c r="N96" s="56"/>
      <c r="O96" s="56"/>
      <c r="P96" s="56"/>
      <c r="Q96" s="56"/>
      <c r="R96" s="56"/>
      <c r="S96" s="56"/>
      <c r="T96" s="56"/>
      <c r="U96" s="56"/>
      <c r="V96" s="56"/>
      <c r="W96" s="56"/>
      <c r="X96" s="56"/>
      <c r="Y96" s="56"/>
      <c r="Z96" s="56"/>
      <c r="AA96" s="56"/>
      <c r="AB96" s="56"/>
    </row>
    <row r="97">
      <c r="A97" s="75"/>
      <c r="B97" s="69"/>
      <c r="C97" s="60"/>
      <c r="D97" s="61"/>
      <c r="E97" s="69"/>
      <c r="F97" s="60"/>
      <c r="G97" s="60"/>
      <c r="H97" s="60"/>
      <c r="I97" s="60"/>
      <c r="J97" s="60"/>
      <c r="K97" s="56"/>
      <c r="L97" s="56"/>
      <c r="M97" s="56"/>
      <c r="N97" s="56"/>
      <c r="O97" s="56"/>
      <c r="P97" s="56"/>
      <c r="Q97" s="56"/>
      <c r="R97" s="56"/>
      <c r="S97" s="56"/>
      <c r="T97" s="56"/>
      <c r="U97" s="56"/>
      <c r="V97" s="56"/>
      <c r="W97" s="56"/>
      <c r="X97" s="56"/>
      <c r="Y97" s="56"/>
      <c r="Z97" s="56"/>
      <c r="AA97" s="56"/>
      <c r="AB97" s="56"/>
    </row>
    <row r="98">
      <c r="A98" s="75"/>
      <c r="B98" s="69"/>
      <c r="C98" s="60"/>
      <c r="D98" s="61"/>
      <c r="E98" s="69"/>
      <c r="F98" s="60"/>
      <c r="G98" s="60"/>
      <c r="H98" s="60"/>
      <c r="I98" s="60"/>
      <c r="J98" s="60"/>
      <c r="K98" s="56"/>
      <c r="L98" s="56"/>
      <c r="M98" s="56"/>
      <c r="N98" s="56"/>
      <c r="O98" s="56"/>
      <c r="P98" s="56"/>
      <c r="Q98" s="56"/>
      <c r="R98" s="56"/>
      <c r="S98" s="56"/>
      <c r="T98" s="56"/>
      <c r="U98" s="56"/>
      <c r="V98" s="56"/>
      <c r="W98" s="56"/>
      <c r="X98" s="56"/>
      <c r="Y98" s="56"/>
      <c r="Z98" s="56"/>
      <c r="AA98" s="56"/>
      <c r="AB98" s="56"/>
    </row>
    <row r="99">
      <c r="A99" s="75"/>
      <c r="B99" s="69"/>
      <c r="C99" s="60"/>
      <c r="D99" s="61"/>
      <c r="E99" s="69"/>
      <c r="F99" s="60"/>
      <c r="G99" s="60"/>
      <c r="H99" s="60"/>
      <c r="I99" s="60"/>
      <c r="J99" s="60"/>
      <c r="K99" s="56"/>
      <c r="L99" s="56"/>
      <c r="M99" s="56"/>
      <c r="N99" s="56"/>
      <c r="O99" s="56"/>
      <c r="P99" s="56"/>
      <c r="Q99" s="56"/>
      <c r="R99" s="56"/>
      <c r="S99" s="56"/>
      <c r="T99" s="56"/>
      <c r="U99" s="56"/>
      <c r="V99" s="56"/>
      <c r="W99" s="56"/>
      <c r="X99" s="56"/>
      <c r="Y99" s="56"/>
      <c r="Z99" s="56"/>
      <c r="AA99" s="56"/>
      <c r="AB99" s="56"/>
    </row>
    <row r="100">
      <c r="A100" s="75"/>
      <c r="B100" s="69"/>
      <c r="C100" s="60"/>
      <c r="D100" s="61"/>
      <c r="E100" s="69"/>
      <c r="F100" s="60"/>
      <c r="G100" s="60"/>
      <c r="H100" s="60"/>
      <c r="I100" s="60"/>
      <c r="J100" s="60"/>
      <c r="K100" s="56"/>
      <c r="L100" s="56"/>
      <c r="M100" s="56"/>
      <c r="N100" s="56"/>
      <c r="O100" s="56"/>
      <c r="P100" s="56"/>
      <c r="Q100" s="56"/>
      <c r="R100" s="56"/>
      <c r="S100" s="56"/>
      <c r="T100" s="56"/>
      <c r="U100" s="56"/>
      <c r="V100" s="56"/>
      <c r="W100" s="56"/>
      <c r="X100" s="56"/>
      <c r="Y100" s="56"/>
      <c r="Z100" s="56"/>
      <c r="AA100" s="56"/>
      <c r="AB100" s="56"/>
    </row>
    <row r="101">
      <c r="A101" s="75"/>
      <c r="B101" s="69"/>
      <c r="C101" s="60"/>
      <c r="D101" s="61"/>
      <c r="E101" s="69"/>
      <c r="F101" s="60"/>
      <c r="G101" s="60"/>
      <c r="H101" s="60"/>
      <c r="I101" s="60"/>
      <c r="J101" s="60"/>
      <c r="K101" s="56"/>
      <c r="L101" s="56"/>
      <c r="M101" s="56"/>
      <c r="N101" s="56"/>
      <c r="O101" s="56"/>
      <c r="P101" s="56"/>
      <c r="Q101" s="56"/>
      <c r="R101" s="56"/>
      <c r="S101" s="56"/>
      <c r="T101" s="56"/>
      <c r="U101" s="56"/>
      <c r="V101" s="56"/>
      <c r="W101" s="56"/>
      <c r="X101" s="56"/>
      <c r="Y101" s="56"/>
      <c r="Z101" s="56"/>
      <c r="AA101" s="56"/>
      <c r="AB101" s="56"/>
    </row>
    <row r="102">
      <c r="A102" s="75"/>
      <c r="B102" s="69"/>
      <c r="C102" s="60"/>
      <c r="D102" s="61"/>
      <c r="E102" s="69"/>
      <c r="F102" s="60"/>
      <c r="G102" s="60"/>
      <c r="H102" s="60"/>
      <c r="I102" s="60"/>
      <c r="J102" s="60"/>
      <c r="K102" s="56"/>
      <c r="L102" s="56"/>
      <c r="M102" s="56"/>
      <c r="N102" s="56"/>
      <c r="O102" s="56"/>
      <c r="P102" s="56"/>
      <c r="Q102" s="56"/>
      <c r="R102" s="56"/>
      <c r="S102" s="56"/>
      <c r="T102" s="56"/>
      <c r="U102" s="56"/>
      <c r="V102" s="56"/>
      <c r="W102" s="56"/>
      <c r="X102" s="56"/>
      <c r="Y102" s="56"/>
      <c r="Z102" s="56"/>
      <c r="AA102" s="56"/>
      <c r="AB102" s="56"/>
    </row>
    <row r="103">
      <c r="A103" s="75"/>
      <c r="B103" s="69"/>
      <c r="C103" s="60"/>
      <c r="D103" s="61"/>
      <c r="E103" s="69"/>
      <c r="F103" s="60"/>
      <c r="G103" s="60"/>
      <c r="H103" s="60"/>
      <c r="I103" s="60"/>
      <c r="J103" s="60"/>
      <c r="K103" s="56"/>
      <c r="L103" s="56"/>
      <c r="M103" s="56"/>
      <c r="N103" s="56"/>
      <c r="O103" s="56"/>
      <c r="P103" s="56"/>
      <c r="Q103" s="56"/>
      <c r="R103" s="56"/>
      <c r="S103" s="56"/>
      <c r="T103" s="56"/>
      <c r="U103" s="56"/>
      <c r="V103" s="56"/>
      <c r="W103" s="56"/>
      <c r="X103" s="56"/>
      <c r="Y103" s="56"/>
      <c r="Z103" s="56"/>
      <c r="AA103" s="56"/>
      <c r="AB103" s="56"/>
    </row>
    <row r="104">
      <c r="A104" s="75"/>
      <c r="B104" s="69"/>
      <c r="C104" s="60"/>
      <c r="D104" s="61"/>
      <c r="E104" s="69"/>
      <c r="F104" s="60"/>
      <c r="G104" s="60"/>
      <c r="H104" s="60"/>
      <c r="I104" s="60"/>
      <c r="J104" s="60"/>
      <c r="K104" s="56"/>
      <c r="L104" s="56"/>
      <c r="M104" s="56"/>
      <c r="N104" s="56"/>
      <c r="O104" s="56"/>
      <c r="P104" s="56"/>
      <c r="Q104" s="56"/>
      <c r="R104" s="56"/>
      <c r="S104" s="56"/>
      <c r="T104" s="56"/>
      <c r="U104" s="56"/>
      <c r="V104" s="56"/>
      <c r="W104" s="56"/>
      <c r="X104" s="56"/>
      <c r="Y104" s="56"/>
      <c r="Z104" s="56"/>
      <c r="AA104" s="56"/>
      <c r="AB104" s="56"/>
    </row>
    <row r="105">
      <c r="A105" s="75"/>
      <c r="B105" s="69"/>
      <c r="C105" s="60"/>
      <c r="D105" s="61"/>
      <c r="E105" s="69"/>
      <c r="F105" s="60"/>
      <c r="G105" s="60"/>
      <c r="H105" s="60"/>
      <c r="I105" s="60"/>
      <c r="J105" s="60"/>
      <c r="K105" s="56"/>
      <c r="L105" s="56"/>
      <c r="M105" s="56"/>
      <c r="N105" s="56"/>
      <c r="O105" s="56"/>
      <c r="P105" s="56"/>
      <c r="Q105" s="56"/>
      <c r="R105" s="56"/>
      <c r="S105" s="56"/>
      <c r="T105" s="56"/>
      <c r="U105" s="56"/>
      <c r="V105" s="56"/>
      <c r="W105" s="56"/>
      <c r="X105" s="56"/>
      <c r="Y105" s="56"/>
      <c r="Z105" s="56"/>
      <c r="AA105" s="56"/>
      <c r="AB105" s="56"/>
    </row>
    <row r="106">
      <c r="A106" s="75"/>
      <c r="B106" s="69"/>
      <c r="C106" s="60"/>
      <c r="D106" s="61"/>
      <c r="E106" s="69"/>
      <c r="F106" s="60"/>
      <c r="G106" s="60"/>
      <c r="H106" s="60"/>
      <c r="I106" s="60"/>
      <c r="J106" s="60"/>
      <c r="K106" s="56"/>
      <c r="L106" s="56"/>
      <c r="M106" s="56"/>
      <c r="N106" s="56"/>
      <c r="O106" s="56"/>
      <c r="P106" s="56"/>
      <c r="Q106" s="56"/>
      <c r="R106" s="56"/>
      <c r="S106" s="56"/>
      <c r="T106" s="56"/>
      <c r="U106" s="56"/>
      <c r="V106" s="56"/>
      <c r="W106" s="56"/>
      <c r="X106" s="56"/>
      <c r="Y106" s="56"/>
      <c r="Z106" s="56"/>
      <c r="AA106" s="56"/>
      <c r="AB106" s="56"/>
    </row>
    <row r="107">
      <c r="A107" s="75"/>
      <c r="B107" s="69"/>
      <c r="C107" s="60"/>
      <c r="D107" s="61"/>
      <c r="E107" s="69"/>
      <c r="F107" s="60"/>
      <c r="G107" s="60"/>
      <c r="H107" s="60"/>
      <c r="I107" s="60"/>
      <c r="J107" s="60"/>
      <c r="K107" s="56"/>
      <c r="L107" s="56"/>
      <c r="M107" s="56"/>
      <c r="N107" s="56"/>
      <c r="O107" s="56"/>
      <c r="P107" s="56"/>
      <c r="Q107" s="56"/>
      <c r="R107" s="56"/>
      <c r="S107" s="56"/>
      <c r="T107" s="56"/>
      <c r="U107" s="56"/>
      <c r="V107" s="56"/>
      <c r="W107" s="56"/>
      <c r="X107" s="56"/>
      <c r="Y107" s="56"/>
      <c r="Z107" s="56"/>
      <c r="AA107" s="56"/>
      <c r="AB107" s="56"/>
    </row>
    <row r="108">
      <c r="A108" s="75"/>
      <c r="B108" s="69"/>
      <c r="C108" s="60"/>
      <c r="D108" s="61"/>
      <c r="E108" s="69"/>
      <c r="F108" s="60"/>
      <c r="G108" s="60"/>
      <c r="H108" s="60"/>
      <c r="I108" s="60"/>
      <c r="J108" s="60"/>
      <c r="K108" s="56"/>
      <c r="L108" s="56"/>
      <c r="M108" s="56"/>
      <c r="N108" s="56"/>
      <c r="O108" s="56"/>
      <c r="P108" s="56"/>
      <c r="Q108" s="56"/>
      <c r="R108" s="56"/>
      <c r="S108" s="56"/>
      <c r="T108" s="56"/>
      <c r="U108" s="56"/>
      <c r="V108" s="56"/>
      <c r="W108" s="56"/>
      <c r="X108" s="56"/>
      <c r="Y108" s="56"/>
      <c r="Z108" s="56"/>
      <c r="AA108" s="56"/>
      <c r="AB108" s="56"/>
    </row>
    <row r="109">
      <c r="A109" s="75"/>
      <c r="B109" s="69"/>
      <c r="C109" s="60"/>
      <c r="D109" s="61"/>
      <c r="E109" s="69"/>
      <c r="F109" s="60"/>
      <c r="G109" s="60"/>
      <c r="H109" s="60"/>
      <c r="I109" s="60"/>
      <c r="J109" s="60"/>
      <c r="K109" s="56"/>
      <c r="L109" s="56"/>
      <c r="M109" s="56"/>
      <c r="N109" s="56"/>
      <c r="O109" s="56"/>
      <c r="P109" s="56"/>
      <c r="Q109" s="56"/>
      <c r="R109" s="56"/>
      <c r="S109" s="56"/>
      <c r="T109" s="56"/>
      <c r="U109" s="56"/>
      <c r="V109" s="56"/>
      <c r="W109" s="56"/>
      <c r="X109" s="56"/>
      <c r="Y109" s="56"/>
      <c r="Z109" s="56"/>
      <c r="AA109" s="56"/>
      <c r="AB109" s="56"/>
    </row>
    <row r="110">
      <c r="A110" s="75"/>
      <c r="B110" s="69"/>
      <c r="C110" s="60"/>
      <c r="D110" s="61"/>
      <c r="E110" s="69"/>
      <c r="F110" s="60"/>
      <c r="G110" s="60"/>
      <c r="H110" s="60"/>
      <c r="I110" s="60"/>
      <c r="J110" s="60"/>
      <c r="K110" s="56"/>
      <c r="L110" s="56"/>
      <c r="M110" s="56"/>
      <c r="N110" s="56"/>
      <c r="O110" s="56"/>
      <c r="P110" s="56"/>
      <c r="Q110" s="56"/>
      <c r="R110" s="56"/>
      <c r="S110" s="56"/>
      <c r="T110" s="56"/>
      <c r="U110" s="56"/>
      <c r="V110" s="56"/>
      <c r="W110" s="56"/>
      <c r="X110" s="56"/>
      <c r="Y110" s="56"/>
      <c r="Z110" s="56"/>
      <c r="AA110" s="56"/>
      <c r="AB110" s="56"/>
    </row>
    <row r="111">
      <c r="A111" s="75"/>
      <c r="B111" s="69"/>
      <c r="C111" s="60"/>
      <c r="D111" s="61"/>
      <c r="E111" s="69"/>
      <c r="F111" s="60"/>
      <c r="G111" s="60"/>
      <c r="H111" s="60"/>
      <c r="I111" s="60"/>
      <c r="J111" s="60"/>
      <c r="K111" s="56"/>
      <c r="L111" s="56"/>
      <c r="M111" s="56"/>
      <c r="N111" s="56"/>
      <c r="O111" s="56"/>
      <c r="P111" s="56"/>
      <c r="Q111" s="56"/>
      <c r="R111" s="56"/>
      <c r="S111" s="56"/>
      <c r="T111" s="56"/>
      <c r="U111" s="56"/>
      <c r="V111" s="56"/>
      <c r="W111" s="56"/>
      <c r="X111" s="56"/>
      <c r="Y111" s="56"/>
      <c r="Z111" s="56"/>
      <c r="AA111" s="56"/>
      <c r="AB111" s="56"/>
    </row>
    <row r="112">
      <c r="A112" s="75"/>
      <c r="B112" s="69"/>
      <c r="C112" s="60"/>
      <c r="D112" s="61"/>
      <c r="E112" s="69"/>
      <c r="F112" s="60"/>
      <c r="G112" s="60"/>
      <c r="H112" s="60"/>
      <c r="I112" s="60"/>
      <c r="J112" s="60"/>
      <c r="K112" s="56"/>
      <c r="L112" s="56"/>
      <c r="M112" s="56"/>
      <c r="N112" s="56"/>
      <c r="O112" s="56"/>
      <c r="P112" s="56"/>
      <c r="Q112" s="56"/>
      <c r="R112" s="56"/>
      <c r="S112" s="56"/>
      <c r="T112" s="56"/>
      <c r="U112" s="56"/>
      <c r="V112" s="56"/>
      <c r="W112" s="56"/>
      <c r="X112" s="56"/>
      <c r="Y112" s="56"/>
      <c r="Z112" s="56"/>
      <c r="AA112" s="56"/>
      <c r="AB112" s="56"/>
    </row>
    <row r="113">
      <c r="A113" s="75"/>
      <c r="B113" s="69"/>
      <c r="C113" s="60"/>
      <c r="D113" s="61"/>
      <c r="E113" s="69"/>
      <c r="F113" s="60"/>
      <c r="G113" s="60"/>
      <c r="H113" s="60"/>
      <c r="I113" s="60"/>
      <c r="J113" s="60"/>
      <c r="K113" s="56"/>
      <c r="L113" s="56"/>
      <c r="M113" s="56"/>
      <c r="N113" s="56"/>
      <c r="O113" s="56"/>
      <c r="P113" s="56"/>
      <c r="Q113" s="56"/>
      <c r="R113" s="56"/>
      <c r="S113" s="56"/>
      <c r="T113" s="56"/>
      <c r="U113" s="56"/>
      <c r="V113" s="56"/>
      <c r="W113" s="56"/>
      <c r="X113" s="56"/>
      <c r="Y113" s="56"/>
      <c r="Z113" s="56"/>
      <c r="AA113" s="56"/>
      <c r="AB113" s="56"/>
    </row>
    <row r="114">
      <c r="A114" s="75"/>
      <c r="B114" s="69"/>
      <c r="C114" s="60"/>
      <c r="D114" s="61"/>
      <c r="E114" s="69"/>
      <c r="F114" s="60"/>
      <c r="G114" s="60"/>
      <c r="H114" s="60"/>
      <c r="I114" s="60"/>
      <c r="J114" s="60"/>
      <c r="K114" s="56"/>
      <c r="L114" s="56"/>
      <c r="M114" s="56"/>
      <c r="N114" s="56"/>
      <c r="O114" s="56"/>
      <c r="P114" s="56"/>
      <c r="Q114" s="56"/>
      <c r="R114" s="56"/>
      <c r="S114" s="56"/>
      <c r="T114" s="56"/>
      <c r="U114" s="56"/>
      <c r="V114" s="56"/>
      <c r="W114" s="56"/>
      <c r="X114" s="56"/>
      <c r="Y114" s="56"/>
      <c r="Z114" s="56"/>
      <c r="AA114" s="56"/>
      <c r="AB114" s="56"/>
    </row>
    <row r="115">
      <c r="A115" s="75"/>
      <c r="B115" s="69"/>
      <c r="C115" s="60"/>
      <c r="D115" s="61"/>
      <c r="E115" s="69"/>
      <c r="F115" s="60"/>
      <c r="G115" s="60"/>
      <c r="H115" s="60"/>
      <c r="I115" s="60"/>
      <c r="J115" s="60"/>
      <c r="K115" s="56"/>
      <c r="L115" s="56"/>
      <c r="M115" s="56"/>
      <c r="N115" s="56"/>
      <c r="O115" s="56"/>
      <c r="P115" s="56"/>
      <c r="Q115" s="56"/>
      <c r="R115" s="56"/>
      <c r="S115" s="56"/>
      <c r="T115" s="56"/>
      <c r="U115" s="56"/>
      <c r="V115" s="56"/>
      <c r="W115" s="56"/>
      <c r="X115" s="56"/>
      <c r="Y115" s="56"/>
      <c r="Z115" s="56"/>
      <c r="AA115" s="56"/>
      <c r="AB115" s="56"/>
    </row>
    <row r="116">
      <c r="A116" s="75"/>
      <c r="B116" s="69"/>
      <c r="C116" s="60"/>
      <c r="D116" s="61"/>
      <c r="E116" s="69"/>
      <c r="F116" s="60"/>
      <c r="G116" s="60"/>
      <c r="H116" s="60"/>
      <c r="I116" s="60"/>
      <c r="J116" s="60"/>
      <c r="K116" s="56"/>
      <c r="L116" s="56"/>
      <c r="M116" s="56"/>
      <c r="N116" s="56"/>
      <c r="O116" s="56"/>
      <c r="P116" s="56"/>
      <c r="Q116" s="56"/>
      <c r="R116" s="56"/>
      <c r="S116" s="56"/>
      <c r="T116" s="56"/>
      <c r="U116" s="56"/>
      <c r="V116" s="56"/>
      <c r="W116" s="56"/>
      <c r="X116" s="56"/>
      <c r="Y116" s="56"/>
      <c r="Z116" s="56"/>
      <c r="AA116" s="56"/>
      <c r="AB116" s="56"/>
    </row>
    <row r="117">
      <c r="A117" s="75"/>
      <c r="B117" s="69"/>
      <c r="C117" s="60"/>
      <c r="D117" s="61"/>
      <c r="E117" s="69"/>
      <c r="F117" s="60"/>
      <c r="G117" s="60"/>
      <c r="H117" s="60"/>
      <c r="I117" s="60"/>
      <c r="J117" s="60"/>
      <c r="K117" s="56"/>
      <c r="L117" s="56"/>
      <c r="M117" s="56"/>
      <c r="N117" s="56"/>
      <c r="O117" s="56"/>
      <c r="P117" s="56"/>
      <c r="Q117" s="56"/>
      <c r="R117" s="56"/>
      <c r="S117" s="56"/>
      <c r="T117" s="56"/>
      <c r="U117" s="56"/>
      <c r="V117" s="56"/>
      <c r="W117" s="56"/>
      <c r="X117" s="56"/>
      <c r="Y117" s="56"/>
      <c r="Z117" s="56"/>
      <c r="AA117" s="56"/>
      <c r="AB117" s="56"/>
    </row>
    <row r="118">
      <c r="A118" s="75"/>
      <c r="B118" s="69"/>
      <c r="C118" s="60"/>
      <c r="D118" s="61"/>
      <c r="E118" s="69"/>
      <c r="F118" s="60"/>
      <c r="G118" s="60"/>
      <c r="H118" s="60"/>
      <c r="I118" s="60"/>
      <c r="J118" s="60"/>
      <c r="K118" s="56"/>
      <c r="L118" s="56"/>
      <c r="M118" s="56"/>
      <c r="N118" s="56"/>
      <c r="O118" s="56"/>
      <c r="P118" s="56"/>
      <c r="Q118" s="56"/>
      <c r="R118" s="56"/>
      <c r="S118" s="56"/>
      <c r="T118" s="56"/>
      <c r="U118" s="56"/>
      <c r="V118" s="56"/>
      <c r="W118" s="56"/>
      <c r="X118" s="56"/>
      <c r="Y118" s="56"/>
      <c r="Z118" s="56"/>
      <c r="AA118" s="56"/>
      <c r="AB118" s="56"/>
    </row>
    <row r="119">
      <c r="A119" s="75"/>
      <c r="B119" s="69"/>
      <c r="C119" s="60"/>
      <c r="D119" s="61"/>
      <c r="E119" s="69"/>
      <c r="F119" s="60"/>
      <c r="G119" s="60"/>
      <c r="H119" s="60"/>
      <c r="I119" s="60"/>
      <c r="J119" s="60"/>
      <c r="K119" s="56"/>
      <c r="L119" s="56"/>
      <c r="M119" s="56"/>
      <c r="N119" s="56"/>
      <c r="O119" s="56"/>
      <c r="P119" s="56"/>
      <c r="Q119" s="56"/>
      <c r="R119" s="56"/>
      <c r="S119" s="56"/>
      <c r="T119" s="56"/>
      <c r="U119" s="56"/>
      <c r="V119" s="56"/>
      <c r="W119" s="56"/>
      <c r="X119" s="56"/>
      <c r="Y119" s="56"/>
      <c r="Z119" s="56"/>
      <c r="AA119" s="56"/>
      <c r="AB119" s="56"/>
    </row>
    <row r="120">
      <c r="A120" s="75"/>
      <c r="B120" s="69"/>
      <c r="C120" s="60"/>
      <c r="D120" s="61"/>
      <c r="E120" s="69"/>
      <c r="F120" s="60"/>
      <c r="G120" s="60"/>
      <c r="H120" s="60"/>
      <c r="I120" s="60"/>
      <c r="J120" s="60"/>
      <c r="K120" s="56"/>
      <c r="L120" s="56"/>
      <c r="M120" s="56"/>
      <c r="N120" s="56"/>
      <c r="O120" s="56"/>
      <c r="P120" s="56"/>
      <c r="Q120" s="56"/>
      <c r="R120" s="56"/>
      <c r="S120" s="56"/>
      <c r="T120" s="56"/>
      <c r="U120" s="56"/>
      <c r="V120" s="56"/>
      <c r="W120" s="56"/>
      <c r="X120" s="56"/>
      <c r="Y120" s="56"/>
      <c r="Z120" s="56"/>
      <c r="AA120" s="56"/>
      <c r="AB120" s="56"/>
    </row>
    <row r="121">
      <c r="A121" s="75"/>
      <c r="B121" s="69"/>
      <c r="C121" s="60"/>
      <c r="D121" s="61"/>
      <c r="E121" s="69"/>
      <c r="F121" s="60"/>
      <c r="G121" s="60"/>
      <c r="H121" s="60"/>
      <c r="I121" s="60"/>
      <c r="J121" s="60"/>
      <c r="K121" s="56"/>
      <c r="L121" s="56"/>
      <c r="M121" s="56"/>
      <c r="N121" s="56"/>
      <c r="O121" s="56"/>
      <c r="P121" s="56"/>
      <c r="Q121" s="56"/>
      <c r="R121" s="56"/>
      <c r="S121" s="56"/>
      <c r="T121" s="56"/>
      <c r="U121" s="56"/>
      <c r="V121" s="56"/>
      <c r="W121" s="56"/>
      <c r="X121" s="56"/>
      <c r="Y121" s="56"/>
      <c r="Z121" s="56"/>
      <c r="AA121" s="56"/>
      <c r="AB121" s="56"/>
    </row>
    <row r="122">
      <c r="A122" s="75"/>
      <c r="B122" s="69"/>
      <c r="C122" s="60"/>
      <c r="D122" s="61"/>
      <c r="E122" s="69"/>
      <c r="F122" s="60"/>
      <c r="G122" s="60"/>
      <c r="H122" s="60"/>
      <c r="I122" s="60"/>
      <c r="J122" s="60"/>
      <c r="K122" s="56"/>
      <c r="L122" s="56"/>
      <c r="M122" s="56"/>
      <c r="N122" s="56"/>
      <c r="O122" s="56"/>
      <c r="P122" s="56"/>
      <c r="Q122" s="56"/>
      <c r="R122" s="56"/>
      <c r="S122" s="56"/>
      <c r="T122" s="56"/>
      <c r="U122" s="56"/>
      <c r="V122" s="56"/>
      <c r="W122" s="56"/>
      <c r="X122" s="56"/>
      <c r="Y122" s="56"/>
      <c r="Z122" s="56"/>
      <c r="AA122" s="56"/>
      <c r="AB122" s="56"/>
    </row>
    <row r="123">
      <c r="A123" s="75"/>
      <c r="B123" s="69"/>
      <c r="C123" s="60"/>
      <c r="D123" s="61"/>
      <c r="E123" s="69"/>
      <c r="F123" s="60"/>
      <c r="G123" s="60"/>
      <c r="H123" s="60"/>
      <c r="I123" s="60"/>
      <c r="J123" s="60"/>
      <c r="K123" s="56"/>
      <c r="L123" s="56"/>
      <c r="M123" s="56"/>
      <c r="N123" s="56"/>
      <c r="O123" s="56"/>
      <c r="P123" s="56"/>
      <c r="Q123" s="56"/>
      <c r="R123" s="56"/>
      <c r="S123" s="56"/>
      <c r="T123" s="56"/>
      <c r="U123" s="56"/>
      <c r="V123" s="56"/>
      <c r="W123" s="56"/>
      <c r="X123" s="56"/>
      <c r="Y123" s="56"/>
      <c r="Z123" s="56"/>
      <c r="AA123" s="56"/>
      <c r="AB123" s="56"/>
    </row>
    <row r="124">
      <c r="A124" s="75"/>
      <c r="B124" s="69"/>
      <c r="C124" s="60"/>
      <c r="D124" s="61"/>
      <c r="E124" s="69"/>
      <c r="F124" s="60"/>
      <c r="G124" s="60"/>
      <c r="H124" s="60"/>
      <c r="I124" s="60"/>
      <c r="J124" s="60"/>
      <c r="K124" s="56"/>
      <c r="L124" s="56"/>
      <c r="M124" s="56"/>
      <c r="N124" s="56"/>
      <c r="O124" s="56"/>
      <c r="P124" s="56"/>
      <c r="Q124" s="56"/>
      <c r="R124" s="56"/>
      <c r="S124" s="56"/>
      <c r="T124" s="56"/>
      <c r="U124" s="56"/>
      <c r="V124" s="56"/>
      <c r="W124" s="56"/>
      <c r="X124" s="56"/>
      <c r="Y124" s="56"/>
      <c r="Z124" s="56"/>
      <c r="AA124" s="56"/>
      <c r="AB124" s="56"/>
    </row>
    <row r="125">
      <c r="A125" s="75"/>
      <c r="B125" s="69"/>
      <c r="C125" s="60"/>
      <c r="D125" s="61"/>
      <c r="E125" s="69"/>
      <c r="F125" s="60"/>
      <c r="G125" s="60"/>
      <c r="H125" s="60"/>
      <c r="I125" s="60"/>
      <c r="J125" s="60"/>
      <c r="K125" s="56"/>
      <c r="L125" s="56"/>
      <c r="M125" s="56"/>
      <c r="N125" s="56"/>
      <c r="O125" s="56"/>
      <c r="P125" s="56"/>
      <c r="Q125" s="56"/>
      <c r="R125" s="56"/>
      <c r="S125" s="56"/>
      <c r="T125" s="56"/>
      <c r="U125" s="56"/>
      <c r="V125" s="56"/>
      <c r="W125" s="56"/>
      <c r="X125" s="56"/>
      <c r="Y125" s="56"/>
      <c r="Z125" s="56"/>
      <c r="AA125" s="56"/>
      <c r="AB125" s="56"/>
    </row>
    <row r="126">
      <c r="A126" s="75"/>
      <c r="B126" s="69"/>
      <c r="C126" s="60"/>
      <c r="D126" s="61"/>
      <c r="E126" s="69"/>
      <c r="F126" s="60"/>
      <c r="G126" s="60"/>
      <c r="H126" s="60"/>
      <c r="I126" s="60"/>
      <c r="J126" s="60"/>
      <c r="K126" s="56"/>
      <c r="L126" s="56"/>
      <c r="M126" s="56"/>
      <c r="N126" s="56"/>
      <c r="O126" s="56"/>
      <c r="P126" s="56"/>
      <c r="Q126" s="56"/>
      <c r="R126" s="56"/>
      <c r="S126" s="56"/>
      <c r="T126" s="56"/>
      <c r="U126" s="56"/>
      <c r="V126" s="56"/>
      <c r="W126" s="56"/>
      <c r="X126" s="56"/>
      <c r="Y126" s="56"/>
      <c r="Z126" s="56"/>
      <c r="AA126" s="56"/>
      <c r="AB126" s="56"/>
    </row>
    <row r="127">
      <c r="A127" s="75"/>
      <c r="B127" s="69"/>
      <c r="C127" s="60"/>
      <c r="D127" s="61"/>
      <c r="E127" s="69"/>
      <c r="F127" s="60"/>
      <c r="G127" s="60"/>
      <c r="H127" s="60"/>
      <c r="I127" s="60"/>
      <c r="J127" s="60"/>
      <c r="K127" s="56"/>
      <c r="L127" s="56"/>
      <c r="M127" s="56"/>
      <c r="N127" s="56"/>
      <c r="O127" s="56"/>
      <c r="P127" s="56"/>
      <c r="Q127" s="56"/>
      <c r="R127" s="56"/>
      <c r="S127" s="56"/>
      <c r="T127" s="56"/>
      <c r="U127" s="56"/>
      <c r="V127" s="56"/>
      <c r="W127" s="56"/>
      <c r="X127" s="56"/>
      <c r="Y127" s="56"/>
      <c r="Z127" s="56"/>
      <c r="AA127" s="56"/>
      <c r="AB127" s="56"/>
    </row>
    <row r="128">
      <c r="A128" s="75"/>
      <c r="B128" s="69"/>
      <c r="C128" s="60"/>
      <c r="D128" s="61"/>
      <c r="E128" s="69"/>
      <c r="F128" s="60"/>
      <c r="G128" s="60"/>
      <c r="H128" s="60"/>
      <c r="I128" s="60"/>
      <c r="J128" s="60"/>
      <c r="K128" s="56"/>
      <c r="L128" s="56"/>
      <c r="M128" s="56"/>
      <c r="N128" s="56"/>
      <c r="O128" s="56"/>
      <c r="P128" s="56"/>
      <c r="Q128" s="56"/>
      <c r="R128" s="56"/>
      <c r="S128" s="56"/>
      <c r="T128" s="56"/>
      <c r="U128" s="56"/>
      <c r="V128" s="56"/>
      <c r="W128" s="56"/>
      <c r="X128" s="56"/>
      <c r="Y128" s="56"/>
      <c r="Z128" s="56"/>
      <c r="AA128" s="56"/>
      <c r="AB128" s="56"/>
    </row>
    <row r="129">
      <c r="A129" s="75"/>
      <c r="B129" s="69"/>
      <c r="C129" s="60"/>
      <c r="D129" s="61"/>
      <c r="E129" s="69"/>
      <c r="F129" s="60"/>
      <c r="G129" s="60"/>
      <c r="H129" s="60"/>
      <c r="I129" s="60"/>
      <c r="J129" s="60"/>
      <c r="K129" s="56"/>
      <c r="L129" s="56"/>
      <c r="M129" s="56"/>
      <c r="N129" s="56"/>
      <c r="O129" s="56"/>
      <c r="P129" s="56"/>
      <c r="Q129" s="56"/>
      <c r="R129" s="56"/>
      <c r="S129" s="56"/>
      <c r="T129" s="56"/>
      <c r="U129" s="56"/>
      <c r="V129" s="56"/>
      <c r="W129" s="56"/>
      <c r="X129" s="56"/>
      <c r="Y129" s="56"/>
      <c r="Z129" s="56"/>
      <c r="AA129" s="56"/>
      <c r="AB129" s="56"/>
    </row>
    <row r="130">
      <c r="A130" s="75"/>
      <c r="B130" s="69"/>
      <c r="C130" s="60"/>
      <c r="D130" s="61"/>
      <c r="E130" s="69"/>
      <c r="F130" s="60"/>
      <c r="G130" s="60"/>
      <c r="H130" s="60"/>
      <c r="I130" s="60"/>
      <c r="J130" s="60"/>
      <c r="K130" s="56"/>
      <c r="L130" s="56"/>
      <c r="M130" s="56"/>
      <c r="N130" s="56"/>
      <c r="O130" s="56"/>
      <c r="P130" s="56"/>
      <c r="Q130" s="56"/>
      <c r="R130" s="56"/>
      <c r="S130" s="56"/>
      <c r="T130" s="56"/>
      <c r="U130" s="56"/>
      <c r="V130" s="56"/>
      <c r="W130" s="56"/>
      <c r="X130" s="56"/>
      <c r="Y130" s="56"/>
      <c r="Z130" s="56"/>
      <c r="AA130" s="56"/>
      <c r="AB130" s="56"/>
    </row>
    <row r="131">
      <c r="A131" s="75"/>
      <c r="B131" s="69"/>
      <c r="C131" s="60"/>
      <c r="D131" s="61"/>
      <c r="E131" s="69"/>
      <c r="F131" s="60"/>
      <c r="G131" s="60"/>
      <c r="H131" s="60"/>
      <c r="I131" s="60"/>
      <c r="J131" s="60"/>
      <c r="K131" s="56"/>
      <c r="L131" s="56"/>
      <c r="M131" s="56"/>
      <c r="N131" s="56"/>
      <c r="O131" s="56"/>
      <c r="P131" s="56"/>
      <c r="Q131" s="56"/>
      <c r="R131" s="56"/>
      <c r="S131" s="56"/>
      <c r="T131" s="56"/>
      <c r="U131" s="56"/>
      <c r="V131" s="56"/>
      <c r="W131" s="56"/>
      <c r="X131" s="56"/>
      <c r="Y131" s="56"/>
      <c r="Z131" s="56"/>
      <c r="AA131" s="56"/>
      <c r="AB131" s="56"/>
    </row>
    <row r="132">
      <c r="A132" s="75"/>
      <c r="B132" s="69"/>
      <c r="C132" s="60"/>
      <c r="D132" s="61"/>
      <c r="E132" s="69"/>
      <c r="F132" s="60"/>
      <c r="G132" s="60"/>
      <c r="H132" s="60"/>
      <c r="I132" s="60"/>
      <c r="J132" s="60"/>
      <c r="K132" s="56"/>
      <c r="L132" s="56"/>
      <c r="M132" s="56"/>
      <c r="N132" s="56"/>
      <c r="O132" s="56"/>
      <c r="P132" s="56"/>
      <c r="Q132" s="56"/>
      <c r="R132" s="56"/>
      <c r="S132" s="56"/>
      <c r="T132" s="56"/>
      <c r="U132" s="56"/>
      <c r="V132" s="56"/>
      <c r="W132" s="56"/>
      <c r="X132" s="56"/>
      <c r="Y132" s="56"/>
      <c r="Z132" s="56"/>
      <c r="AA132" s="56"/>
      <c r="AB132" s="56"/>
    </row>
    <row r="133">
      <c r="A133" s="75"/>
      <c r="B133" s="69"/>
      <c r="C133" s="60"/>
      <c r="D133" s="61"/>
      <c r="E133" s="69"/>
      <c r="F133" s="60"/>
      <c r="G133" s="60"/>
      <c r="H133" s="60"/>
      <c r="I133" s="60"/>
      <c r="J133" s="60"/>
      <c r="K133" s="56"/>
      <c r="L133" s="56"/>
      <c r="M133" s="56"/>
      <c r="N133" s="56"/>
      <c r="O133" s="56"/>
      <c r="P133" s="56"/>
      <c r="Q133" s="56"/>
      <c r="R133" s="56"/>
      <c r="S133" s="56"/>
      <c r="T133" s="56"/>
      <c r="U133" s="56"/>
      <c r="V133" s="56"/>
      <c r="W133" s="56"/>
      <c r="X133" s="56"/>
      <c r="Y133" s="56"/>
      <c r="Z133" s="56"/>
      <c r="AA133" s="56"/>
      <c r="AB133" s="56"/>
    </row>
    <row r="134">
      <c r="A134" s="75"/>
      <c r="B134" s="69"/>
      <c r="C134" s="60"/>
      <c r="D134" s="61"/>
      <c r="E134" s="69"/>
      <c r="F134" s="60"/>
      <c r="G134" s="60"/>
      <c r="H134" s="60"/>
      <c r="I134" s="60"/>
      <c r="J134" s="60"/>
      <c r="K134" s="56"/>
      <c r="L134" s="56"/>
      <c r="M134" s="56"/>
      <c r="N134" s="56"/>
      <c r="O134" s="56"/>
      <c r="P134" s="56"/>
      <c r="Q134" s="56"/>
      <c r="R134" s="56"/>
      <c r="S134" s="56"/>
      <c r="T134" s="56"/>
      <c r="U134" s="56"/>
      <c r="V134" s="56"/>
      <c r="W134" s="56"/>
      <c r="X134" s="56"/>
      <c r="Y134" s="56"/>
      <c r="Z134" s="56"/>
      <c r="AA134" s="56"/>
      <c r="AB134" s="56"/>
    </row>
    <row r="135">
      <c r="A135" s="75"/>
      <c r="B135" s="69"/>
      <c r="C135" s="60"/>
      <c r="D135" s="61"/>
      <c r="E135" s="69"/>
      <c r="F135" s="60"/>
      <c r="G135" s="60"/>
      <c r="H135" s="60"/>
      <c r="I135" s="60"/>
      <c r="J135" s="60"/>
      <c r="K135" s="56"/>
      <c r="L135" s="56"/>
      <c r="M135" s="56"/>
      <c r="N135" s="56"/>
      <c r="O135" s="56"/>
      <c r="P135" s="56"/>
      <c r="Q135" s="56"/>
      <c r="R135" s="56"/>
      <c r="S135" s="56"/>
      <c r="T135" s="56"/>
      <c r="U135" s="56"/>
      <c r="V135" s="56"/>
      <c r="W135" s="56"/>
      <c r="X135" s="56"/>
      <c r="Y135" s="56"/>
      <c r="Z135" s="56"/>
      <c r="AA135" s="56"/>
      <c r="AB135" s="56"/>
    </row>
    <row r="136">
      <c r="A136" s="75"/>
      <c r="B136" s="69"/>
      <c r="C136" s="60"/>
      <c r="D136" s="61"/>
      <c r="E136" s="69"/>
      <c r="F136" s="60"/>
      <c r="G136" s="60"/>
      <c r="H136" s="60"/>
      <c r="I136" s="60"/>
      <c r="J136" s="60"/>
      <c r="K136" s="56"/>
      <c r="L136" s="56"/>
      <c r="M136" s="56"/>
      <c r="N136" s="56"/>
      <c r="O136" s="56"/>
      <c r="P136" s="56"/>
      <c r="Q136" s="56"/>
      <c r="R136" s="56"/>
      <c r="S136" s="56"/>
      <c r="T136" s="56"/>
      <c r="U136" s="56"/>
      <c r="V136" s="56"/>
      <c r="W136" s="56"/>
      <c r="X136" s="56"/>
      <c r="Y136" s="56"/>
      <c r="Z136" s="56"/>
      <c r="AA136" s="56"/>
      <c r="AB136" s="56"/>
    </row>
    <row r="137">
      <c r="A137" s="75"/>
      <c r="B137" s="69"/>
      <c r="C137" s="60"/>
      <c r="D137" s="61"/>
      <c r="E137" s="69"/>
      <c r="F137" s="60"/>
      <c r="G137" s="60"/>
      <c r="H137" s="60"/>
      <c r="I137" s="60"/>
      <c r="J137" s="60"/>
      <c r="K137" s="56"/>
      <c r="L137" s="56"/>
      <c r="M137" s="56"/>
      <c r="N137" s="56"/>
      <c r="O137" s="56"/>
      <c r="P137" s="56"/>
      <c r="Q137" s="56"/>
      <c r="R137" s="56"/>
      <c r="S137" s="56"/>
      <c r="T137" s="56"/>
      <c r="U137" s="56"/>
      <c r="V137" s="56"/>
      <c r="W137" s="56"/>
      <c r="X137" s="56"/>
      <c r="Y137" s="56"/>
      <c r="Z137" s="56"/>
      <c r="AA137" s="56"/>
      <c r="AB137" s="56"/>
    </row>
    <row r="138">
      <c r="A138" s="75"/>
      <c r="B138" s="69"/>
      <c r="C138" s="60"/>
      <c r="D138" s="61"/>
      <c r="E138" s="69"/>
      <c r="F138" s="60"/>
      <c r="G138" s="60"/>
      <c r="H138" s="60"/>
      <c r="I138" s="60"/>
      <c r="J138" s="60"/>
      <c r="K138" s="56"/>
      <c r="L138" s="56"/>
      <c r="M138" s="56"/>
      <c r="N138" s="56"/>
      <c r="O138" s="56"/>
      <c r="P138" s="56"/>
      <c r="Q138" s="56"/>
      <c r="R138" s="56"/>
      <c r="S138" s="56"/>
      <c r="T138" s="56"/>
      <c r="U138" s="56"/>
      <c r="V138" s="56"/>
      <c r="W138" s="56"/>
      <c r="X138" s="56"/>
      <c r="Y138" s="56"/>
      <c r="Z138" s="56"/>
      <c r="AA138" s="56"/>
      <c r="AB138" s="56"/>
    </row>
    <row r="139">
      <c r="A139" s="75"/>
      <c r="B139" s="69"/>
      <c r="C139" s="60"/>
      <c r="D139" s="61"/>
      <c r="E139" s="69"/>
      <c r="F139" s="60"/>
      <c r="G139" s="60"/>
      <c r="H139" s="60"/>
      <c r="I139" s="60"/>
      <c r="J139" s="60"/>
      <c r="K139" s="56"/>
      <c r="L139" s="56"/>
      <c r="M139" s="56"/>
      <c r="N139" s="56"/>
      <c r="O139" s="56"/>
      <c r="P139" s="56"/>
      <c r="Q139" s="56"/>
      <c r="R139" s="56"/>
      <c r="S139" s="56"/>
      <c r="T139" s="56"/>
      <c r="U139" s="56"/>
      <c r="V139" s="56"/>
      <c r="W139" s="56"/>
      <c r="X139" s="56"/>
      <c r="Y139" s="56"/>
      <c r="Z139" s="56"/>
      <c r="AA139" s="56"/>
      <c r="AB139" s="56"/>
    </row>
    <row r="140">
      <c r="A140" s="75"/>
      <c r="B140" s="69"/>
      <c r="C140" s="60"/>
      <c r="D140" s="61"/>
      <c r="E140" s="69"/>
      <c r="F140" s="60"/>
      <c r="G140" s="60"/>
      <c r="H140" s="60"/>
      <c r="I140" s="60"/>
      <c r="J140" s="60"/>
      <c r="K140" s="56"/>
      <c r="L140" s="56"/>
      <c r="M140" s="56"/>
      <c r="N140" s="56"/>
      <c r="O140" s="56"/>
      <c r="P140" s="56"/>
      <c r="Q140" s="56"/>
      <c r="R140" s="56"/>
      <c r="S140" s="56"/>
      <c r="T140" s="56"/>
      <c r="U140" s="56"/>
      <c r="V140" s="56"/>
      <c r="W140" s="56"/>
      <c r="X140" s="56"/>
      <c r="Y140" s="56"/>
      <c r="Z140" s="56"/>
      <c r="AA140" s="56"/>
      <c r="AB140" s="56"/>
    </row>
    <row r="141">
      <c r="A141" s="75"/>
      <c r="B141" s="69"/>
      <c r="C141" s="60"/>
      <c r="D141" s="61"/>
      <c r="E141" s="69"/>
      <c r="F141" s="60"/>
      <c r="G141" s="60"/>
      <c r="H141" s="60"/>
      <c r="I141" s="60"/>
      <c r="J141" s="60"/>
      <c r="K141" s="56"/>
      <c r="L141" s="56"/>
      <c r="M141" s="56"/>
      <c r="N141" s="56"/>
      <c r="O141" s="56"/>
      <c r="P141" s="56"/>
      <c r="Q141" s="56"/>
      <c r="R141" s="56"/>
      <c r="S141" s="56"/>
      <c r="T141" s="56"/>
      <c r="U141" s="56"/>
      <c r="V141" s="56"/>
      <c r="W141" s="56"/>
      <c r="X141" s="56"/>
      <c r="Y141" s="56"/>
      <c r="Z141" s="56"/>
      <c r="AA141" s="56"/>
      <c r="AB141" s="56"/>
    </row>
    <row r="142">
      <c r="A142" s="75"/>
      <c r="B142" s="69"/>
      <c r="C142" s="60"/>
      <c r="D142" s="61"/>
      <c r="E142" s="69"/>
      <c r="F142" s="60"/>
      <c r="G142" s="60"/>
      <c r="H142" s="60"/>
      <c r="I142" s="60"/>
      <c r="J142" s="60"/>
      <c r="K142" s="56"/>
      <c r="L142" s="56"/>
      <c r="M142" s="56"/>
      <c r="N142" s="56"/>
      <c r="O142" s="56"/>
      <c r="P142" s="56"/>
      <c r="Q142" s="56"/>
      <c r="R142" s="56"/>
      <c r="S142" s="56"/>
      <c r="T142" s="56"/>
      <c r="U142" s="56"/>
      <c r="V142" s="56"/>
      <c r="W142" s="56"/>
      <c r="X142" s="56"/>
      <c r="Y142" s="56"/>
      <c r="Z142" s="56"/>
      <c r="AA142" s="56"/>
      <c r="AB142" s="56"/>
    </row>
    <row r="143">
      <c r="A143" s="75"/>
      <c r="B143" s="69"/>
      <c r="C143" s="60"/>
      <c r="D143" s="61"/>
      <c r="E143" s="69"/>
      <c r="F143" s="60"/>
      <c r="G143" s="60"/>
      <c r="H143" s="60"/>
      <c r="I143" s="60"/>
      <c r="J143" s="60"/>
      <c r="K143" s="56"/>
      <c r="L143" s="56"/>
      <c r="M143" s="56"/>
      <c r="N143" s="56"/>
      <c r="O143" s="56"/>
      <c r="P143" s="56"/>
      <c r="Q143" s="56"/>
      <c r="R143" s="56"/>
      <c r="S143" s="56"/>
      <c r="T143" s="56"/>
      <c r="U143" s="56"/>
      <c r="V143" s="56"/>
      <c r="W143" s="56"/>
      <c r="X143" s="56"/>
      <c r="Y143" s="56"/>
      <c r="Z143" s="56"/>
      <c r="AA143" s="56"/>
      <c r="AB143" s="56"/>
    </row>
    <row r="144">
      <c r="A144" s="75"/>
      <c r="B144" s="69"/>
      <c r="C144" s="60"/>
      <c r="D144" s="61"/>
      <c r="E144" s="69"/>
      <c r="F144" s="60"/>
      <c r="G144" s="60"/>
      <c r="H144" s="60"/>
      <c r="I144" s="60"/>
      <c r="J144" s="60"/>
      <c r="K144" s="56"/>
      <c r="L144" s="56"/>
      <c r="M144" s="56"/>
      <c r="N144" s="56"/>
      <c r="O144" s="56"/>
      <c r="P144" s="56"/>
      <c r="Q144" s="56"/>
      <c r="R144" s="56"/>
      <c r="S144" s="56"/>
      <c r="T144" s="56"/>
      <c r="U144" s="56"/>
      <c r="V144" s="56"/>
      <c r="W144" s="56"/>
      <c r="X144" s="56"/>
      <c r="Y144" s="56"/>
      <c r="Z144" s="56"/>
      <c r="AA144" s="56"/>
      <c r="AB144" s="56"/>
    </row>
    <row r="145">
      <c r="A145" s="75"/>
      <c r="B145" s="69"/>
      <c r="C145" s="60"/>
      <c r="D145" s="61"/>
      <c r="E145" s="69"/>
      <c r="F145" s="60"/>
      <c r="G145" s="60"/>
      <c r="H145" s="60"/>
      <c r="I145" s="60"/>
      <c r="J145" s="60"/>
      <c r="K145" s="56"/>
      <c r="L145" s="56"/>
      <c r="M145" s="56"/>
      <c r="N145" s="56"/>
      <c r="O145" s="56"/>
      <c r="P145" s="56"/>
      <c r="Q145" s="56"/>
      <c r="R145" s="56"/>
      <c r="S145" s="56"/>
      <c r="T145" s="56"/>
      <c r="U145" s="56"/>
      <c r="V145" s="56"/>
      <c r="W145" s="56"/>
      <c r="X145" s="56"/>
      <c r="Y145" s="56"/>
      <c r="Z145" s="56"/>
      <c r="AA145" s="56"/>
      <c r="AB145" s="56"/>
    </row>
    <row r="146">
      <c r="A146" s="75"/>
      <c r="B146" s="69"/>
      <c r="C146" s="60"/>
      <c r="D146" s="61"/>
      <c r="E146" s="69"/>
      <c r="F146" s="60"/>
      <c r="G146" s="60"/>
      <c r="H146" s="60"/>
      <c r="I146" s="60"/>
      <c r="J146" s="60"/>
      <c r="K146" s="56"/>
      <c r="L146" s="56"/>
      <c r="M146" s="56"/>
      <c r="N146" s="56"/>
      <c r="O146" s="56"/>
      <c r="P146" s="56"/>
      <c r="Q146" s="56"/>
      <c r="R146" s="56"/>
      <c r="S146" s="56"/>
      <c r="T146" s="56"/>
      <c r="U146" s="56"/>
      <c r="V146" s="56"/>
      <c r="W146" s="56"/>
      <c r="X146" s="56"/>
      <c r="Y146" s="56"/>
      <c r="Z146" s="56"/>
      <c r="AA146" s="56"/>
      <c r="AB146" s="56"/>
    </row>
    <row r="147">
      <c r="A147" s="75"/>
      <c r="B147" s="69"/>
      <c r="C147" s="60"/>
      <c r="D147" s="61"/>
      <c r="E147" s="69"/>
      <c r="F147" s="60"/>
      <c r="G147" s="60"/>
      <c r="H147" s="60"/>
      <c r="I147" s="60"/>
      <c r="J147" s="60"/>
      <c r="K147" s="56"/>
      <c r="L147" s="56"/>
      <c r="M147" s="56"/>
      <c r="N147" s="56"/>
      <c r="O147" s="56"/>
      <c r="P147" s="56"/>
      <c r="Q147" s="56"/>
      <c r="R147" s="56"/>
      <c r="S147" s="56"/>
      <c r="T147" s="56"/>
      <c r="U147" s="56"/>
      <c r="V147" s="56"/>
      <c r="W147" s="56"/>
      <c r="X147" s="56"/>
      <c r="Y147" s="56"/>
      <c r="Z147" s="56"/>
      <c r="AA147" s="56"/>
      <c r="AB147" s="56"/>
    </row>
    <row r="148">
      <c r="A148" s="75"/>
      <c r="B148" s="69"/>
      <c r="C148" s="60"/>
      <c r="D148" s="61"/>
      <c r="E148" s="69"/>
      <c r="F148" s="60"/>
      <c r="G148" s="60"/>
      <c r="H148" s="60"/>
      <c r="I148" s="60"/>
      <c r="J148" s="60"/>
      <c r="K148" s="56"/>
      <c r="L148" s="56"/>
      <c r="M148" s="56"/>
      <c r="N148" s="56"/>
      <c r="O148" s="56"/>
      <c r="P148" s="56"/>
      <c r="Q148" s="56"/>
      <c r="R148" s="56"/>
      <c r="S148" s="56"/>
      <c r="T148" s="56"/>
      <c r="U148" s="56"/>
      <c r="V148" s="56"/>
      <c r="W148" s="56"/>
      <c r="X148" s="56"/>
      <c r="Y148" s="56"/>
      <c r="Z148" s="56"/>
      <c r="AA148" s="56"/>
      <c r="AB148" s="56"/>
    </row>
    <row r="149">
      <c r="A149" s="75"/>
      <c r="B149" s="69"/>
      <c r="C149" s="60"/>
      <c r="D149" s="61"/>
      <c r="E149" s="69"/>
      <c r="F149" s="60"/>
      <c r="G149" s="60"/>
      <c r="H149" s="60"/>
      <c r="I149" s="60"/>
      <c r="J149" s="60"/>
      <c r="K149" s="56"/>
      <c r="L149" s="56"/>
      <c r="M149" s="56"/>
      <c r="N149" s="56"/>
      <c r="O149" s="56"/>
      <c r="P149" s="56"/>
      <c r="Q149" s="56"/>
      <c r="R149" s="56"/>
      <c r="S149" s="56"/>
      <c r="T149" s="56"/>
      <c r="U149" s="56"/>
      <c r="V149" s="56"/>
      <c r="W149" s="56"/>
      <c r="X149" s="56"/>
      <c r="Y149" s="56"/>
      <c r="Z149" s="56"/>
      <c r="AA149" s="56"/>
      <c r="AB149" s="56"/>
    </row>
    <row r="150">
      <c r="A150" s="75"/>
      <c r="B150" s="69"/>
      <c r="C150" s="60"/>
      <c r="D150" s="61"/>
      <c r="E150" s="69"/>
      <c r="F150" s="60"/>
      <c r="G150" s="60"/>
      <c r="H150" s="60"/>
      <c r="I150" s="60"/>
      <c r="J150" s="60"/>
      <c r="K150" s="56"/>
      <c r="L150" s="56"/>
      <c r="M150" s="56"/>
      <c r="N150" s="56"/>
      <c r="O150" s="56"/>
      <c r="P150" s="56"/>
      <c r="Q150" s="56"/>
      <c r="R150" s="56"/>
      <c r="S150" s="56"/>
      <c r="T150" s="56"/>
      <c r="U150" s="56"/>
      <c r="V150" s="56"/>
      <c r="W150" s="56"/>
      <c r="X150" s="56"/>
      <c r="Y150" s="56"/>
      <c r="Z150" s="56"/>
      <c r="AA150" s="56"/>
      <c r="AB150" s="56"/>
    </row>
    <row r="151">
      <c r="A151" s="75"/>
      <c r="B151" s="69"/>
      <c r="C151" s="60"/>
      <c r="D151" s="61"/>
      <c r="E151" s="69"/>
      <c r="F151" s="60"/>
      <c r="G151" s="60"/>
      <c r="H151" s="60"/>
      <c r="I151" s="60"/>
      <c r="J151" s="60"/>
      <c r="K151" s="56"/>
      <c r="L151" s="56"/>
      <c r="M151" s="56"/>
      <c r="N151" s="56"/>
      <c r="O151" s="56"/>
      <c r="P151" s="56"/>
      <c r="Q151" s="56"/>
      <c r="R151" s="56"/>
      <c r="S151" s="56"/>
      <c r="T151" s="56"/>
      <c r="U151" s="56"/>
      <c r="V151" s="56"/>
      <c r="W151" s="56"/>
      <c r="X151" s="56"/>
      <c r="Y151" s="56"/>
      <c r="Z151" s="56"/>
      <c r="AA151" s="56"/>
      <c r="AB151" s="56"/>
    </row>
    <row r="152">
      <c r="A152" s="75"/>
      <c r="B152" s="69"/>
      <c r="C152" s="60"/>
      <c r="D152" s="61"/>
      <c r="E152" s="69"/>
      <c r="F152" s="60"/>
      <c r="G152" s="60"/>
      <c r="H152" s="60"/>
      <c r="I152" s="60"/>
      <c r="J152" s="60"/>
      <c r="K152" s="56"/>
      <c r="L152" s="56"/>
      <c r="M152" s="56"/>
      <c r="N152" s="56"/>
      <c r="O152" s="56"/>
      <c r="P152" s="56"/>
      <c r="Q152" s="56"/>
      <c r="R152" s="56"/>
      <c r="S152" s="56"/>
      <c r="T152" s="56"/>
      <c r="U152" s="56"/>
      <c r="V152" s="56"/>
      <c r="W152" s="56"/>
      <c r="X152" s="56"/>
      <c r="Y152" s="56"/>
      <c r="Z152" s="56"/>
      <c r="AA152" s="56"/>
      <c r="AB152" s="56"/>
    </row>
    <row r="153">
      <c r="A153" s="75"/>
      <c r="B153" s="69"/>
      <c r="C153" s="60"/>
      <c r="D153" s="61"/>
      <c r="E153" s="69"/>
      <c r="F153" s="60"/>
      <c r="G153" s="60"/>
      <c r="H153" s="60"/>
      <c r="I153" s="60"/>
      <c r="J153" s="60"/>
      <c r="K153" s="56"/>
      <c r="L153" s="56"/>
      <c r="M153" s="56"/>
      <c r="N153" s="56"/>
      <c r="O153" s="56"/>
      <c r="P153" s="56"/>
      <c r="Q153" s="56"/>
      <c r="R153" s="56"/>
      <c r="S153" s="56"/>
      <c r="T153" s="56"/>
      <c r="U153" s="56"/>
      <c r="V153" s="56"/>
      <c r="W153" s="56"/>
      <c r="X153" s="56"/>
      <c r="Y153" s="56"/>
      <c r="Z153" s="56"/>
      <c r="AA153" s="56"/>
      <c r="AB153" s="56"/>
    </row>
    <row r="154">
      <c r="A154" s="75"/>
      <c r="B154" s="69"/>
      <c r="C154" s="60"/>
      <c r="D154" s="61"/>
      <c r="E154" s="69"/>
      <c r="F154" s="60"/>
      <c r="G154" s="60"/>
      <c r="H154" s="60"/>
      <c r="I154" s="60"/>
      <c r="J154" s="60"/>
      <c r="K154" s="56"/>
      <c r="L154" s="56"/>
      <c r="M154" s="56"/>
      <c r="N154" s="56"/>
      <c r="O154" s="56"/>
      <c r="P154" s="56"/>
      <c r="Q154" s="56"/>
      <c r="R154" s="56"/>
      <c r="S154" s="56"/>
      <c r="T154" s="56"/>
      <c r="U154" s="56"/>
      <c r="V154" s="56"/>
      <c r="W154" s="56"/>
      <c r="X154" s="56"/>
      <c r="Y154" s="56"/>
      <c r="Z154" s="56"/>
      <c r="AA154" s="56"/>
      <c r="AB154" s="56"/>
    </row>
    <row r="155">
      <c r="A155" s="75"/>
      <c r="B155" s="69"/>
      <c r="C155" s="60"/>
      <c r="D155" s="61"/>
      <c r="E155" s="69"/>
      <c r="F155" s="60"/>
      <c r="G155" s="60"/>
      <c r="H155" s="60"/>
      <c r="I155" s="60"/>
      <c r="J155" s="60"/>
      <c r="K155" s="56"/>
      <c r="L155" s="56"/>
      <c r="M155" s="56"/>
      <c r="N155" s="56"/>
      <c r="O155" s="56"/>
      <c r="P155" s="56"/>
      <c r="Q155" s="56"/>
      <c r="R155" s="56"/>
      <c r="S155" s="56"/>
      <c r="T155" s="56"/>
      <c r="U155" s="56"/>
      <c r="V155" s="56"/>
      <c r="W155" s="56"/>
      <c r="X155" s="56"/>
      <c r="Y155" s="56"/>
      <c r="Z155" s="56"/>
      <c r="AA155" s="56"/>
      <c r="AB155" s="56"/>
    </row>
    <row r="156">
      <c r="A156" s="75"/>
      <c r="B156" s="69"/>
      <c r="C156" s="60"/>
      <c r="D156" s="61"/>
      <c r="E156" s="69"/>
      <c r="F156" s="60"/>
      <c r="G156" s="60"/>
      <c r="H156" s="60"/>
      <c r="I156" s="60"/>
      <c r="J156" s="60"/>
      <c r="K156" s="56"/>
      <c r="L156" s="56"/>
      <c r="M156" s="56"/>
      <c r="N156" s="56"/>
      <c r="O156" s="56"/>
      <c r="P156" s="56"/>
      <c r="Q156" s="56"/>
      <c r="R156" s="56"/>
      <c r="S156" s="56"/>
      <c r="T156" s="56"/>
      <c r="U156" s="56"/>
      <c r="V156" s="56"/>
      <c r="W156" s="56"/>
      <c r="X156" s="56"/>
      <c r="Y156" s="56"/>
      <c r="Z156" s="56"/>
      <c r="AA156" s="56"/>
      <c r="AB156" s="56"/>
    </row>
    <row r="157">
      <c r="A157" s="75"/>
      <c r="B157" s="69"/>
      <c r="C157" s="60"/>
      <c r="D157" s="61"/>
      <c r="E157" s="69"/>
      <c r="F157" s="60"/>
      <c r="G157" s="60"/>
      <c r="H157" s="60"/>
      <c r="I157" s="60"/>
      <c r="J157" s="60"/>
      <c r="K157" s="56"/>
      <c r="L157" s="56"/>
      <c r="M157" s="56"/>
      <c r="N157" s="56"/>
      <c r="O157" s="56"/>
      <c r="P157" s="56"/>
      <c r="Q157" s="56"/>
      <c r="R157" s="56"/>
      <c r="S157" s="56"/>
      <c r="T157" s="56"/>
      <c r="U157" s="56"/>
      <c r="V157" s="56"/>
      <c r="W157" s="56"/>
      <c r="X157" s="56"/>
      <c r="Y157" s="56"/>
      <c r="Z157" s="56"/>
      <c r="AA157" s="56"/>
      <c r="AB157" s="56"/>
    </row>
    <row r="158">
      <c r="A158" s="75"/>
      <c r="B158" s="69"/>
      <c r="C158" s="60"/>
      <c r="D158" s="61"/>
      <c r="E158" s="69"/>
      <c r="F158" s="60"/>
      <c r="G158" s="60"/>
      <c r="H158" s="60"/>
      <c r="I158" s="60"/>
      <c r="J158" s="60"/>
      <c r="K158" s="56"/>
      <c r="L158" s="56"/>
      <c r="M158" s="56"/>
      <c r="N158" s="56"/>
      <c r="O158" s="56"/>
      <c r="P158" s="56"/>
      <c r="Q158" s="56"/>
      <c r="R158" s="56"/>
      <c r="S158" s="56"/>
      <c r="T158" s="56"/>
      <c r="U158" s="56"/>
      <c r="V158" s="56"/>
      <c r="W158" s="56"/>
      <c r="X158" s="56"/>
      <c r="Y158" s="56"/>
      <c r="Z158" s="56"/>
      <c r="AA158" s="56"/>
      <c r="AB158" s="56"/>
    </row>
    <row r="159">
      <c r="A159" s="75"/>
      <c r="B159" s="69"/>
      <c r="C159" s="60"/>
      <c r="D159" s="61"/>
      <c r="E159" s="69"/>
      <c r="F159" s="60"/>
      <c r="G159" s="60"/>
      <c r="H159" s="60"/>
      <c r="I159" s="60"/>
      <c r="J159" s="60"/>
      <c r="K159" s="56"/>
      <c r="L159" s="56"/>
      <c r="M159" s="56"/>
      <c r="N159" s="56"/>
      <c r="O159" s="56"/>
      <c r="P159" s="56"/>
      <c r="Q159" s="56"/>
      <c r="R159" s="56"/>
      <c r="S159" s="56"/>
      <c r="T159" s="56"/>
      <c r="U159" s="56"/>
      <c r="V159" s="56"/>
      <c r="W159" s="56"/>
      <c r="X159" s="56"/>
      <c r="Y159" s="56"/>
      <c r="Z159" s="56"/>
      <c r="AA159" s="56"/>
      <c r="AB159" s="56"/>
    </row>
    <row r="160">
      <c r="A160" s="75"/>
      <c r="B160" s="69"/>
      <c r="C160" s="60"/>
      <c r="D160" s="61"/>
      <c r="E160" s="69"/>
      <c r="F160" s="60"/>
      <c r="G160" s="60"/>
      <c r="H160" s="60"/>
      <c r="I160" s="60"/>
      <c r="J160" s="60"/>
      <c r="K160" s="56"/>
      <c r="L160" s="56"/>
      <c r="M160" s="56"/>
      <c r="N160" s="56"/>
      <c r="O160" s="56"/>
      <c r="P160" s="56"/>
      <c r="Q160" s="56"/>
      <c r="R160" s="56"/>
      <c r="S160" s="56"/>
      <c r="T160" s="56"/>
      <c r="U160" s="56"/>
      <c r="V160" s="56"/>
      <c r="W160" s="56"/>
      <c r="X160" s="56"/>
      <c r="Y160" s="56"/>
      <c r="Z160" s="56"/>
      <c r="AA160" s="56"/>
      <c r="AB160" s="56"/>
    </row>
    <row r="161">
      <c r="A161" s="75"/>
      <c r="B161" s="69"/>
      <c r="C161" s="60"/>
      <c r="D161" s="61"/>
      <c r="E161" s="69"/>
      <c r="F161" s="60"/>
      <c r="G161" s="60"/>
      <c r="H161" s="60"/>
      <c r="I161" s="60"/>
      <c r="J161" s="60"/>
      <c r="K161" s="56"/>
      <c r="L161" s="56"/>
      <c r="M161" s="56"/>
      <c r="N161" s="56"/>
      <c r="O161" s="56"/>
      <c r="P161" s="56"/>
      <c r="Q161" s="56"/>
      <c r="R161" s="56"/>
      <c r="S161" s="56"/>
      <c r="T161" s="56"/>
      <c r="U161" s="56"/>
      <c r="V161" s="56"/>
      <c r="W161" s="56"/>
      <c r="X161" s="56"/>
      <c r="Y161" s="56"/>
      <c r="Z161" s="56"/>
      <c r="AA161" s="56"/>
      <c r="AB161" s="56"/>
    </row>
    <row r="162">
      <c r="A162" s="75"/>
      <c r="B162" s="69"/>
      <c r="C162" s="60"/>
      <c r="D162" s="61"/>
      <c r="E162" s="69"/>
      <c r="F162" s="60"/>
      <c r="G162" s="60"/>
      <c r="H162" s="60"/>
      <c r="I162" s="60"/>
      <c r="J162" s="60"/>
      <c r="K162" s="56"/>
      <c r="L162" s="56"/>
      <c r="M162" s="56"/>
      <c r="N162" s="56"/>
      <c r="O162" s="56"/>
      <c r="P162" s="56"/>
      <c r="Q162" s="56"/>
      <c r="R162" s="56"/>
      <c r="S162" s="56"/>
      <c r="T162" s="56"/>
      <c r="U162" s="56"/>
      <c r="V162" s="56"/>
      <c r="W162" s="56"/>
      <c r="X162" s="56"/>
      <c r="Y162" s="56"/>
      <c r="Z162" s="56"/>
      <c r="AA162" s="56"/>
      <c r="AB162" s="56"/>
    </row>
    <row r="163">
      <c r="A163" s="75"/>
      <c r="B163" s="69"/>
      <c r="C163" s="60"/>
      <c r="D163" s="61"/>
      <c r="E163" s="69"/>
      <c r="F163" s="60"/>
      <c r="G163" s="60"/>
      <c r="H163" s="60"/>
      <c r="I163" s="60"/>
      <c r="J163" s="60"/>
      <c r="K163" s="56"/>
      <c r="L163" s="56"/>
      <c r="M163" s="56"/>
      <c r="N163" s="56"/>
      <c r="O163" s="56"/>
      <c r="P163" s="56"/>
      <c r="Q163" s="56"/>
      <c r="R163" s="56"/>
      <c r="S163" s="56"/>
      <c r="T163" s="56"/>
      <c r="U163" s="56"/>
      <c r="V163" s="56"/>
      <c r="W163" s="56"/>
      <c r="X163" s="56"/>
      <c r="Y163" s="56"/>
      <c r="Z163" s="56"/>
      <c r="AA163" s="56"/>
      <c r="AB163" s="56"/>
    </row>
    <row r="164">
      <c r="A164" s="75"/>
      <c r="B164" s="69"/>
      <c r="C164" s="60"/>
      <c r="D164" s="61"/>
      <c r="E164" s="69"/>
      <c r="F164" s="60"/>
      <c r="G164" s="60"/>
      <c r="H164" s="60"/>
      <c r="I164" s="60"/>
      <c r="J164" s="60"/>
      <c r="K164" s="56"/>
      <c r="L164" s="56"/>
      <c r="M164" s="56"/>
      <c r="N164" s="56"/>
      <c r="O164" s="56"/>
      <c r="P164" s="56"/>
      <c r="Q164" s="56"/>
      <c r="R164" s="56"/>
      <c r="S164" s="56"/>
      <c r="T164" s="56"/>
      <c r="U164" s="56"/>
      <c r="V164" s="56"/>
      <c r="W164" s="56"/>
      <c r="X164" s="56"/>
      <c r="Y164" s="56"/>
      <c r="Z164" s="56"/>
      <c r="AA164" s="56"/>
      <c r="AB164" s="56"/>
    </row>
    <row r="165">
      <c r="A165" s="75"/>
      <c r="B165" s="69"/>
      <c r="C165" s="60"/>
      <c r="D165" s="61"/>
      <c r="E165" s="69"/>
      <c r="F165" s="60"/>
      <c r="G165" s="60"/>
      <c r="H165" s="60"/>
      <c r="I165" s="60"/>
      <c r="J165" s="60"/>
      <c r="K165" s="56"/>
      <c r="L165" s="56"/>
      <c r="M165" s="56"/>
      <c r="N165" s="56"/>
      <c r="O165" s="56"/>
      <c r="P165" s="56"/>
      <c r="Q165" s="56"/>
      <c r="R165" s="56"/>
      <c r="S165" s="56"/>
      <c r="T165" s="56"/>
      <c r="U165" s="56"/>
      <c r="V165" s="56"/>
      <c r="W165" s="56"/>
      <c r="X165" s="56"/>
      <c r="Y165" s="56"/>
      <c r="Z165" s="56"/>
      <c r="AA165" s="56"/>
      <c r="AB165" s="56"/>
    </row>
    <row r="166">
      <c r="A166" s="75"/>
      <c r="B166" s="69"/>
      <c r="C166" s="60"/>
      <c r="D166" s="61"/>
      <c r="E166" s="69"/>
      <c r="F166" s="60"/>
      <c r="G166" s="60"/>
      <c r="H166" s="60"/>
      <c r="I166" s="60"/>
      <c r="J166" s="60"/>
      <c r="K166" s="56"/>
      <c r="L166" s="56"/>
      <c r="M166" s="56"/>
      <c r="N166" s="56"/>
      <c r="O166" s="56"/>
      <c r="P166" s="56"/>
      <c r="Q166" s="56"/>
      <c r="R166" s="56"/>
      <c r="S166" s="56"/>
      <c r="T166" s="56"/>
      <c r="U166" s="56"/>
      <c r="V166" s="56"/>
      <c r="W166" s="56"/>
      <c r="X166" s="56"/>
      <c r="Y166" s="56"/>
      <c r="Z166" s="56"/>
      <c r="AA166" s="56"/>
      <c r="AB166" s="56"/>
    </row>
    <row r="167">
      <c r="A167" s="75"/>
      <c r="B167" s="69"/>
      <c r="C167" s="60"/>
      <c r="D167" s="61"/>
      <c r="E167" s="69"/>
      <c r="F167" s="60"/>
      <c r="G167" s="60"/>
      <c r="H167" s="60"/>
      <c r="I167" s="60"/>
      <c r="J167" s="60"/>
      <c r="K167" s="56"/>
      <c r="L167" s="56"/>
      <c r="M167" s="56"/>
      <c r="N167" s="56"/>
      <c r="O167" s="56"/>
      <c r="P167" s="56"/>
      <c r="Q167" s="56"/>
      <c r="R167" s="56"/>
      <c r="S167" s="56"/>
      <c r="T167" s="56"/>
      <c r="U167" s="56"/>
      <c r="V167" s="56"/>
      <c r="W167" s="56"/>
      <c r="X167" s="56"/>
      <c r="Y167" s="56"/>
      <c r="Z167" s="56"/>
      <c r="AA167" s="56"/>
      <c r="AB167" s="56"/>
    </row>
    <row r="168">
      <c r="A168" s="75"/>
      <c r="B168" s="69"/>
      <c r="C168" s="60"/>
      <c r="D168" s="61"/>
      <c r="E168" s="69"/>
      <c r="F168" s="60"/>
      <c r="G168" s="60"/>
      <c r="H168" s="60"/>
      <c r="I168" s="60"/>
      <c r="J168" s="60"/>
      <c r="K168" s="56"/>
      <c r="L168" s="56"/>
      <c r="M168" s="56"/>
      <c r="N168" s="56"/>
      <c r="O168" s="56"/>
      <c r="P168" s="56"/>
      <c r="Q168" s="56"/>
      <c r="R168" s="56"/>
      <c r="S168" s="56"/>
      <c r="T168" s="56"/>
      <c r="U168" s="56"/>
      <c r="V168" s="56"/>
      <c r="W168" s="56"/>
      <c r="X168" s="56"/>
      <c r="Y168" s="56"/>
      <c r="Z168" s="56"/>
      <c r="AA168" s="56"/>
      <c r="AB168" s="56"/>
    </row>
    <row r="169">
      <c r="A169" s="75"/>
      <c r="B169" s="69"/>
      <c r="C169" s="60"/>
      <c r="D169" s="61"/>
      <c r="E169" s="69"/>
      <c r="F169" s="60"/>
      <c r="G169" s="60"/>
      <c r="H169" s="60"/>
      <c r="I169" s="60"/>
      <c r="J169" s="60"/>
      <c r="K169" s="56"/>
      <c r="L169" s="56"/>
      <c r="M169" s="56"/>
      <c r="N169" s="56"/>
      <c r="O169" s="56"/>
      <c r="P169" s="56"/>
      <c r="Q169" s="56"/>
      <c r="R169" s="56"/>
      <c r="S169" s="56"/>
      <c r="T169" s="56"/>
      <c r="U169" s="56"/>
      <c r="V169" s="56"/>
      <c r="W169" s="56"/>
      <c r="X169" s="56"/>
      <c r="Y169" s="56"/>
      <c r="Z169" s="56"/>
      <c r="AA169" s="56"/>
      <c r="AB169" s="56"/>
    </row>
    <row r="170">
      <c r="A170" s="75"/>
      <c r="B170" s="69"/>
      <c r="C170" s="60"/>
      <c r="D170" s="61"/>
      <c r="E170" s="69"/>
      <c r="F170" s="60"/>
      <c r="G170" s="60"/>
      <c r="H170" s="60"/>
      <c r="I170" s="60"/>
      <c r="J170" s="60"/>
      <c r="K170" s="56"/>
      <c r="L170" s="56"/>
      <c r="M170" s="56"/>
      <c r="N170" s="56"/>
      <c r="O170" s="56"/>
      <c r="P170" s="56"/>
      <c r="Q170" s="56"/>
      <c r="R170" s="56"/>
      <c r="S170" s="56"/>
      <c r="T170" s="56"/>
      <c r="U170" s="56"/>
      <c r="V170" s="56"/>
      <c r="W170" s="56"/>
      <c r="X170" s="56"/>
      <c r="Y170" s="56"/>
      <c r="Z170" s="56"/>
      <c r="AA170" s="56"/>
      <c r="AB170" s="56"/>
    </row>
    <row r="171">
      <c r="A171" s="75"/>
      <c r="B171" s="69"/>
      <c r="C171" s="60"/>
      <c r="D171" s="61"/>
      <c r="E171" s="69"/>
      <c r="F171" s="60"/>
      <c r="G171" s="60"/>
      <c r="H171" s="60"/>
      <c r="I171" s="60"/>
      <c r="J171" s="60"/>
      <c r="K171" s="56"/>
      <c r="L171" s="56"/>
      <c r="M171" s="56"/>
      <c r="N171" s="56"/>
      <c r="O171" s="56"/>
      <c r="P171" s="56"/>
      <c r="Q171" s="56"/>
      <c r="R171" s="56"/>
      <c r="S171" s="56"/>
      <c r="T171" s="56"/>
      <c r="U171" s="56"/>
      <c r="V171" s="56"/>
      <c r="W171" s="56"/>
      <c r="X171" s="56"/>
      <c r="Y171" s="56"/>
      <c r="Z171" s="56"/>
      <c r="AA171" s="56"/>
      <c r="AB171" s="56"/>
    </row>
    <row r="172">
      <c r="A172" s="75"/>
      <c r="B172" s="69"/>
      <c r="C172" s="60"/>
      <c r="D172" s="61"/>
      <c r="E172" s="69"/>
      <c r="F172" s="60"/>
      <c r="G172" s="60"/>
      <c r="H172" s="60"/>
      <c r="I172" s="60"/>
      <c r="J172" s="60"/>
      <c r="K172" s="56"/>
      <c r="L172" s="56"/>
      <c r="M172" s="56"/>
      <c r="N172" s="56"/>
      <c r="O172" s="56"/>
      <c r="P172" s="56"/>
      <c r="Q172" s="56"/>
      <c r="R172" s="56"/>
      <c r="S172" s="56"/>
      <c r="T172" s="56"/>
      <c r="U172" s="56"/>
      <c r="V172" s="56"/>
      <c r="W172" s="56"/>
      <c r="X172" s="56"/>
      <c r="Y172" s="56"/>
      <c r="Z172" s="56"/>
      <c r="AA172" s="56"/>
      <c r="AB172" s="56"/>
    </row>
    <row r="173">
      <c r="A173" s="75"/>
      <c r="B173" s="69"/>
      <c r="C173" s="60"/>
      <c r="D173" s="61"/>
      <c r="E173" s="69"/>
      <c r="F173" s="60"/>
      <c r="G173" s="60"/>
      <c r="H173" s="60"/>
      <c r="I173" s="60"/>
      <c r="J173" s="60"/>
      <c r="K173" s="56"/>
      <c r="L173" s="56"/>
      <c r="M173" s="56"/>
      <c r="N173" s="56"/>
      <c r="O173" s="56"/>
      <c r="P173" s="56"/>
      <c r="Q173" s="56"/>
      <c r="R173" s="56"/>
      <c r="S173" s="56"/>
      <c r="T173" s="56"/>
      <c r="U173" s="56"/>
      <c r="V173" s="56"/>
      <c r="W173" s="56"/>
      <c r="X173" s="56"/>
      <c r="Y173" s="56"/>
      <c r="Z173" s="56"/>
      <c r="AA173" s="56"/>
      <c r="AB173" s="56"/>
    </row>
    <row r="174">
      <c r="A174" s="75"/>
      <c r="B174" s="69"/>
      <c r="C174" s="60"/>
      <c r="D174" s="61"/>
      <c r="E174" s="69"/>
      <c r="F174" s="60"/>
      <c r="G174" s="60"/>
      <c r="H174" s="60"/>
      <c r="I174" s="60"/>
      <c r="J174" s="60"/>
      <c r="K174" s="56"/>
      <c r="L174" s="56"/>
      <c r="M174" s="56"/>
      <c r="N174" s="56"/>
      <c r="O174" s="56"/>
      <c r="P174" s="56"/>
      <c r="Q174" s="56"/>
      <c r="R174" s="56"/>
      <c r="S174" s="56"/>
      <c r="T174" s="56"/>
      <c r="U174" s="56"/>
      <c r="V174" s="56"/>
      <c r="W174" s="56"/>
      <c r="X174" s="56"/>
      <c r="Y174" s="56"/>
      <c r="Z174" s="56"/>
      <c r="AA174" s="56"/>
      <c r="AB174" s="56"/>
    </row>
    <row r="175">
      <c r="A175" s="75"/>
      <c r="B175" s="69"/>
      <c r="C175" s="60"/>
      <c r="D175" s="61"/>
      <c r="E175" s="69"/>
      <c r="F175" s="60"/>
      <c r="G175" s="60"/>
      <c r="H175" s="60"/>
      <c r="I175" s="60"/>
      <c r="J175" s="60"/>
      <c r="K175" s="56"/>
      <c r="L175" s="56"/>
      <c r="M175" s="56"/>
      <c r="N175" s="56"/>
      <c r="O175" s="56"/>
      <c r="P175" s="56"/>
      <c r="Q175" s="56"/>
      <c r="R175" s="56"/>
      <c r="S175" s="56"/>
      <c r="T175" s="56"/>
      <c r="U175" s="56"/>
      <c r="V175" s="56"/>
      <c r="W175" s="56"/>
      <c r="X175" s="56"/>
      <c r="Y175" s="56"/>
      <c r="Z175" s="56"/>
      <c r="AA175" s="56"/>
      <c r="AB175" s="56"/>
    </row>
    <row r="176">
      <c r="A176" s="75"/>
      <c r="B176" s="69"/>
      <c r="C176" s="60"/>
      <c r="D176" s="61"/>
      <c r="E176" s="69"/>
      <c r="F176" s="60"/>
      <c r="G176" s="60"/>
      <c r="H176" s="60"/>
      <c r="I176" s="60"/>
      <c r="J176" s="60"/>
      <c r="K176" s="56"/>
      <c r="L176" s="56"/>
      <c r="M176" s="56"/>
      <c r="N176" s="56"/>
      <c r="O176" s="56"/>
      <c r="P176" s="56"/>
      <c r="Q176" s="56"/>
      <c r="R176" s="56"/>
      <c r="S176" s="56"/>
      <c r="T176" s="56"/>
      <c r="U176" s="56"/>
      <c r="V176" s="56"/>
      <c r="W176" s="56"/>
      <c r="X176" s="56"/>
      <c r="Y176" s="56"/>
      <c r="Z176" s="56"/>
      <c r="AA176" s="56"/>
      <c r="AB176" s="56"/>
    </row>
    <row r="177">
      <c r="A177" s="75"/>
      <c r="B177" s="69"/>
      <c r="C177" s="60"/>
      <c r="D177" s="61"/>
      <c r="E177" s="69"/>
      <c r="F177" s="60"/>
      <c r="G177" s="60"/>
      <c r="H177" s="60"/>
      <c r="I177" s="60"/>
      <c r="J177" s="60"/>
      <c r="K177" s="56"/>
      <c r="L177" s="56"/>
      <c r="M177" s="56"/>
      <c r="N177" s="56"/>
      <c r="O177" s="56"/>
      <c r="P177" s="56"/>
      <c r="Q177" s="56"/>
      <c r="R177" s="56"/>
      <c r="S177" s="56"/>
      <c r="T177" s="56"/>
      <c r="U177" s="56"/>
      <c r="V177" s="56"/>
      <c r="W177" s="56"/>
      <c r="X177" s="56"/>
      <c r="Y177" s="56"/>
      <c r="Z177" s="56"/>
      <c r="AA177" s="56"/>
      <c r="AB177" s="56"/>
    </row>
    <row r="178">
      <c r="A178" s="75"/>
      <c r="B178" s="69"/>
      <c r="C178" s="60"/>
      <c r="D178" s="61"/>
      <c r="E178" s="69"/>
      <c r="F178" s="60"/>
      <c r="G178" s="60"/>
      <c r="H178" s="60"/>
      <c r="I178" s="60"/>
      <c r="J178" s="60"/>
      <c r="K178" s="56"/>
      <c r="L178" s="56"/>
      <c r="M178" s="56"/>
      <c r="N178" s="56"/>
      <c r="O178" s="56"/>
      <c r="P178" s="56"/>
      <c r="Q178" s="56"/>
      <c r="R178" s="56"/>
      <c r="S178" s="56"/>
      <c r="T178" s="56"/>
      <c r="U178" s="56"/>
      <c r="V178" s="56"/>
      <c r="W178" s="56"/>
      <c r="X178" s="56"/>
      <c r="Y178" s="56"/>
      <c r="Z178" s="56"/>
      <c r="AA178" s="56"/>
      <c r="AB178" s="56"/>
    </row>
    <row r="179">
      <c r="A179" s="75"/>
      <c r="B179" s="69"/>
      <c r="C179" s="60"/>
      <c r="D179" s="61"/>
      <c r="E179" s="69"/>
      <c r="F179" s="60"/>
      <c r="G179" s="60"/>
      <c r="H179" s="60"/>
      <c r="I179" s="60"/>
      <c r="J179" s="60"/>
      <c r="K179" s="56"/>
      <c r="L179" s="56"/>
      <c r="M179" s="56"/>
      <c r="N179" s="56"/>
      <c r="O179" s="56"/>
      <c r="P179" s="56"/>
      <c r="Q179" s="56"/>
      <c r="R179" s="56"/>
      <c r="S179" s="56"/>
      <c r="T179" s="56"/>
      <c r="U179" s="56"/>
      <c r="V179" s="56"/>
      <c r="W179" s="56"/>
      <c r="X179" s="56"/>
      <c r="Y179" s="56"/>
      <c r="Z179" s="56"/>
      <c r="AA179" s="56"/>
      <c r="AB179" s="56"/>
    </row>
    <row r="180">
      <c r="A180" s="75"/>
      <c r="B180" s="69"/>
      <c r="C180" s="60"/>
      <c r="D180" s="61"/>
      <c r="E180" s="69"/>
      <c r="F180" s="60"/>
      <c r="G180" s="60"/>
      <c r="H180" s="60"/>
      <c r="I180" s="60"/>
      <c r="J180" s="60"/>
      <c r="K180" s="56"/>
      <c r="L180" s="56"/>
      <c r="M180" s="56"/>
      <c r="N180" s="56"/>
      <c r="O180" s="56"/>
      <c r="P180" s="56"/>
      <c r="Q180" s="56"/>
      <c r="R180" s="56"/>
      <c r="S180" s="56"/>
      <c r="T180" s="56"/>
      <c r="U180" s="56"/>
      <c r="V180" s="56"/>
      <c r="W180" s="56"/>
      <c r="X180" s="56"/>
      <c r="Y180" s="56"/>
      <c r="Z180" s="56"/>
      <c r="AA180" s="56"/>
      <c r="AB180" s="56"/>
    </row>
    <row r="181">
      <c r="A181" s="75"/>
      <c r="B181" s="69"/>
      <c r="C181" s="60"/>
      <c r="D181" s="61"/>
      <c r="E181" s="69"/>
      <c r="F181" s="60"/>
      <c r="G181" s="60"/>
      <c r="H181" s="60"/>
      <c r="I181" s="60"/>
      <c r="J181" s="60"/>
      <c r="K181" s="56"/>
      <c r="L181" s="56"/>
      <c r="M181" s="56"/>
      <c r="N181" s="56"/>
      <c r="O181" s="56"/>
      <c r="P181" s="56"/>
      <c r="Q181" s="56"/>
      <c r="R181" s="56"/>
      <c r="S181" s="56"/>
      <c r="T181" s="56"/>
      <c r="U181" s="56"/>
      <c r="V181" s="56"/>
      <c r="W181" s="56"/>
      <c r="X181" s="56"/>
      <c r="Y181" s="56"/>
      <c r="Z181" s="56"/>
      <c r="AA181" s="56"/>
      <c r="AB181" s="56"/>
    </row>
    <row r="182">
      <c r="A182" s="75"/>
      <c r="B182" s="69"/>
      <c r="C182" s="60"/>
      <c r="D182" s="61"/>
      <c r="E182" s="69"/>
      <c r="F182" s="60"/>
      <c r="G182" s="60"/>
      <c r="H182" s="60"/>
      <c r="I182" s="60"/>
      <c r="J182" s="60"/>
      <c r="K182" s="56"/>
      <c r="L182" s="56"/>
      <c r="M182" s="56"/>
      <c r="N182" s="56"/>
      <c r="O182" s="56"/>
      <c r="P182" s="56"/>
      <c r="Q182" s="56"/>
      <c r="R182" s="56"/>
      <c r="S182" s="56"/>
      <c r="T182" s="56"/>
      <c r="U182" s="56"/>
      <c r="V182" s="56"/>
      <c r="W182" s="56"/>
      <c r="X182" s="56"/>
      <c r="Y182" s="56"/>
      <c r="Z182" s="56"/>
      <c r="AA182" s="56"/>
      <c r="AB182" s="56"/>
    </row>
    <row r="183">
      <c r="A183" s="75"/>
      <c r="B183" s="69"/>
      <c r="C183" s="60"/>
      <c r="D183" s="61"/>
      <c r="E183" s="69"/>
      <c r="F183" s="60"/>
      <c r="G183" s="60"/>
      <c r="H183" s="60"/>
      <c r="I183" s="60"/>
      <c r="J183" s="60"/>
      <c r="K183" s="56"/>
      <c r="L183" s="56"/>
      <c r="M183" s="56"/>
      <c r="N183" s="56"/>
      <c r="O183" s="56"/>
      <c r="P183" s="56"/>
      <c r="Q183" s="56"/>
      <c r="R183" s="56"/>
      <c r="S183" s="56"/>
      <c r="T183" s="56"/>
      <c r="U183" s="56"/>
      <c r="V183" s="56"/>
      <c r="W183" s="56"/>
      <c r="X183" s="56"/>
      <c r="Y183" s="56"/>
      <c r="Z183" s="56"/>
      <c r="AA183" s="56"/>
      <c r="AB183" s="56"/>
    </row>
    <row r="184">
      <c r="A184" s="75"/>
      <c r="B184" s="69"/>
      <c r="C184" s="60"/>
      <c r="D184" s="61"/>
      <c r="E184" s="69"/>
      <c r="F184" s="60"/>
      <c r="G184" s="60"/>
      <c r="H184" s="60"/>
      <c r="I184" s="60"/>
      <c r="J184" s="60"/>
      <c r="K184" s="56"/>
      <c r="L184" s="56"/>
      <c r="M184" s="56"/>
      <c r="N184" s="56"/>
      <c r="O184" s="56"/>
      <c r="P184" s="56"/>
      <c r="Q184" s="56"/>
      <c r="R184" s="56"/>
      <c r="S184" s="56"/>
      <c r="T184" s="56"/>
      <c r="U184" s="56"/>
      <c r="V184" s="56"/>
      <c r="W184" s="56"/>
      <c r="X184" s="56"/>
      <c r="Y184" s="56"/>
      <c r="Z184" s="56"/>
      <c r="AA184" s="56"/>
      <c r="AB184" s="56"/>
    </row>
    <row r="185">
      <c r="A185" s="75"/>
      <c r="B185" s="69"/>
      <c r="C185" s="60"/>
      <c r="D185" s="61"/>
      <c r="E185" s="69"/>
      <c r="F185" s="60"/>
      <c r="G185" s="60"/>
      <c r="H185" s="60"/>
      <c r="I185" s="60"/>
      <c r="J185" s="60"/>
      <c r="K185" s="56"/>
      <c r="L185" s="56"/>
      <c r="M185" s="56"/>
      <c r="N185" s="56"/>
      <c r="O185" s="56"/>
      <c r="P185" s="56"/>
      <c r="Q185" s="56"/>
      <c r="R185" s="56"/>
      <c r="S185" s="56"/>
      <c r="T185" s="56"/>
      <c r="U185" s="56"/>
      <c r="V185" s="56"/>
      <c r="W185" s="56"/>
      <c r="X185" s="56"/>
      <c r="Y185" s="56"/>
      <c r="Z185" s="56"/>
      <c r="AA185" s="56"/>
      <c r="AB185" s="56"/>
    </row>
    <row r="186">
      <c r="A186" s="75"/>
      <c r="B186" s="69"/>
      <c r="C186" s="60"/>
      <c r="D186" s="61"/>
      <c r="E186" s="69"/>
      <c r="F186" s="60"/>
      <c r="G186" s="60"/>
      <c r="H186" s="60"/>
      <c r="I186" s="60"/>
      <c r="J186" s="60"/>
      <c r="K186" s="56"/>
      <c r="L186" s="56"/>
      <c r="M186" s="56"/>
      <c r="N186" s="56"/>
      <c r="O186" s="56"/>
      <c r="P186" s="56"/>
      <c r="Q186" s="56"/>
      <c r="R186" s="56"/>
      <c r="S186" s="56"/>
      <c r="T186" s="56"/>
      <c r="U186" s="56"/>
      <c r="V186" s="56"/>
      <c r="W186" s="56"/>
      <c r="X186" s="56"/>
      <c r="Y186" s="56"/>
      <c r="Z186" s="56"/>
      <c r="AA186" s="56"/>
      <c r="AB186" s="56"/>
    </row>
    <row r="187">
      <c r="A187" s="75"/>
      <c r="B187" s="69"/>
      <c r="C187" s="60"/>
      <c r="D187" s="61"/>
      <c r="E187" s="69"/>
      <c r="F187" s="60"/>
      <c r="G187" s="60"/>
      <c r="H187" s="60"/>
      <c r="I187" s="60"/>
      <c r="J187" s="60"/>
      <c r="K187" s="56"/>
      <c r="L187" s="56"/>
      <c r="M187" s="56"/>
      <c r="N187" s="56"/>
      <c r="O187" s="56"/>
      <c r="P187" s="56"/>
      <c r="Q187" s="56"/>
      <c r="R187" s="56"/>
      <c r="S187" s="56"/>
      <c r="T187" s="56"/>
      <c r="U187" s="56"/>
      <c r="V187" s="56"/>
      <c r="W187" s="56"/>
      <c r="X187" s="56"/>
      <c r="Y187" s="56"/>
      <c r="Z187" s="56"/>
      <c r="AA187" s="56"/>
      <c r="AB187" s="56"/>
    </row>
    <row r="188">
      <c r="A188" s="75"/>
      <c r="B188" s="69"/>
      <c r="C188" s="60"/>
      <c r="D188" s="61"/>
      <c r="E188" s="69"/>
      <c r="F188" s="60"/>
      <c r="G188" s="60"/>
      <c r="H188" s="60"/>
      <c r="I188" s="60"/>
      <c r="J188" s="60"/>
      <c r="K188" s="56"/>
      <c r="L188" s="56"/>
      <c r="M188" s="56"/>
      <c r="N188" s="56"/>
      <c r="O188" s="56"/>
      <c r="P188" s="56"/>
      <c r="Q188" s="56"/>
      <c r="R188" s="56"/>
      <c r="S188" s="56"/>
      <c r="T188" s="56"/>
      <c r="U188" s="56"/>
      <c r="V188" s="56"/>
      <c r="W188" s="56"/>
      <c r="X188" s="56"/>
      <c r="Y188" s="56"/>
      <c r="Z188" s="56"/>
      <c r="AA188" s="56"/>
      <c r="AB188" s="56"/>
    </row>
    <row r="189">
      <c r="A189" s="75"/>
      <c r="B189" s="69"/>
      <c r="C189" s="60"/>
      <c r="D189" s="61"/>
      <c r="E189" s="69"/>
      <c r="F189" s="60"/>
      <c r="G189" s="60"/>
      <c r="H189" s="60"/>
      <c r="I189" s="60"/>
      <c r="J189" s="60"/>
      <c r="K189" s="56"/>
      <c r="L189" s="56"/>
      <c r="M189" s="56"/>
      <c r="N189" s="56"/>
      <c r="O189" s="56"/>
      <c r="P189" s="56"/>
      <c r="Q189" s="56"/>
      <c r="R189" s="56"/>
      <c r="S189" s="56"/>
      <c r="T189" s="56"/>
      <c r="U189" s="56"/>
      <c r="V189" s="56"/>
      <c r="W189" s="56"/>
      <c r="X189" s="56"/>
      <c r="Y189" s="56"/>
      <c r="Z189" s="56"/>
      <c r="AA189" s="56"/>
      <c r="AB189" s="56"/>
    </row>
    <row r="190">
      <c r="A190" s="75"/>
      <c r="B190" s="69"/>
      <c r="C190" s="60"/>
      <c r="D190" s="61"/>
      <c r="E190" s="69"/>
      <c r="F190" s="60"/>
      <c r="G190" s="60"/>
      <c r="H190" s="60"/>
      <c r="I190" s="60"/>
      <c r="J190" s="60"/>
      <c r="K190" s="56"/>
      <c r="L190" s="56"/>
      <c r="M190" s="56"/>
      <c r="N190" s="56"/>
      <c r="O190" s="56"/>
      <c r="P190" s="56"/>
      <c r="Q190" s="56"/>
      <c r="R190" s="56"/>
      <c r="S190" s="56"/>
      <c r="T190" s="56"/>
      <c r="U190" s="56"/>
      <c r="V190" s="56"/>
      <c r="W190" s="56"/>
      <c r="X190" s="56"/>
      <c r="Y190" s="56"/>
      <c r="Z190" s="56"/>
      <c r="AA190" s="56"/>
      <c r="AB190" s="56"/>
    </row>
    <row r="191">
      <c r="A191" s="75"/>
      <c r="B191" s="69"/>
      <c r="C191" s="60"/>
      <c r="D191" s="61"/>
      <c r="E191" s="69"/>
      <c r="F191" s="60"/>
      <c r="G191" s="60"/>
      <c r="H191" s="60"/>
      <c r="I191" s="60"/>
      <c r="J191" s="60"/>
      <c r="K191" s="56"/>
      <c r="L191" s="56"/>
      <c r="M191" s="56"/>
      <c r="N191" s="56"/>
      <c r="O191" s="56"/>
      <c r="P191" s="56"/>
      <c r="Q191" s="56"/>
      <c r="R191" s="56"/>
      <c r="S191" s="56"/>
      <c r="T191" s="56"/>
      <c r="U191" s="56"/>
      <c r="V191" s="56"/>
      <c r="W191" s="56"/>
      <c r="X191" s="56"/>
      <c r="Y191" s="56"/>
      <c r="Z191" s="56"/>
      <c r="AA191" s="56"/>
      <c r="AB191" s="56"/>
    </row>
    <row r="192">
      <c r="A192" s="75"/>
      <c r="B192" s="69"/>
      <c r="C192" s="60"/>
      <c r="D192" s="61"/>
      <c r="E192" s="69"/>
      <c r="F192" s="60"/>
      <c r="G192" s="60"/>
      <c r="H192" s="60"/>
      <c r="I192" s="60"/>
      <c r="J192" s="60"/>
      <c r="K192" s="56"/>
      <c r="L192" s="56"/>
      <c r="M192" s="56"/>
      <c r="N192" s="56"/>
      <c r="O192" s="56"/>
      <c r="P192" s="56"/>
      <c r="Q192" s="56"/>
      <c r="R192" s="56"/>
      <c r="S192" s="56"/>
      <c r="T192" s="56"/>
      <c r="U192" s="56"/>
      <c r="V192" s="56"/>
      <c r="W192" s="56"/>
      <c r="X192" s="56"/>
      <c r="Y192" s="56"/>
      <c r="Z192" s="56"/>
      <c r="AA192" s="56"/>
      <c r="AB192" s="56"/>
    </row>
    <row r="193">
      <c r="A193" s="75"/>
      <c r="B193" s="69"/>
      <c r="C193" s="60"/>
      <c r="D193" s="61"/>
      <c r="E193" s="69"/>
      <c r="F193" s="60"/>
      <c r="G193" s="60"/>
      <c r="H193" s="60"/>
      <c r="I193" s="60"/>
      <c r="J193" s="60"/>
      <c r="K193" s="56"/>
      <c r="L193" s="56"/>
      <c r="M193" s="56"/>
      <c r="N193" s="56"/>
      <c r="O193" s="56"/>
      <c r="P193" s="56"/>
      <c r="Q193" s="56"/>
      <c r="R193" s="56"/>
      <c r="S193" s="56"/>
      <c r="T193" s="56"/>
      <c r="U193" s="56"/>
      <c r="V193" s="56"/>
      <c r="W193" s="56"/>
      <c r="X193" s="56"/>
      <c r="Y193" s="56"/>
      <c r="Z193" s="56"/>
      <c r="AA193" s="56"/>
      <c r="AB193" s="56"/>
    </row>
    <row r="194">
      <c r="A194" s="75"/>
      <c r="B194" s="69"/>
      <c r="C194" s="60"/>
      <c r="D194" s="61"/>
      <c r="E194" s="69"/>
      <c r="F194" s="60"/>
      <c r="G194" s="60"/>
      <c r="H194" s="60"/>
      <c r="I194" s="60"/>
      <c r="J194" s="60"/>
      <c r="K194" s="56"/>
      <c r="L194" s="56"/>
      <c r="M194" s="56"/>
      <c r="N194" s="56"/>
      <c r="O194" s="56"/>
      <c r="P194" s="56"/>
      <c r="Q194" s="56"/>
      <c r="R194" s="56"/>
      <c r="S194" s="56"/>
      <c r="T194" s="56"/>
      <c r="U194" s="56"/>
      <c r="V194" s="56"/>
      <c r="W194" s="56"/>
      <c r="X194" s="56"/>
      <c r="Y194" s="56"/>
      <c r="Z194" s="56"/>
      <c r="AA194" s="56"/>
      <c r="AB194" s="56"/>
    </row>
    <row r="195">
      <c r="A195" s="75"/>
      <c r="B195" s="69"/>
      <c r="C195" s="60"/>
      <c r="D195" s="61"/>
      <c r="E195" s="69"/>
      <c r="F195" s="60"/>
      <c r="G195" s="60"/>
      <c r="H195" s="60"/>
      <c r="I195" s="60"/>
      <c r="J195" s="60"/>
      <c r="K195" s="56"/>
      <c r="L195" s="56"/>
      <c r="M195" s="56"/>
      <c r="N195" s="56"/>
      <c r="O195" s="56"/>
      <c r="P195" s="56"/>
      <c r="Q195" s="56"/>
      <c r="R195" s="56"/>
      <c r="S195" s="56"/>
      <c r="T195" s="56"/>
      <c r="U195" s="56"/>
      <c r="V195" s="56"/>
      <c r="W195" s="56"/>
      <c r="X195" s="56"/>
      <c r="Y195" s="56"/>
      <c r="Z195" s="56"/>
      <c r="AA195" s="56"/>
      <c r="AB195" s="56"/>
    </row>
    <row r="196">
      <c r="A196" s="75"/>
      <c r="B196" s="69"/>
      <c r="C196" s="60"/>
      <c r="D196" s="61"/>
      <c r="E196" s="69"/>
      <c r="F196" s="60"/>
      <c r="G196" s="60"/>
      <c r="H196" s="60"/>
      <c r="I196" s="60"/>
      <c r="J196" s="60"/>
      <c r="K196" s="56"/>
      <c r="L196" s="56"/>
      <c r="M196" s="56"/>
      <c r="N196" s="56"/>
      <c r="O196" s="56"/>
      <c r="P196" s="56"/>
      <c r="Q196" s="56"/>
      <c r="R196" s="56"/>
      <c r="S196" s="56"/>
      <c r="T196" s="56"/>
      <c r="U196" s="56"/>
      <c r="V196" s="56"/>
      <c r="W196" s="56"/>
      <c r="X196" s="56"/>
      <c r="Y196" s="56"/>
      <c r="Z196" s="56"/>
      <c r="AA196" s="56"/>
      <c r="AB196" s="56"/>
    </row>
    <row r="197">
      <c r="A197" s="75"/>
      <c r="B197" s="69"/>
      <c r="C197" s="60"/>
      <c r="D197" s="61"/>
      <c r="E197" s="69"/>
      <c r="F197" s="60"/>
      <c r="G197" s="60"/>
      <c r="H197" s="60"/>
      <c r="I197" s="60"/>
      <c r="J197" s="60"/>
      <c r="K197" s="56"/>
      <c r="L197" s="56"/>
      <c r="M197" s="56"/>
      <c r="N197" s="56"/>
      <c r="O197" s="56"/>
      <c r="P197" s="56"/>
      <c r="Q197" s="56"/>
      <c r="R197" s="56"/>
      <c r="S197" s="56"/>
      <c r="T197" s="56"/>
      <c r="U197" s="56"/>
      <c r="V197" s="56"/>
      <c r="W197" s="56"/>
      <c r="X197" s="56"/>
      <c r="Y197" s="56"/>
      <c r="Z197" s="56"/>
      <c r="AA197" s="56"/>
      <c r="AB197" s="56"/>
    </row>
    <row r="198">
      <c r="A198" s="75"/>
      <c r="B198" s="69"/>
      <c r="C198" s="60"/>
      <c r="D198" s="61"/>
      <c r="E198" s="69"/>
      <c r="F198" s="60"/>
      <c r="G198" s="60"/>
      <c r="H198" s="60"/>
      <c r="I198" s="60"/>
      <c r="J198" s="60"/>
      <c r="K198" s="56"/>
      <c r="L198" s="56"/>
      <c r="M198" s="56"/>
      <c r="N198" s="56"/>
      <c r="O198" s="56"/>
      <c r="P198" s="56"/>
      <c r="Q198" s="56"/>
      <c r="R198" s="56"/>
      <c r="S198" s="56"/>
      <c r="T198" s="56"/>
      <c r="U198" s="56"/>
      <c r="V198" s="56"/>
      <c r="W198" s="56"/>
      <c r="X198" s="56"/>
      <c r="Y198" s="56"/>
      <c r="Z198" s="56"/>
      <c r="AA198" s="56"/>
      <c r="AB198" s="56"/>
    </row>
    <row r="199">
      <c r="A199" s="75"/>
      <c r="B199" s="69"/>
      <c r="C199" s="60"/>
      <c r="D199" s="61"/>
      <c r="E199" s="69"/>
      <c r="F199" s="60"/>
      <c r="G199" s="60"/>
      <c r="H199" s="60"/>
      <c r="I199" s="60"/>
      <c r="J199" s="60"/>
      <c r="K199" s="56"/>
      <c r="L199" s="56"/>
      <c r="M199" s="56"/>
      <c r="N199" s="56"/>
      <c r="O199" s="56"/>
      <c r="P199" s="56"/>
      <c r="Q199" s="56"/>
      <c r="R199" s="56"/>
      <c r="S199" s="56"/>
      <c r="T199" s="56"/>
      <c r="U199" s="56"/>
      <c r="V199" s="56"/>
      <c r="W199" s="56"/>
      <c r="X199" s="56"/>
      <c r="Y199" s="56"/>
      <c r="Z199" s="56"/>
      <c r="AA199" s="56"/>
      <c r="AB199" s="56"/>
    </row>
    <row r="200">
      <c r="A200" s="75"/>
      <c r="B200" s="69"/>
      <c r="C200" s="60"/>
      <c r="D200" s="61"/>
      <c r="E200" s="69"/>
      <c r="F200" s="60"/>
      <c r="G200" s="60"/>
      <c r="H200" s="60"/>
      <c r="I200" s="60"/>
      <c r="J200" s="60"/>
      <c r="K200" s="56"/>
      <c r="L200" s="56"/>
      <c r="M200" s="56"/>
      <c r="N200" s="56"/>
      <c r="O200" s="56"/>
      <c r="P200" s="56"/>
      <c r="Q200" s="56"/>
      <c r="R200" s="56"/>
      <c r="S200" s="56"/>
      <c r="T200" s="56"/>
      <c r="U200" s="56"/>
      <c r="V200" s="56"/>
      <c r="W200" s="56"/>
      <c r="X200" s="56"/>
      <c r="Y200" s="56"/>
      <c r="Z200" s="56"/>
      <c r="AA200" s="56"/>
      <c r="AB200" s="56"/>
    </row>
    <row r="201">
      <c r="A201" s="75"/>
      <c r="B201" s="69"/>
      <c r="C201" s="60"/>
      <c r="D201" s="61"/>
      <c r="E201" s="69"/>
      <c r="F201" s="60"/>
      <c r="G201" s="60"/>
      <c r="H201" s="60"/>
      <c r="I201" s="60"/>
      <c r="J201" s="60"/>
      <c r="K201" s="56"/>
      <c r="L201" s="56"/>
      <c r="M201" s="56"/>
      <c r="N201" s="56"/>
      <c r="O201" s="56"/>
      <c r="P201" s="56"/>
      <c r="Q201" s="56"/>
      <c r="R201" s="56"/>
      <c r="S201" s="56"/>
      <c r="T201" s="56"/>
      <c r="U201" s="56"/>
      <c r="V201" s="56"/>
      <c r="W201" s="56"/>
      <c r="X201" s="56"/>
      <c r="Y201" s="56"/>
      <c r="Z201" s="56"/>
      <c r="AA201" s="56"/>
      <c r="AB201" s="56"/>
    </row>
    <row r="202">
      <c r="A202" s="75"/>
      <c r="B202" s="69"/>
      <c r="C202" s="60"/>
      <c r="D202" s="61"/>
      <c r="E202" s="69"/>
      <c r="F202" s="60"/>
      <c r="G202" s="60"/>
      <c r="H202" s="60"/>
      <c r="I202" s="60"/>
      <c r="J202" s="60"/>
      <c r="K202" s="56"/>
      <c r="L202" s="56"/>
      <c r="M202" s="56"/>
      <c r="N202" s="56"/>
      <c r="O202" s="56"/>
      <c r="P202" s="56"/>
      <c r="Q202" s="56"/>
      <c r="R202" s="56"/>
      <c r="S202" s="56"/>
      <c r="T202" s="56"/>
      <c r="U202" s="56"/>
      <c r="V202" s="56"/>
      <c r="W202" s="56"/>
      <c r="X202" s="56"/>
      <c r="Y202" s="56"/>
      <c r="Z202" s="56"/>
      <c r="AA202" s="56"/>
      <c r="AB202" s="56"/>
    </row>
    <row r="203">
      <c r="A203" s="75"/>
      <c r="B203" s="69"/>
      <c r="C203" s="60"/>
      <c r="D203" s="61"/>
      <c r="E203" s="69"/>
      <c r="F203" s="60"/>
      <c r="G203" s="60"/>
      <c r="H203" s="60"/>
      <c r="I203" s="60"/>
      <c r="J203" s="60"/>
      <c r="K203" s="56"/>
      <c r="L203" s="56"/>
      <c r="M203" s="56"/>
      <c r="N203" s="56"/>
      <c r="O203" s="56"/>
      <c r="P203" s="56"/>
      <c r="Q203" s="56"/>
      <c r="R203" s="56"/>
      <c r="S203" s="56"/>
      <c r="T203" s="56"/>
      <c r="U203" s="56"/>
      <c r="V203" s="56"/>
      <c r="W203" s="56"/>
      <c r="X203" s="56"/>
      <c r="Y203" s="56"/>
      <c r="Z203" s="56"/>
      <c r="AA203" s="56"/>
      <c r="AB203" s="56"/>
    </row>
    <row r="204">
      <c r="A204" s="75"/>
      <c r="B204" s="69"/>
      <c r="C204" s="60"/>
      <c r="D204" s="61"/>
      <c r="E204" s="69"/>
      <c r="F204" s="60"/>
      <c r="G204" s="60"/>
      <c r="H204" s="60"/>
      <c r="I204" s="60"/>
      <c r="J204" s="60"/>
      <c r="K204" s="56"/>
      <c r="L204" s="56"/>
      <c r="M204" s="56"/>
      <c r="N204" s="56"/>
      <c r="O204" s="56"/>
      <c r="P204" s="56"/>
      <c r="Q204" s="56"/>
      <c r="R204" s="56"/>
      <c r="S204" s="56"/>
      <c r="T204" s="56"/>
      <c r="U204" s="56"/>
      <c r="V204" s="56"/>
      <c r="W204" s="56"/>
      <c r="X204" s="56"/>
      <c r="Y204" s="56"/>
      <c r="Z204" s="56"/>
      <c r="AA204" s="56"/>
      <c r="AB204" s="56"/>
    </row>
    <row r="205">
      <c r="A205" s="75"/>
      <c r="B205" s="69"/>
      <c r="C205" s="60"/>
      <c r="D205" s="61"/>
      <c r="E205" s="69"/>
      <c r="F205" s="60"/>
      <c r="G205" s="60"/>
      <c r="H205" s="60"/>
      <c r="I205" s="60"/>
      <c r="J205" s="60"/>
      <c r="K205" s="56"/>
      <c r="L205" s="56"/>
      <c r="M205" s="56"/>
      <c r="N205" s="56"/>
      <c r="O205" s="56"/>
      <c r="P205" s="56"/>
      <c r="Q205" s="56"/>
      <c r="R205" s="56"/>
      <c r="S205" s="56"/>
      <c r="T205" s="56"/>
      <c r="U205" s="56"/>
      <c r="V205" s="56"/>
      <c r="W205" s="56"/>
      <c r="X205" s="56"/>
      <c r="Y205" s="56"/>
      <c r="Z205" s="56"/>
      <c r="AA205" s="56"/>
      <c r="AB205" s="56"/>
    </row>
    <row r="206">
      <c r="A206" s="75"/>
      <c r="B206" s="69"/>
      <c r="C206" s="60"/>
      <c r="D206" s="61"/>
      <c r="E206" s="69"/>
      <c r="F206" s="60"/>
      <c r="G206" s="60"/>
      <c r="H206" s="60"/>
      <c r="I206" s="60"/>
      <c r="J206" s="60"/>
      <c r="K206" s="56"/>
      <c r="L206" s="56"/>
      <c r="M206" s="56"/>
      <c r="N206" s="56"/>
      <c r="O206" s="56"/>
      <c r="P206" s="56"/>
      <c r="Q206" s="56"/>
      <c r="R206" s="56"/>
      <c r="S206" s="56"/>
      <c r="T206" s="56"/>
      <c r="U206" s="56"/>
      <c r="V206" s="56"/>
      <c r="W206" s="56"/>
      <c r="X206" s="56"/>
      <c r="Y206" s="56"/>
      <c r="Z206" s="56"/>
      <c r="AA206" s="56"/>
      <c r="AB206" s="56"/>
    </row>
    <row r="207">
      <c r="A207" s="75"/>
      <c r="B207" s="69"/>
      <c r="C207" s="60"/>
      <c r="D207" s="61"/>
      <c r="E207" s="69"/>
      <c r="F207" s="60"/>
      <c r="G207" s="60"/>
      <c r="H207" s="60"/>
      <c r="I207" s="60"/>
      <c r="J207" s="60"/>
      <c r="K207" s="56"/>
      <c r="L207" s="56"/>
      <c r="M207" s="56"/>
      <c r="N207" s="56"/>
      <c r="O207" s="56"/>
      <c r="P207" s="56"/>
      <c r="Q207" s="56"/>
      <c r="R207" s="56"/>
      <c r="S207" s="56"/>
      <c r="T207" s="56"/>
      <c r="U207" s="56"/>
      <c r="V207" s="56"/>
      <c r="W207" s="56"/>
      <c r="X207" s="56"/>
      <c r="Y207" s="56"/>
      <c r="Z207" s="56"/>
      <c r="AA207" s="56"/>
      <c r="AB207" s="56"/>
    </row>
    <row r="208">
      <c r="A208" s="75"/>
      <c r="B208" s="69"/>
      <c r="C208" s="60"/>
      <c r="D208" s="61"/>
      <c r="E208" s="69"/>
      <c r="F208" s="60"/>
      <c r="G208" s="60"/>
      <c r="H208" s="60"/>
      <c r="I208" s="60"/>
      <c r="J208" s="60"/>
      <c r="K208" s="56"/>
      <c r="L208" s="56"/>
      <c r="M208" s="56"/>
      <c r="N208" s="56"/>
      <c r="O208" s="56"/>
      <c r="P208" s="56"/>
      <c r="Q208" s="56"/>
      <c r="R208" s="56"/>
      <c r="S208" s="56"/>
      <c r="T208" s="56"/>
      <c r="U208" s="56"/>
      <c r="V208" s="56"/>
      <c r="W208" s="56"/>
      <c r="X208" s="56"/>
      <c r="Y208" s="56"/>
      <c r="Z208" s="56"/>
      <c r="AA208" s="56"/>
      <c r="AB208" s="56"/>
    </row>
    <row r="209">
      <c r="A209" s="75"/>
      <c r="B209" s="69"/>
      <c r="C209" s="60"/>
      <c r="D209" s="61"/>
      <c r="E209" s="69"/>
      <c r="F209" s="60"/>
      <c r="G209" s="60"/>
      <c r="H209" s="60"/>
      <c r="I209" s="60"/>
      <c r="J209" s="60"/>
      <c r="K209" s="56"/>
      <c r="L209" s="56"/>
      <c r="M209" s="56"/>
      <c r="N209" s="56"/>
      <c r="O209" s="56"/>
      <c r="P209" s="56"/>
      <c r="Q209" s="56"/>
      <c r="R209" s="56"/>
      <c r="S209" s="56"/>
      <c r="T209" s="56"/>
      <c r="U209" s="56"/>
      <c r="V209" s="56"/>
      <c r="W209" s="56"/>
      <c r="X209" s="56"/>
      <c r="Y209" s="56"/>
      <c r="Z209" s="56"/>
      <c r="AA209" s="56"/>
      <c r="AB209" s="56"/>
    </row>
    <row r="210">
      <c r="A210" s="75"/>
      <c r="B210" s="69"/>
      <c r="C210" s="60"/>
      <c r="D210" s="61"/>
      <c r="E210" s="69"/>
      <c r="F210" s="60"/>
      <c r="G210" s="60"/>
      <c r="H210" s="60"/>
      <c r="I210" s="60"/>
      <c r="J210" s="60"/>
      <c r="K210" s="56"/>
      <c r="L210" s="56"/>
      <c r="M210" s="56"/>
      <c r="N210" s="56"/>
      <c r="O210" s="56"/>
      <c r="P210" s="56"/>
      <c r="Q210" s="56"/>
      <c r="R210" s="56"/>
      <c r="S210" s="56"/>
      <c r="T210" s="56"/>
      <c r="U210" s="56"/>
      <c r="V210" s="56"/>
      <c r="W210" s="56"/>
      <c r="X210" s="56"/>
      <c r="Y210" s="56"/>
      <c r="Z210" s="56"/>
      <c r="AA210" s="56"/>
      <c r="AB210" s="56"/>
    </row>
    <row r="211">
      <c r="A211" s="75"/>
      <c r="B211" s="69"/>
      <c r="C211" s="60"/>
      <c r="D211" s="61"/>
      <c r="E211" s="69"/>
      <c r="F211" s="60"/>
      <c r="G211" s="60"/>
      <c r="H211" s="60"/>
      <c r="I211" s="60"/>
      <c r="J211" s="60"/>
      <c r="K211" s="56"/>
      <c r="L211" s="56"/>
      <c r="M211" s="56"/>
      <c r="N211" s="56"/>
      <c r="O211" s="56"/>
      <c r="P211" s="56"/>
      <c r="Q211" s="56"/>
      <c r="R211" s="56"/>
      <c r="S211" s="56"/>
      <c r="T211" s="56"/>
      <c r="U211" s="56"/>
      <c r="V211" s="56"/>
      <c r="W211" s="56"/>
      <c r="X211" s="56"/>
      <c r="Y211" s="56"/>
      <c r="Z211" s="56"/>
      <c r="AA211" s="56"/>
      <c r="AB211" s="56"/>
    </row>
    <row r="212">
      <c r="A212" s="75"/>
      <c r="B212" s="69"/>
      <c r="C212" s="60"/>
      <c r="D212" s="61"/>
      <c r="E212" s="69"/>
      <c r="F212" s="60"/>
      <c r="G212" s="60"/>
      <c r="H212" s="60"/>
      <c r="I212" s="60"/>
      <c r="J212" s="60"/>
      <c r="K212" s="56"/>
      <c r="L212" s="56"/>
      <c r="M212" s="56"/>
      <c r="N212" s="56"/>
      <c r="O212" s="56"/>
      <c r="P212" s="56"/>
      <c r="Q212" s="56"/>
      <c r="R212" s="56"/>
      <c r="S212" s="56"/>
      <c r="T212" s="56"/>
      <c r="U212" s="56"/>
      <c r="V212" s="56"/>
      <c r="W212" s="56"/>
      <c r="X212" s="56"/>
      <c r="Y212" s="56"/>
      <c r="Z212" s="56"/>
      <c r="AA212" s="56"/>
      <c r="AB212" s="56"/>
    </row>
    <row r="213">
      <c r="A213" s="75"/>
      <c r="B213" s="69"/>
      <c r="C213" s="60"/>
      <c r="D213" s="61"/>
      <c r="E213" s="69"/>
      <c r="F213" s="60"/>
      <c r="G213" s="60"/>
      <c r="H213" s="60"/>
      <c r="I213" s="60"/>
      <c r="J213" s="60"/>
      <c r="K213" s="56"/>
      <c r="L213" s="56"/>
      <c r="M213" s="56"/>
      <c r="N213" s="56"/>
      <c r="O213" s="56"/>
      <c r="P213" s="56"/>
      <c r="Q213" s="56"/>
      <c r="R213" s="56"/>
      <c r="S213" s="56"/>
      <c r="T213" s="56"/>
      <c r="U213" s="56"/>
      <c r="V213" s="56"/>
      <c r="W213" s="56"/>
      <c r="X213" s="56"/>
      <c r="Y213" s="56"/>
      <c r="Z213" s="56"/>
      <c r="AA213" s="56"/>
      <c r="AB213" s="56"/>
    </row>
    <row r="214">
      <c r="A214" s="75"/>
      <c r="B214" s="69"/>
      <c r="C214" s="60"/>
      <c r="D214" s="61"/>
      <c r="E214" s="69"/>
      <c r="F214" s="60"/>
      <c r="G214" s="60"/>
      <c r="H214" s="60"/>
      <c r="I214" s="60"/>
      <c r="J214" s="60"/>
      <c r="K214" s="56"/>
      <c r="L214" s="56"/>
      <c r="M214" s="56"/>
      <c r="N214" s="56"/>
      <c r="O214" s="56"/>
      <c r="P214" s="56"/>
      <c r="Q214" s="56"/>
      <c r="R214" s="56"/>
      <c r="S214" s="56"/>
      <c r="T214" s="56"/>
      <c r="U214" s="56"/>
      <c r="V214" s="56"/>
      <c r="W214" s="56"/>
      <c r="X214" s="56"/>
      <c r="Y214" s="56"/>
      <c r="Z214" s="56"/>
      <c r="AA214" s="56"/>
      <c r="AB214" s="56"/>
    </row>
    <row r="215">
      <c r="A215" s="75"/>
      <c r="B215" s="69"/>
      <c r="C215" s="60"/>
      <c r="D215" s="61"/>
      <c r="E215" s="69"/>
      <c r="F215" s="60"/>
      <c r="G215" s="60"/>
      <c r="H215" s="60"/>
      <c r="I215" s="60"/>
      <c r="J215" s="60"/>
      <c r="K215" s="56"/>
      <c r="L215" s="56"/>
      <c r="M215" s="56"/>
      <c r="N215" s="56"/>
      <c r="O215" s="56"/>
      <c r="P215" s="56"/>
      <c r="Q215" s="56"/>
      <c r="R215" s="56"/>
      <c r="S215" s="56"/>
      <c r="T215" s="56"/>
      <c r="U215" s="56"/>
      <c r="V215" s="56"/>
      <c r="W215" s="56"/>
      <c r="X215" s="56"/>
      <c r="Y215" s="56"/>
      <c r="Z215" s="56"/>
      <c r="AA215" s="56"/>
      <c r="AB215" s="56"/>
    </row>
    <row r="216">
      <c r="A216" s="75"/>
      <c r="B216" s="69"/>
      <c r="C216" s="60"/>
      <c r="D216" s="61"/>
      <c r="E216" s="69"/>
      <c r="F216" s="60"/>
      <c r="G216" s="60"/>
      <c r="H216" s="60"/>
      <c r="I216" s="60"/>
      <c r="J216" s="60"/>
      <c r="K216" s="56"/>
      <c r="L216" s="56"/>
      <c r="M216" s="56"/>
      <c r="N216" s="56"/>
      <c r="O216" s="56"/>
      <c r="P216" s="56"/>
      <c r="Q216" s="56"/>
      <c r="R216" s="56"/>
      <c r="S216" s="56"/>
      <c r="T216" s="56"/>
      <c r="U216" s="56"/>
      <c r="V216" s="56"/>
      <c r="W216" s="56"/>
      <c r="X216" s="56"/>
      <c r="Y216" s="56"/>
      <c r="Z216" s="56"/>
      <c r="AA216" s="56"/>
      <c r="AB216" s="56"/>
    </row>
    <row r="217">
      <c r="A217" s="75"/>
      <c r="B217" s="69"/>
      <c r="C217" s="60"/>
      <c r="D217" s="61"/>
      <c r="E217" s="69"/>
      <c r="F217" s="60"/>
      <c r="G217" s="60"/>
      <c r="H217" s="60"/>
      <c r="I217" s="60"/>
      <c r="J217" s="60"/>
      <c r="K217" s="56"/>
      <c r="L217" s="56"/>
      <c r="M217" s="56"/>
      <c r="N217" s="56"/>
      <c r="O217" s="56"/>
      <c r="P217" s="56"/>
      <c r="Q217" s="56"/>
      <c r="R217" s="56"/>
      <c r="S217" s="56"/>
      <c r="T217" s="56"/>
      <c r="U217" s="56"/>
      <c r="V217" s="56"/>
      <c r="W217" s="56"/>
      <c r="X217" s="56"/>
      <c r="Y217" s="56"/>
      <c r="Z217" s="56"/>
      <c r="AA217" s="56"/>
      <c r="AB217" s="56"/>
    </row>
    <row r="218">
      <c r="A218" s="75"/>
      <c r="B218" s="69"/>
      <c r="C218" s="60"/>
      <c r="D218" s="61"/>
      <c r="E218" s="69"/>
      <c r="F218" s="60"/>
      <c r="G218" s="60"/>
      <c r="H218" s="60"/>
      <c r="I218" s="60"/>
      <c r="J218" s="60"/>
      <c r="K218" s="56"/>
      <c r="L218" s="56"/>
      <c r="M218" s="56"/>
      <c r="N218" s="56"/>
      <c r="O218" s="56"/>
      <c r="P218" s="56"/>
      <c r="Q218" s="56"/>
      <c r="R218" s="56"/>
      <c r="S218" s="56"/>
      <c r="T218" s="56"/>
      <c r="U218" s="56"/>
      <c r="V218" s="56"/>
      <c r="W218" s="56"/>
      <c r="X218" s="56"/>
      <c r="Y218" s="56"/>
      <c r="Z218" s="56"/>
      <c r="AA218" s="56"/>
      <c r="AB218" s="56"/>
    </row>
    <row r="219">
      <c r="A219" s="75"/>
      <c r="B219" s="69"/>
      <c r="C219" s="60"/>
      <c r="D219" s="61"/>
      <c r="E219" s="69"/>
      <c r="F219" s="60"/>
      <c r="G219" s="60"/>
      <c r="H219" s="60"/>
      <c r="I219" s="60"/>
      <c r="J219" s="60"/>
      <c r="K219" s="56"/>
      <c r="L219" s="56"/>
      <c r="M219" s="56"/>
      <c r="N219" s="56"/>
      <c r="O219" s="56"/>
      <c r="P219" s="56"/>
      <c r="Q219" s="56"/>
      <c r="R219" s="56"/>
      <c r="S219" s="56"/>
      <c r="T219" s="56"/>
      <c r="U219" s="56"/>
      <c r="V219" s="56"/>
      <c r="W219" s="56"/>
      <c r="X219" s="56"/>
      <c r="Y219" s="56"/>
      <c r="Z219" s="56"/>
      <c r="AA219" s="56"/>
      <c r="AB219" s="56"/>
    </row>
    <row r="220">
      <c r="A220" s="75"/>
      <c r="B220" s="69"/>
      <c r="C220" s="60"/>
      <c r="D220" s="61"/>
      <c r="E220" s="69"/>
      <c r="F220" s="60"/>
      <c r="G220" s="60"/>
      <c r="H220" s="60"/>
      <c r="I220" s="60"/>
      <c r="J220" s="60"/>
      <c r="K220" s="56"/>
      <c r="L220" s="56"/>
      <c r="M220" s="56"/>
      <c r="N220" s="56"/>
      <c r="O220" s="56"/>
      <c r="P220" s="56"/>
      <c r="Q220" s="56"/>
      <c r="R220" s="56"/>
      <c r="S220" s="56"/>
      <c r="T220" s="56"/>
      <c r="U220" s="56"/>
      <c r="V220" s="56"/>
      <c r="W220" s="56"/>
      <c r="X220" s="56"/>
      <c r="Y220" s="56"/>
      <c r="Z220" s="56"/>
      <c r="AA220" s="56"/>
      <c r="AB220" s="56"/>
    </row>
    <row r="221">
      <c r="A221" s="75"/>
      <c r="B221" s="69"/>
      <c r="C221" s="60"/>
      <c r="D221" s="61"/>
      <c r="E221" s="69"/>
      <c r="F221" s="60"/>
      <c r="G221" s="60"/>
      <c r="H221" s="60"/>
      <c r="I221" s="60"/>
      <c r="J221" s="60"/>
      <c r="K221" s="56"/>
      <c r="L221" s="56"/>
      <c r="M221" s="56"/>
      <c r="N221" s="56"/>
      <c r="O221" s="56"/>
      <c r="P221" s="56"/>
      <c r="Q221" s="56"/>
      <c r="R221" s="56"/>
      <c r="S221" s="56"/>
      <c r="T221" s="56"/>
      <c r="U221" s="56"/>
      <c r="V221" s="56"/>
      <c r="W221" s="56"/>
      <c r="X221" s="56"/>
      <c r="Y221" s="56"/>
      <c r="Z221" s="56"/>
      <c r="AA221" s="56"/>
      <c r="AB221" s="56"/>
    </row>
    <row r="222">
      <c r="A222" s="75"/>
      <c r="B222" s="69"/>
      <c r="C222" s="60"/>
      <c r="D222" s="61"/>
      <c r="E222" s="69"/>
      <c r="F222" s="60"/>
      <c r="G222" s="60"/>
      <c r="H222" s="60"/>
      <c r="I222" s="60"/>
      <c r="J222" s="60"/>
      <c r="K222" s="56"/>
      <c r="L222" s="56"/>
      <c r="M222" s="56"/>
      <c r="N222" s="56"/>
      <c r="O222" s="56"/>
      <c r="P222" s="56"/>
      <c r="Q222" s="56"/>
      <c r="R222" s="56"/>
      <c r="S222" s="56"/>
      <c r="T222" s="56"/>
      <c r="U222" s="56"/>
      <c r="V222" s="56"/>
      <c r="W222" s="56"/>
      <c r="X222" s="56"/>
      <c r="Y222" s="56"/>
      <c r="Z222" s="56"/>
      <c r="AA222" s="56"/>
      <c r="AB222" s="56"/>
    </row>
    <row r="223">
      <c r="A223" s="75"/>
      <c r="B223" s="69"/>
      <c r="C223" s="60"/>
      <c r="D223" s="61"/>
      <c r="E223" s="69"/>
      <c r="F223" s="60"/>
      <c r="G223" s="60"/>
      <c r="H223" s="60"/>
      <c r="I223" s="60"/>
      <c r="J223" s="60"/>
      <c r="K223" s="56"/>
      <c r="L223" s="56"/>
      <c r="M223" s="56"/>
      <c r="N223" s="56"/>
      <c r="O223" s="56"/>
      <c r="P223" s="56"/>
      <c r="Q223" s="56"/>
      <c r="R223" s="56"/>
      <c r="S223" s="56"/>
      <c r="T223" s="56"/>
      <c r="U223" s="56"/>
      <c r="V223" s="56"/>
      <c r="W223" s="56"/>
      <c r="X223" s="56"/>
      <c r="Y223" s="56"/>
      <c r="Z223" s="56"/>
      <c r="AA223" s="56"/>
      <c r="AB223" s="56"/>
    </row>
    <row r="224">
      <c r="A224" s="75"/>
      <c r="B224" s="69"/>
      <c r="C224" s="60"/>
      <c r="D224" s="61"/>
      <c r="E224" s="69"/>
      <c r="F224" s="60"/>
      <c r="G224" s="60"/>
      <c r="H224" s="60"/>
      <c r="I224" s="60"/>
      <c r="J224" s="60"/>
      <c r="K224" s="56"/>
      <c r="L224" s="56"/>
      <c r="M224" s="56"/>
      <c r="N224" s="56"/>
      <c r="O224" s="56"/>
      <c r="P224" s="56"/>
      <c r="Q224" s="56"/>
      <c r="R224" s="56"/>
      <c r="S224" s="56"/>
      <c r="T224" s="56"/>
      <c r="U224" s="56"/>
      <c r="V224" s="56"/>
      <c r="W224" s="56"/>
      <c r="X224" s="56"/>
      <c r="Y224" s="56"/>
      <c r="Z224" s="56"/>
      <c r="AA224" s="56"/>
      <c r="AB224" s="56"/>
    </row>
    <row r="225">
      <c r="A225" s="75"/>
      <c r="B225" s="69"/>
      <c r="C225" s="60"/>
      <c r="D225" s="61"/>
      <c r="E225" s="69"/>
      <c r="F225" s="60"/>
      <c r="G225" s="60"/>
      <c r="H225" s="60"/>
      <c r="I225" s="60"/>
      <c r="J225" s="60"/>
      <c r="K225" s="56"/>
      <c r="L225" s="56"/>
      <c r="M225" s="56"/>
      <c r="N225" s="56"/>
      <c r="O225" s="56"/>
      <c r="P225" s="56"/>
      <c r="Q225" s="56"/>
      <c r="R225" s="56"/>
      <c r="S225" s="56"/>
      <c r="T225" s="56"/>
      <c r="U225" s="56"/>
      <c r="V225" s="56"/>
      <c r="W225" s="56"/>
      <c r="X225" s="56"/>
      <c r="Y225" s="56"/>
      <c r="Z225" s="56"/>
      <c r="AA225" s="56"/>
      <c r="AB225" s="56"/>
    </row>
    <row r="226">
      <c r="A226" s="75"/>
      <c r="B226" s="69"/>
      <c r="C226" s="60"/>
      <c r="D226" s="61"/>
      <c r="E226" s="69"/>
      <c r="F226" s="60"/>
      <c r="G226" s="60"/>
      <c r="H226" s="60"/>
      <c r="I226" s="60"/>
      <c r="J226" s="60"/>
      <c r="K226" s="56"/>
      <c r="L226" s="56"/>
      <c r="M226" s="56"/>
      <c r="N226" s="56"/>
      <c r="O226" s="56"/>
      <c r="P226" s="56"/>
      <c r="Q226" s="56"/>
      <c r="R226" s="56"/>
      <c r="S226" s="56"/>
      <c r="T226" s="56"/>
      <c r="U226" s="56"/>
      <c r="V226" s="56"/>
      <c r="W226" s="56"/>
      <c r="X226" s="56"/>
      <c r="Y226" s="56"/>
      <c r="Z226" s="56"/>
      <c r="AA226" s="56"/>
      <c r="AB226" s="56"/>
    </row>
    <row r="227">
      <c r="A227" s="75"/>
      <c r="B227" s="69"/>
      <c r="C227" s="60"/>
      <c r="D227" s="61"/>
      <c r="E227" s="69"/>
      <c r="F227" s="60"/>
      <c r="G227" s="60"/>
      <c r="H227" s="60"/>
      <c r="I227" s="60"/>
      <c r="J227" s="60"/>
      <c r="K227" s="56"/>
      <c r="L227" s="56"/>
      <c r="M227" s="56"/>
      <c r="N227" s="56"/>
      <c r="O227" s="56"/>
      <c r="P227" s="56"/>
      <c r="Q227" s="56"/>
      <c r="R227" s="56"/>
      <c r="S227" s="56"/>
      <c r="T227" s="56"/>
      <c r="U227" s="56"/>
      <c r="V227" s="56"/>
      <c r="W227" s="56"/>
      <c r="X227" s="56"/>
      <c r="Y227" s="56"/>
      <c r="Z227" s="56"/>
      <c r="AA227" s="56"/>
      <c r="AB227" s="56"/>
    </row>
    <row r="228">
      <c r="A228" s="75"/>
      <c r="B228" s="69"/>
      <c r="C228" s="60"/>
      <c r="D228" s="61"/>
      <c r="E228" s="69"/>
      <c r="F228" s="60"/>
      <c r="G228" s="60"/>
      <c r="H228" s="60"/>
      <c r="I228" s="60"/>
      <c r="J228" s="60"/>
      <c r="K228" s="56"/>
      <c r="L228" s="56"/>
      <c r="M228" s="56"/>
      <c r="N228" s="56"/>
      <c r="O228" s="56"/>
      <c r="P228" s="56"/>
      <c r="Q228" s="56"/>
      <c r="R228" s="56"/>
      <c r="S228" s="56"/>
      <c r="T228" s="56"/>
      <c r="U228" s="56"/>
      <c r="V228" s="56"/>
      <c r="W228" s="56"/>
      <c r="X228" s="56"/>
      <c r="Y228" s="56"/>
      <c r="Z228" s="56"/>
      <c r="AA228" s="56"/>
      <c r="AB228" s="56"/>
    </row>
    <row r="229">
      <c r="A229" s="75"/>
      <c r="B229" s="69"/>
      <c r="C229" s="60"/>
      <c r="D229" s="61"/>
      <c r="E229" s="69"/>
      <c r="F229" s="60"/>
      <c r="G229" s="60"/>
      <c r="H229" s="60"/>
      <c r="I229" s="60"/>
      <c r="J229" s="60"/>
      <c r="K229" s="56"/>
      <c r="L229" s="56"/>
      <c r="M229" s="56"/>
      <c r="N229" s="56"/>
      <c r="O229" s="56"/>
      <c r="P229" s="56"/>
      <c r="Q229" s="56"/>
      <c r="R229" s="56"/>
      <c r="S229" s="56"/>
      <c r="T229" s="56"/>
      <c r="U229" s="56"/>
      <c r="V229" s="56"/>
      <c r="W229" s="56"/>
      <c r="X229" s="56"/>
      <c r="Y229" s="56"/>
      <c r="Z229" s="56"/>
      <c r="AA229" s="56"/>
      <c r="AB229" s="56"/>
    </row>
    <row r="230">
      <c r="A230" s="75"/>
      <c r="B230" s="69"/>
      <c r="C230" s="60"/>
      <c r="D230" s="61"/>
      <c r="E230" s="69"/>
      <c r="F230" s="60"/>
      <c r="G230" s="60"/>
      <c r="H230" s="60"/>
      <c r="I230" s="60"/>
      <c r="J230" s="60"/>
      <c r="K230" s="56"/>
      <c r="L230" s="56"/>
      <c r="M230" s="56"/>
      <c r="N230" s="56"/>
      <c r="O230" s="56"/>
      <c r="P230" s="56"/>
      <c r="Q230" s="56"/>
      <c r="R230" s="56"/>
      <c r="S230" s="56"/>
      <c r="T230" s="56"/>
      <c r="U230" s="56"/>
      <c r="V230" s="56"/>
      <c r="W230" s="56"/>
      <c r="X230" s="56"/>
      <c r="Y230" s="56"/>
      <c r="Z230" s="56"/>
      <c r="AA230" s="56"/>
      <c r="AB230" s="56"/>
    </row>
    <row r="231">
      <c r="A231" s="75"/>
      <c r="B231" s="69"/>
      <c r="C231" s="60"/>
      <c r="D231" s="61"/>
      <c r="E231" s="69"/>
      <c r="F231" s="60"/>
      <c r="G231" s="60"/>
      <c r="H231" s="60"/>
      <c r="I231" s="60"/>
      <c r="J231" s="60"/>
      <c r="K231" s="56"/>
      <c r="L231" s="56"/>
      <c r="M231" s="56"/>
      <c r="N231" s="56"/>
      <c r="O231" s="56"/>
      <c r="P231" s="56"/>
      <c r="Q231" s="56"/>
      <c r="R231" s="56"/>
      <c r="S231" s="56"/>
      <c r="T231" s="56"/>
      <c r="U231" s="56"/>
      <c r="V231" s="56"/>
      <c r="W231" s="56"/>
      <c r="X231" s="56"/>
      <c r="Y231" s="56"/>
      <c r="Z231" s="56"/>
      <c r="AA231" s="56"/>
      <c r="AB231" s="56"/>
    </row>
    <row r="232">
      <c r="A232" s="75"/>
      <c r="B232" s="69"/>
      <c r="C232" s="60"/>
      <c r="D232" s="61"/>
      <c r="E232" s="69"/>
      <c r="F232" s="60"/>
      <c r="G232" s="60"/>
      <c r="H232" s="60"/>
      <c r="I232" s="60"/>
      <c r="J232" s="60"/>
      <c r="K232" s="56"/>
      <c r="L232" s="56"/>
      <c r="M232" s="56"/>
      <c r="N232" s="56"/>
      <c r="O232" s="56"/>
      <c r="P232" s="56"/>
      <c r="Q232" s="56"/>
      <c r="R232" s="56"/>
      <c r="S232" s="56"/>
      <c r="T232" s="56"/>
      <c r="U232" s="56"/>
      <c r="V232" s="56"/>
      <c r="W232" s="56"/>
      <c r="X232" s="56"/>
      <c r="Y232" s="56"/>
      <c r="Z232" s="56"/>
      <c r="AA232" s="56"/>
      <c r="AB232" s="56"/>
    </row>
    <row r="233">
      <c r="A233" s="75"/>
      <c r="B233" s="69"/>
      <c r="C233" s="60"/>
      <c r="D233" s="61"/>
      <c r="E233" s="69"/>
      <c r="F233" s="60"/>
      <c r="G233" s="60"/>
      <c r="H233" s="60"/>
      <c r="I233" s="60"/>
      <c r="J233" s="60"/>
      <c r="K233" s="56"/>
      <c r="L233" s="56"/>
      <c r="M233" s="56"/>
      <c r="N233" s="56"/>
      <c r="O233" s="56"/>
      <c r="P233" s="56"/>
      <c r="Q233" s="56"/>
      <c r="R233" s="56"/>
      <c r="S233" s="56"/>
      <c r="T233" s="56"/>
      <c r="U233" s="56"/>
      <c r="V233" s="56"/>
      <c r="W233" s="56"/>
      <c r="X233" s="56"/>
      <c r="Y233" s="56"/>
      <c r="Z233" s="56"/>
      <c r="AA233" s="56"/>
      <c r="AB233" s="56"/>
    </row>
    <row r="234">
      <c r="A234" s="75"/>
      <c r="B234" s="69"/>
      <c r="C234" s="60"/>
      <c r="D234" s="61"/>
      <c r="E234" s="69"/>
      <c r="F234" s="60"/>
      <c r="G234" s="60"/>
      <c r="H234" s="60"/>
      <c r="I234" s="60"/>
      <c r="J234" s="60"/>
      <c r="K234" s="56"/>
      <c r="L234" s="56"/>
      <c r="M234" s="56"/>
      <c r="N234" s="56"/>
      <c r="O234" s="56"/>
      <c r="P234" s="56"/>
      <c r="Q234" s="56"/>
      <c r="R234" s="56"/>
      <c r="S234" s="56"/>
      <c r="T234" s="56"/>
      <c r="U234" s="56"/>
      <c r="V234" s="56"/>
      <c r="W234" s="56"/>
      <c r="X234" s="56"/>
      <c r="Y234" s="56"/>
      <c r="Z234" s="56"/>
      <c r="AA234" s="56"/>
      <c r="AB234" s="56"/>
    </row>
    <row r="235">
      <c r="A235" s="75"/>
      <c r="B235" s="69"/>
      <c r="C235" s="60"/>
      <c r="D235" s="61"/>
      <c r="E235" s="69"/>
      <c r="F235" s="60"/>
      <c r="G235" s="60"/>
      <c r="H235" s="60"/>
      <c r="I235" s="60"/>
      <c r="J235" s="60"/>
      <c r="K235" s="56"/>
      <c r="L235" s="56"/>
      <c r="M235" s="56"/>
      <c r="N235" s="56"/>
      <c r="O235" s="56"/>
      <c r="P235" s="56"/>
      <c r="Q235" s="56"/>
      <c r="R235" s="56"/>
      <c r="S235" s="56"/>
      <c r="T235" s="56"/>
      <c r="U235" s="56"/>
      <c r="V235" s="56"/>
      <c r="W235" s="56"/>
      <c r="X235" s="56"/>
      <c r="Y235" s="56"/>
      <c r="Z235" s="56"/>
      <c r="AA235" s="56"/>
      <c r="AB235" s="56"/>
    </row>
    <row r="236">
      <c r="A236" s="75"/>
      <c r="B236" s="69"/>
      <c r="C236" s="60"/>
      <c r="D236" s="61"/>
      <c r="E236" s="69"/>
      <c r="F236" s="60"/>
      <c r="G236" s="60"/>
      <c r="H236" s="60"/>
      <c r="I236" s="60"/>
      <c r="J236" s="60"/>
      <c r="K236" s="56"/>
      <c r="L236" s="56"/>
      <c r="M236" s="56"/>
      <c r="N236" s="56"/>
      <c r="O236" s="56"/>
      <c r="P236" s="56"/>
      <c r="Q236" s="56"/>
      <c r="R236" s="56"/>
      <c r="S236" s="56"/>
      <c r="T236" s="56"/>
      <c r="U236" s="56"/>
      <c r="V236" s="56"/>
      <c r="W236" s="56"/>
      <c r="X236" s="56"/>
      <c r="Y236" s="56"/>
      <c r="Z236" s="56"/>
      <c r="AA236" s="56"/>
      <c r="AB236" s="56"/>
    </row>
    <row r="237">
      <c r="A237" s="75"/>
      <c r="B237" s="69"/>
      <c r="C237" s="60"/>
      <c r="D237" s="61"/>
      <c r="E237" s="69"/>
      <c r="F237" s="60"/>
      <c r="G237" s="60"/>
      <c r="H237" s="60"/>
      <c r="I237" s="60"/>
      <c r="J237" s="60"/>
      <c r="K237" s="56"/>
      <c r="L237" s="56"/>
      <c r="M237" s="56"/>
      <c r="N237" s="56"/>
      <c r="O237" s="56"/>
      <c r="P237" s="56"/>
      <c r="Q237" s="56"/>
      <c r="R237" s="56"/>
      <c r="S237" s="56"/>
      <c r="T237" s="56"/>
      <c r="U237" s="56"/>
      <c r="V237" s="56"/>
      <c r="W237" s="56"/>
      <c r="X237" s="56"/>
      <c r="Y237" s="56"/>
      <c r="Z237" s="56"/>
      <c r="AA237" s="56"/>
      <c r="AB237" s="56"/>
    </row>
    <row r="238">
      <c r="A238" s="75"/>
      <c r="B238" s="69"/>
      <c r="C238" s="60"/>
      <c r="D238" s="61"/>
      <c r="E238" s="69"/>
      <c r="F238" s="60"/>
      <c r="G238" s="60"/>
      <c r="H238" s="60"/>
      <c r="I238" s="60"/>
      <c r="J238" s="60"/>
      <c r="K238" s="56"/>
      <c r="L238" s="56"/>
      <c r="M238" s="56"/>
      <c r="N238" s="56"/>
      <c r="O238" s="56"/>
      <c r="P238" s="56"/>
      <c r="Q238" s="56"/>
      <c r="R238" s="56"/>
      <c r="S238" s="56"/>
      <c r="T238" s="56"/>
      <c r="U238" s="56"/>
      <c r="V238" s="56"/>
      <c r="W238" s="56"/>
      <c r="X238" s="56"/>
      <c r="Y238" s="56"/>
      <c r="Z238" s="56"/>
      <c r="AA238" s="56"/>
      <c r="AB238" s="56"/>
    </row>
    <row r="239">
      <c r="A239" s="75"/>
      <c r="B239" s="69"/>
      <c r="C239" s="60"/>
      <c r="D239" s="61"/>
      <c r="E239" s="69"/>
      <c r="F239" s="60"/>
      <c r="G239" s="60"/>
      <c r="H239" s="60"/>
      <c r="I239" s="60"/>
      <c r="J239" s="60"/>
      <c r="K239" s="56"/>
      <c r="L239" s="56"/>
      <c r="M239" s="56"/>
      <c r="N239" s="56"/>
      <c r="O239" s="56"/>
      <c r="P239" s="56"/>
      <c r="Q239" s="56"/>
      <c r="R239" s="56"/>
      <c r="S239" s="56"/>
      <c r="T239" s="56"/>
      <c r="U239" s="56"/>
      <c r="V239" s="56"/>
      <c r="W239" s="56"/>
      <c r="X239" s="56"/>
      <c r="Y239" s="56"/>
      <c r="Z239" s="56"/>
      <c r="AA239" s="56"/>
      <c r="AB239" s="56"/>
    </row>
    <row r="240">
      <c r="A240" s="75"/>
      <c r="B240" s="69"/>
      <c r="C240" s="60"/>
      <c r="D240" s="61"/>
      <c r="E240" s="69"/>
      <c r="F240" s="60"/>
      <c r="G240" s="60"/>
      <c r="H240" s="60"/>
      <c r="I240" s="60"/>
      <c r="J240" s="60"/>
      <c r="K240" s="56"/>
      <c r="L240" s="56"/>
      <c r="M240" s="56"/>
      <c r="N240" s="56"/>
      <c r="O240" s="56"/>
      <c r="P240" s="56"/>
      <c r="Q240" s="56"/>
      <c r="R240" s="56"/>
      <c r="S240" s="56"/>
      <c r="T240" s="56"/>
      <c r="U240" s="56"/>
      <c r="V240" s="56"/>
      <c r="W240" s="56"/>
      <c r="X240" s="56"/>
      <c r="Y240" s="56"/>
      <c r="Z240" s="56"/>
      <c r="AA240" s="56"/>
      <c r="AB240" s="56"/>
    </row>
    <row r="241">
      <c r="A241" s="75"/>
      <c r="B241" s="69"/>
      <c r="C241" s="60"/>
      <c r="D241" s="61"/>
      <c r="E241" s="69"/>
      <c r="F241" s="60"/>
      <c r="G241" s="60"/>
      <c r="H241" s="60"/>
      <c r="I241" s="60"/>
      <c r="J241" s="60"/>
      <c r="K241" s="56"/>
      <c r="L241" s="56"/>
      <c r="M241" s="56"/>
      <c r="N241" s="56"/>
      <c r="O241" s="56"/>
      <c r="P241" s="56"/>
      <c r="Q241" s="56"/>
      <c r="R241" s="56"/>
      <c r="S241" s="56"/>
      <c r="T241" s="56"/>
      <c r="U241" s="56"/>
      <c r="V241" s="56"/>
      <c r="W241" s="56"/>
      <c r="X241" s="56"/>
      <c r="Y241" s="56"/>
      <c r="Z241" s="56"/>
      <c r="AA241" s="56"/>
      <c r="AB241" s="56"/>
    </row>
    <row r="242">
      <c r="A242" s="75"/>
      <c r="B242" s="69"/>
      <c r="C242" s="60"/>
      <c r="D242" s="61"/>
      <c r="E242" s="69"/>
      <c r="F242" s="60"/>
      <c r="G242" s="60"/>
      <c r="H242" s="60"/>
      <c r="I242" s="60"/>
      <c r="J242" s="60"/>
      <c r="K242" s="56"/>
      <c r="L242" s="56"/>
      <c r="M242" s="56"/>
      <c r="N242" s="56"/>
      <c r="O242" s="56"/>
      <c r="P242" s="56"/>
      <c r="Q242" s="56"/>
      <c r="R242" s="56"/>
      <c r="S242" s="56"/>
      <c r="T242" s="56"/>
      <c r="U242" s="56"/>
      <c r="V242" s="56"/>
      <c r="W242" s="56"/>
      <c r="X242" s="56"/>
      <c r="Y242" s="56"/>
      <c r="Z242" s="56"/>
      <c r="AA242" s="56"/>
      <c r="AB242" s="56"/>
    </row>
    <row r="243">
      <c r="A243" s="75"/>
      <c r="B243" s="69"/>
      <c r="C243" s="60"/>
      <c r="D243" s="61"/>
      <c r="E243" s="69"/>
      <c r="F243" s="60"/>
      <c r="G243" s="60"/>
      <c r="H243" s="60"/>
      <c r="I243" s="60"/>
      <c r="J243" s="60"/>
      <c r="K243" s="56"/>
      <c r="L243" s="56"/>
      <c r="M243" s="56"/>
      <c r="N243" s="56"/>
      <c r="O243" s="56"/>
      <c r="P243" s="56"/>
      <c r="Q243" s="56"/>
      <c r="R243" s="56"/>
      <c r="S243" s="56"/>
      <c r="T243" s="56"/>
      <c r="U243" s="56"/>
      <c r="V243" s="56"/>
      <c r="W243" s="56"/>
      <c r="X243" s="56"/>
      <c r="Y243" s="56"/>
      <c r="Z243" s="56"/>
      <c r="AA243" s="56"/>
      <c r="AB243" s="56"/>
    </row>
    <row r="244">
      <c r="A244" s="75"/>
      <c r="B244" s="69"/>
      <c r="C244" s="60"/>
      <c r="D244" s="61"/>
      <c r="E244" s="69"/>
      <c r="F244" s="60"/>
      <c r="G244" s="60"/>
      <c r="H244" s="60"/>
      <c r="I244" s="60"/>
      <c r="J244" s="60"/>
      <c r="K244" s="56"/>
      <c r="L244" s="56"/>
      <c r="M244" s="56"/>
      <c r="N244" s="56"/>
      <c r="O244" s="56"/>
      <c r="P244" s="56"/>
      <c r="Q244" s="56"/>
      <c r="R244" s="56"/>
      <c r="S244" s="56"/>
      <c r="T244" s="56"/>
      <c r="U244" s="56"/>
      <c r="V244" s="56"/>
      <c r="W244" s="56"/>
      <c r="X244" s="56"/>
      <c r="Y244" s="56"/>
      <c r="Z244" s="56"/>
      <c r="AA244" s="56"/>
      <c r="AB244" s="56"/>
    </row>
    <row r="245">
      <c r="A245" s="75"/>
      <c r="B245" s="69"/>
      <c r="C245" s="60"/>
      <c r="D245" s="61"/>
      <c r="E245" s="69"/>
      <c r="F245" s="60"/>
      <c r="G245" s="60"/>
      <c r="H245" s="60"/>
      <c r="I245" s="60"/>
      <c r="J245" s="60"/>
      <c r="K245" s="56"/>
      <c r="L245" s="56"/>
      <c r="M245" s="56"/>
      <c r="N245" s="56"/>
      <c r="O245" s="56"/>
      <c r="P245" s="56"/>
      <c r="Q245" s="56"/>
      <c r="R245" s="56"/>
      <c r="S245" s="56"/>
      <c r="T245" s="56"/>
      <c r="U245" s="56"/>
      <c r="V245" s="56"/>
      <c r="W245" s="56"/>
      <c r="X245" s="56"/>
      <c r="Y245" s="56"/>
      <c r="Z245" s="56"/>
      <c r="AA245" s="56"/>
      <c r="AB245" s="56"/>
    </row>
    <row r="246">
      <c r="A246" s="75"/>
      <c r="B246" s="69"/>
      <c r="C246" s="60"/>
      <c r="D246" s="61"/>
      <c r="E246" s="69"/>
      <c r="F246" s="60"/>
      <c r="G246" s="60"/>
      <c r="H246" s="60"/>
      <c r="I246" s="60"/>
      <c r="J246" s="60"/>
      <c r="K246" s="56"/>
      <c r="L246" s="56"/>
      <c r="M246" s="56"/>
      <c r="N246" s="56"/>
      <c r="O246" s="56"/>
      <c r="P246" s="56"/>
      <c r="Q246" s="56"/>
      <c r="R246" s="56"/>
      <c r="S246" s="56"/>
      <c r="T246" s="56"/>
      <c r="U246" s="56"/>
      <c r="V246" s="56"/>
      <c r="W246" s="56"/>
      <c r="X246" s="56"/>
      <c r="Y246" s="56"/>
      <c r="Z246" s="56"/>
      <c r="AA246" s="56"/>
      <c r="AB246" s="56"/>
    </row>
    <row r="247">
      <c r="A247" s="75"/>
      <c r="B247" s="69"/>
      <c r="C247" s="60"/>
      <c r="D247" s="61"/>
      <c r="E247" s="69"/>
      <c r="F247" s="60"/>
      <c r="G247" s="60"/>
      <c r="H247" s="60"/>
      <c r="I247" s="60"/>
      <c r="J247" s="60"/>
      <c r="K247" s="56"/>
      <c r="L247" s="56"/>
      <c r="M247" s="56"/>
      <c r="N247" s="56"/>
      <c r="O247" s="56"/>
      <c r="P247" s="56"/>
      <c r="Q247" s="56"/>
      <c r="R247" s="56"/>
      <c r="S247" s="56"/>
      <c r="T247" s="56"/>
      <c r="U247" s="56"/>
      <c r="V247" s="56"/>
      <c r="W247" s="56"/>
      <c r="X247" s="56"/>
      <c r="Y247" s="56"/>
      <c r="Z247" s="56"/>
      <c r="AA247" s="56"/>
      <c r="AB247" s="56"/>
    </row>
    <row r="248">
      <c r="A248" s="75"/>
      <c r="B248" s="69"/>
      <c r="C248" s="60"/>
      <c r="D248" s="61"/>
      <c r="E248" s="69"/>
      <c r="F248" s="60"/>
      <c r="G248" s="60"/>
      <c r="H248" s="60"/>
      <c r="I248" s="60"/>
      <c r="J248" s="60"/>
      <c r="K248" s="56"/>
      <c r="L248" s="56"/>
      <c r="M248" s="56"/>
      <c r="N248" s="56"/>
      <c r="O248" s="56"/>
      <c r="P248" s="56"/>
      <c r="Q248" s="56"/>
      <c r="R248" s="56"/>
      <c r="S248" s="56"/>
      <c r="T248" s="56"/>
      <c r="U248" s="56"/>
      <c r="V248" s="56"/>
      <c r="W248" s="56"/>
      <c r="X248" s="56"/>
      <c r="Y248" s="56"/>
      <c r="Z248" s="56"/>
      <c r="AA248" s="56"/>
      <c r="AB248" s="56"/>
    </row>
    <row r="249">
      <c r="A249" s="75"/>
      <c r="B249" s="69"/>
      <c r="C249" s="60"/>
      <c r="D249" s="61"/>
      <c r="E249" s="69"/>
      <c r="F249" s="60"/>
      <c r="G249" s="60"/>
      <c r="H249" s="60"/>
      <c r="I249" s="60"/>
      <c r="J249" s="60"/>
      <c r="K249" s="56"/>
      <c r="L249" s="56"/>
      <c r="M249" s="56"/>
      <c r="N249" s="56"/>
      <c r="O249" s="56"/>
      <c r="P249" s="56"/>
      <c r="Q249" s="56"/>
      <c r="R249" s="56"/>
      <c r="S249" s="56"/>
      <c r="T249" s="56"/>
      <c r="U249" s="56"/>
      <c r="V249" s="56"/>
      <c r="W249" s="56"/>
      <c r="X249" s="56"/>
      <c r="Y249" s="56"/>
      <c r="Z249" s="56"/>
      <c r="AA249" s="56"/>
      <c r="AB249" s="56"/>
    </row>
    <row r="250">
      <c r="A250" s="75"/>
      <c r="B250" s="69"/>
      <c r="C250" s="60"/>
      <c r="D250" s="61"/>
      <c r="E250" s="69"/>
      <c r="F250" s="60"/>
      <c r="G250" s="60"/>
      <c r="H250" s="60"/>
      <c r="I250" s="60"/>
      <c r="J250" s="60"/>
      <c r="K250" s="56"/>
      <c r="L250" s="56"/>
      <c r="M250" s="56"/>
      <c r="N250" s="56"/>
      <c r="O250" s="56"/>
      <c r="P250" s="56"/>
      <c r="Q250" s="56"/>
      <c r="R250" s="56"/>
      <c r="S250" s="56"/>
      <c r="T250" s="56"/>
      <c r="U250" s="56"/>
      <c r="V250" s="56"/>
      <c r="W250" s="56"/>
      <c r="X250" s="56"/>
      <c r="Y250" s="56"/>
      <c r="Z250" s="56"/>
      <c r="AA250" s="56"/>
      <c r="AB250" s="56"/>
    </row>
    <row r="251">
      <c r="A251" s="75"/>
      <c r="B251" s="69"/>
      <c r="C251" s="60"/>
      <c r="D251" s="61"/>
      <c r="E251" s="69"/>
      <c r="F251" s="60"/>
      <c r="G251" s="60"/>
      <c r="H251" s="60"/>
      <c r="I251" s="60"/>
      <c r="J251" s="60"/>
      <c r="K251" s="56"/>
      <c r="L251" s="56"/>
      <c r="M251" s="56"/>
      <c r="N251" s="56"/>
      <c r="O251" s="56"/>
      <c r="P251" s="56"/>
      <c r="Q251" s="56"/>
      <c r="R251" s="56"/>
      <c r="S251" s="56"/>
      <c r="T251" s="56"/>
      <c r="U251" s="56"/>
      <c r="V251" s="56"/>
      <c r="W251" s="56"/>
      <c r="X251" s="56"/>
      <c r="Y251" s="56"/>
      <c r="Z251" s="56"/>
      <c r="AA251" s="56"/>
      <c r="AB251" s="56"/>
    </row>
    <row r="252">
      <c r="A252" s="75"/>
      <c r="B252" s="69"/>
      <c r="C252" s="60"/>
      <c r="D252" s="61"/>
      <c r="E252" s="69"/>
      <c r="F252" s="60"/>
      <c r="G252" s="60"/>
      <c r="H252" s="60"/>
      <c r="I252" s="60"/>
      <c r="J252" s="60"/>
      <c r="K252" s="56"/>
      <c r="L252" s="56"/>
      <c r="M252" s="56"/>
      <c r="N252" s="56"/>
      <c r="O252" s="56"/>
      <c r="P252" s="56"/>
      <c r="Q252" s="56"/>
      <c r="R252" s="56"/>
      <c r="S252" s="56"/>
      <c r="T252" s="56"/>
      <c r="U252" s="56"/>
      <c r="V252" s="56"/>
      <c r="W252" s="56"/>
      <c r="X252" s="56"/>
      <c r="Y252" s="56"/>
      <c r="Z252" s="56"/>
      <c r="AA252" s="56"/>
      <c r="AB252" s="56"/>
    </row>
    <row r="253">
      <c r="A253" s="75"/>
      <c r="B253" s="69"/>
      <c r="C253" s="60"/>
      <c r="D253" s="61"/>
      <c r="E253" s="69"/>
      <c r="F253" s="60"/>
      <c r="G253" s="60"/>
      <c r="H253" s="60"/>
      <c r="I253" s="60"/>
      <c r="J253" s="60"/>
      <c r="K253" s="56"/>
      <c r="L253" s="56"/>
      <c r="M253" s="56"/>
      <c r="N253" s="56"/>
      <c r="O253" s="56"/>
      <c r="P253" s="56"/>
      <c r="Q253" s="56"/>
      <c r="R253" s="56"/>
      <c r="S253" s="56"/>
      <c r="T253" s="56"/>
      <c r="U253" s="56"/>
      <c r="V253" s="56"/>
      <c r="W253" s="56"/>
      <c r="X253" s="56"/>
      <c r="Y253" s="56"/>
      <c r="Z253" s="56"/>
      <c r="AA253" s="56"/>
      <c r="AB253" s="56"/>
    </row>
    <row r="254">
      <c r="A254" s="75"/>
      <c r="B254" s="69"/>
      <c r="C254" s="60"/>
      <c r="D254" s="61"/>
      <c r="E254" s="69"/>
      <c r="F254" s="60"/>
      <c r="G254" s="60"/>
      <c r="H254" s="60"/>
      <c r="I254" s="60"/>
      <c r="J254" s="60"/>
      <c r="K254" s="56"/>
      <c r="L254" s="56"/>
      <c r="M254" s="56"/>
      <c r="N254" s="56"/>
      <c r="O254" s="56"/>
      <c r="P254" s="56"/>
      <c r="Q254" s="56"/>
      <c r="R254" s="56"/>
      <c r="S254" s="56"/>
      <c r="T254" s="56"/>
      <c r="U254" s="56"/>
      <c r="V254" s="56"/>
      <c r="W254" s="56"/>
      <c r="X254" s="56"/>
      <c r="Y254" s="56"/>
      <c r="Z254" s="56"/>
      <c r="AA254" s="56"/>
      <c r="AB254" s="56"/>
    </row>
    <row r="255">
      <c r="A255" s="75"/>
      <c r="B255" s="69"/>
      <c r="C255" s="60"/>
      <c r="D255" s="61"/>
      <c r="E255" s="69"/>
      <c r="F255" s="60"/>
      <c r="G255" s="60"/>
      <c r="H255" s="60"/>
      <c r="I255" s="60"/>
      <c r="J255" s="60"/>
      <c r="K255" s="56"/>
      <c r="L255" s="56"/>
      <c r="M255" s="56"/>
      <c r="N255" s="56"/>
      <c r="O255" s="56"/>
      <c r="P255" s="56"/>
      <c r="Q255" s="56"/>
      <c r="R255" s="56"/>
      <c r="S255" s="56"/>
      <c r="T255" s="56"/>
      <c r="U255" s="56"/>
      <c r="V255" s="56"/>
      <c r="W255" s="56"/>
      <c r="X255" s="56"/>
      <c r="Y255" s="56"/>
      <c r="Z255" s="56"/>
      <c r="AA255" s="56"/>
      <c r="AB255" s="56"/>
    </row>
    <row r="256">
      <c r="A256" s="75"/>
      <c r="B256" s="69"/>
      <c r="C256" s="60"/>
      <c r="D256" s="61"/>
      <c r="E256" s="69"/>
      <c r="F256" s="60"/>
      <c r="G256" s="60"/>
      <c r="H256" s="60"/>
      <c r="I256" s="60"/>
      <c r="J256" s="60"/>
      <c r="K256" s="56"/>
      <c r="L256" s="56"/>
      <c r="M256" s="56"/>
      <c r="N256" s="56"/>
      <c r="O256" s="56"/>
      <c r="P256" s="56"/>
      <c r="Q256" s="56"/>
      <c r="R256" s="56"/>
      <c r="S256" s="56"/>
      <c r="T256" s="56"/>
      <c r="U256" s="56"/>
      <c r="V256" s="56"/>
      <c r="W256" s="56"/>
      <c r="X256" s="56"/>
      <c r="Y256" s="56"/>
      <c r="Z256" s="56"/>
      <c r="AA256" s="56"/>
      <c r="AB256" s="56"/>
    </row>
    <row r="257">
      <c r="A257" s="75"/>
      <c r="B257" s="69"/>
      <c r="C257" s="60"/>
      <c r="D257" s="61"/>
      <c r="E257" s="69"/>
      <c r="F257" s="60"/>
      <c r="G257" s="60"/>
      <c r="H257" s="60"/>
      <c r="I257" s="60"/>
      <c r="J257" s="60"/>
      <c r="K257" s="56"/>
      <c r="L257" s="56"/>
      <c r="M257" s="56"/>
      <c r="N257" s="56"/>
      <c r="O257" s="56"/>
      <c r="P257" s="56"/>
      <c r="Q257" s="56"/>
      <c r="R257" s="56"/>
      <c r="S257" s="56"/>
      <c r="T257" s="56"/>
      <c r="U257" s="56"/>
      <c r="V257" s="56"/>
      <c r="W257" s="56"/>
      <c r="X257" s="56"/>
      <c r="Y257" s="56"/>
      <c r="Z257" s="56"/>
      <c r="AA257" s="56"/>
      <c r="AB257" s="56"/>
    </row>
    <row r="258">
      <c r="A258" s="75"/>
      <c r="B258" s="69"/>
      <c r="C258" s="60"/>
      <c r="D258" s="61"/>
      <c r="E258" s="69"/>
      <c r="F258" s="60"/>
      <c r="G258" s="60"/>
      <c r="H258" s="60"/>
      <c r="I258" s="60"/>
      <c r="J258" s="60"/>
      <c r="K258" s="56"/>
      <c r="L258" s="56"/>
      <c r="M258" s="56"/>
      <c r="N258" s="56"/>
      <c r="O258" s="56"/>
      <c r="P258" s="56"/>
      <c r="Q258" s="56"/>
      <c r="R258" s="56"/>
      <c r="S258" s="56"/>
      <c r="T258" s="56"/>
      <c r="U258" s="56"/>
      <c r="V258" s="56"/>
      <c r="W258" s="56"/>
      <c r="X258" s="56"/>
      <c r="Y258" s="56"/>
      <c r="Z258" s="56"/>
      <c r="AA258" s="56"/>
      <c r="AB258" s="56"/>
    </row>
    <row r="259">
      <c r="A259" s="75"/>
      <c r="B259" s="69"/>
      <c r="C259" s="60"/>
      <c r="D259" s="61"/>
      <c r="E259" s="69"/>
      <c r="F259" s="60"/>
      <c r="G259" s="60"/>
      <c r="H259" s="60"/>
      <c r="I259" s="60"/>
      <c r="J259" s="60"/>
      <c r="K259" s="56"/>
      <c r="L259" s="56"/>
      <c r="M259" s="56"/>
      <c r="N259" s="56"/>
      <c r="O259" s="56"/>
      <c r="P259" s="56"/>
      <c r="Q259" s="56"/>
      <c r="R259" s="56"/>
      <c r="S259" s="56"/>
      <c r="T259" s="56"/>
      <c r="U259" s="56"/>
      <c r="V259" s="56"/>
      <c r="W259" s="56"/>
      <c r="X259" s="56"/>
      <c r="Y259" s="56"/>
      <c r="Z259" s="56"/>
      <c r="AA259" s="56"/>
      <c r="AB259" s="56"/>
    </row>
    <row r="260">
      <c r="A260" s="75"/>
      <c r="B260" s="69"/>
      <c r="C260" s="60"/>
      <c r="D260" s="61"/>
      <c r="E260" s="69"/>
      <c r="F260" s="60"/>
      <c r="G260" s="60"/>
      <c r="H260" s="60"/>
      <c r="I260" s="60"/>
      <c r="J260" s="60"/>
      <c r="K260" s="56"/>
      <c r="L260" s="56"/>
      <c r="M260" s="56"/>
      <c r="N260" s="56"/>
      <c r="O260" s="56"/>
      <c r="P260" s="56"/>
      <c r="Q260" s="56"/>
      <c r="R260" s="56"/>
      <c r="S260" s="56"/>
      <c r="T260" s="56"/>
      <c r="U260" s="56"/>
      <c r="V260" s="56"/>
      <c r="W260" s="56"/>
      <c r="X260" s="56"/>
      <c r="Y260" s="56"/>
      <c r="Z260" s="56"/>
      <c r="AA260" s="56"/>
      <c r="AB260" s="56"/>
    </row>
    <row r="261">
      <c r="A261" s="75"/>
      <c r="B261" s="69"/>
      <c r="C261" s="60"/>
      <c r="D261" s="61"/>
      <c r="E261" s="69"/>
      <c r="F261" s="60"/>
      <c r="G261" s="60"/>
      <c r="H261" s="60"/>
      <c r="I261" s="60"/>
      <c r="J261" s="60"/>
      <c r="K261" s="56"/>
      <c r="L261" s="56"/>
      <c r="M261" s="56"/>
      <c r="N261" s="56"/>
      <c r="O261" s="56"/>
      <c r="P261" s="56"/>
      <c r="Q261" s="56"/>
      <c r="R261" s="56"/>
      <c r="S261" s="56"/>
      <c r="T261" s="56"/>
      <c r="U261" s="56"/>
      <c r="V261" s="56"/>
      <c r="W261" s="56"/>
      <c r="X261" s="56"/>
      <c r="Y261" s="56"/>
      <c r="Z261" s="56"/>
      <c r="AA261" s="56"/>
      <c r="AB261" s="56"/>
    </row>
    <row r="262">
      <c r="A262" s="75"/>
      <c r="B262" s="69"/>
      <c r="C262" s="60"/>
      <c r="D262" s="61"/>
      <c r="E262" s="69"/>
      <c r="F262" s="60"/>
      <c r="G262" s="60"/>
      <c r="H262" s="60"/>
      <c r="I262" s="60"/>
      <c r="J262" s="60"/>
      <c r="K262" s="56"/>
      <c r="L262" s="56"/>
      <c r="M262" s="56"/>
      <c r="N262" s="56"/>
      <c r="O262" s="56"/>
      <c r="P262" s="56"/>
      <c r="Q262" s="56"/>
      <c r="R262" s="56"/>
      <c r="S262" s="56"/>
      <c r="T262" s="56"/>
      <c r="U262" s="56"/>
      <c r="V262" s="56"/>
      <c r="W262" s="56"/>
      <c r="X262" s="56"/>
      <c r="Y262" s="56"/>
      <c r="Z262" s="56"/>
      <c r="AA262" s="56"/>
      <c r="AB262" s="56"/>
    </row>
    <row r="263">
      <c r="A263" s="75"/>
      <c r="B263" s="69"/>
      <c r="C263" s="60"/>
      <c r="D263" s="61"/>
      <c r="E263" s="69"/>
      <c r="F263" s="60"/>
      <c r="G263" s="60"/>
      <c r="H263" s="60"/>
      <c r="I263" s="60"/>
      <c r="J263" s="60"/>
      <c r="K263" s="56"/>
      <c r="L263" s="56"/>
      <c r="M263" s="56"/>
      <c r="N263" s="56"/>
      <c r="O263" s="56"/>
      <c r="P263" s="56"/>
      <c r="Q263" s="56"/>
      <c r="R263" s="56"/>
      <c r="S263" s="56"/>
      <c r="T263" s="56"/>
      <c r="U263" s="56"/>
      <c r="V263" s="56"/>
      <c r="W263" s="56"/>
      <c r="X263" s="56"/>
      <c r="Y263" s="56"/>
      <c r="Z263" s="56"/>
      <c r="AA263" s="56"/>
      <c r="AB263" s="56"/>
    </row>
    <row r="264">
      <c r="A264" s="75"/>
      <c r="B264" s="69"/>
      <c r="C264" s="60"/>
      <c r="D264" s="61"/>
      <c r="E264" s="69"/>
      <c r="F264" s="60"/>
      <c r="G264" s="60"/>
      <c r="H264" s="60"/>
      <c r="I264" s="60"/>
      <c r="J264" s="60"/>
      <c r="K264" s="56"/>
      <c r="L264" s="56"/>
      <c r="M264" s="56"/>
      <c r="N264" s="56"/>
      <c r="O264" s="56"/>
      <c r="P264" s="56"/>
      <c r="Q264" s="56"/>
      <c r="R264" s="56"/>
      <c r="S264" s="56"/>
      <c r="T264" s="56"/>
      <c r="U264" s="56"/>
      <c r="V264" s="56"/>
      <c r="W264" s="56"/>
      <c r="X264" s="56"/>
      <c r="Y264" s="56"/>
      <c r="Z264" s="56"/>
      <c r="AA264" s="56"/>
      <c r="AB264" s="56"/>
    </row>
    <row r="265">
      <c r="A265" s="75"/>
      <c r="B265" s="69"/>
      <c r="C265" s="60"/>
      <c r="D265" s="61"/>
      <c r="E265" s="69"/>
      <c r="F265" s="60"/>
      <c r="G265" s="60"/>
      <c r="H265" s="60"/>
      <c r="I265" s="60"/>
      <c r="J265" s="60"/>
      <c r="K265" s="56"/>
      <c r="L265" s="56"/>
      <c r="M265" s="56"/>
      <c r="N265" s="56"/>
      <c r="O265" s="56"/>
      <c r="P265" s="56"/>
      <c r="Q265" s="56"/>
      <c r="R265" s="56"/>
      <c r="S265" s="56"/>
      <c r="T265" s="56"/>
      <c r="U265" s="56"/>
      <c r="V265" s="56"/>
      <c r="W265" s="56"/>
      <c r="X265" s="56"/>
      <c r="Y265" s="56"/>
      <c r="Z265" s="56"/>
      <c r="AA265" s="56"/>
      <c r="AB265" s="56"/>
    </row>
    <row r="266">
      <c r="A266" s="75"/>
      <c r="B266" s="69"/>
      <c r="C266" s="60"/>
      <c r="D266" s="61"/>
      <c r="E266" s="69"/>
      <c r="F266" s="60"/>
      <c r="G266" s="60"/>
      <c r="H266" s="60"/>
      <c r="I266" s="60"/>
      <c r="J266" s="60"/>
      <c r="K266" s="56"/>
      <c r="L266" s="56"/>
      <c r="M266" s="56"/>
      <c r="N266" s="56"/>
      <c r="O266" s="56"/>
      <c r="P266" s="56"/>
      <c r="Q266" s="56"/>
      <c r="R266" s="56"/>
      <c r="S266" s="56"/>
      <c r="T266" s="56"/>
      <c r="U266" s="56"/>
      <c r="V266" s="56"/>
      <c r="W266" s="56"/>
      <c r="X266" s="56"/>
      <c r="Y266" s="56"/>
      <c r="Z266" s="56"/>
      <c r="AA266" s="56"/>
      <c r="AB266" s="56"/>
    </row>
    <row r="267">
      <c r="A267" s="75"/>
      <c r="B267" s="69"/>
      <c r="C267" s="60"/>
      <c r="D267" s="61"/>
      <c r="E267" s="69"/>
      <c r="F267" s="60"/>
      <c r="G267" s="60"/>
      <c r="H267" s="60"/>
      <c r="I267" s="60"/>
      <c r="J267" s="60"/>
      <c r="K267" s="56"/>
      <c r="L267" s="56"/>
      <c r="M267" s="56"/>
      <c r="N267" s="56"/>
      <c r="O267" s="56"/>
      <c r="P267" s="56"/>
      <c r="Q267" s="56"/>
      <c r="R267" s="56"/>
      <c r="S267" s="56"/>
      <c r="T267" s="56"/>
      <c r="U267" s="56"/>
      <c r="V267" s="56"/>
      <c r="W267" s="56"/>
      <c r="X267" s="56"/>
      <c r="Y267" s="56"/>
      <c r="Z267" s="56"/>
      <c r="AA267" s="56"/>
      <c r="AB267" s="56"/>
    </row>
    <row r="268">
      <c r="A268" s="75"/>
      <c r="B268" s="69"/>
      <c r="C268" s="60"/>
      <c r="D268" s="61"/>
      <c r="E268" s="69"/>
      <c r="F268" s="60"/>
      <c r="G268" s="60"/>
      <c r="H268" s="60"/>
      <c r="I268" s="60"/>
      <c r="J268" s="60"/>
      <c r="K268" s="56"/>
      <c r="L268" s="56"/>
      <c r="M268" s="56"/>
      <c r="N268" s="56"/>
      <c r="O268" s="56"/>
      <c r="P268" s="56"/>
      <c r="Q268" s="56"/>
      <c r="R268" s="56"/>
      <c r="S268" s="56"/>
      <c r="T268" s="56"/>
      <c r="U268" s="56"/>
      <c r="V268" s="56"/>
      <c r="W268" s="56"/>
      <c r="X268" s="56"/>
      <c r="Y268" s="56"/>
      <c r="Z268" s="56"/>
      <c r="AA268" s="56"/>
      <c r="AB268" s="56"/>
    </row>
    <row r="269">
      <c r="A269" s="75"/>
      <c r="B269" s="69"/>
      <c r="C269" s="60"/>
      <c r="D269" s="61"/>
      <c r="E269" s="69"/>
      <c r="F269" s="60"/>
      <c r="G269" s="60"/>
      <c r="H269" s="60"/>
      <c r="I269" s="60"/>
      <c r="J269" s="60"/>
      <c r="K269" s="56"/>
      <c r="L269" s="56"/>
      <c r="M269" s="56"/>
      <c r="N269" s="56"/>
      <c r="O269" s="56"/>
      <c r="P269" s="56"/>
      <c r="Q269" s="56"/>
      <c r="R269" s="56"/>
      <c r="S269" s="56"/>
      <c r="T269" s="56"/>
      <c r="U269" s="56"/>
      <c r="V269" s="56"/>
      <c r="W269" s="56"/>
      <c r="X269" s="56"/>
      <c r="Y269" s="56"/>
      <c r="Z269" s="56"/>
      <c r="AA269" s="56"/>
      <c r="AB269" s="56"/>
    </row>
    <row r="270">
      <c r="A270" s="75"/>
      <c r="B270" s="69"/>
      <c r="C270" s="60"/>
      <c r="D270" s="61"/>
      <c r="E270" s="69"/>
      <c r="F270" s="60"/>
      <c r="G270" s="60"/>
      <c r="H270" s="60"/>
      <c r="I270" s="60"/>
      <c r="J270" s="60"/>
      <c r="K270" s="56"/>
      <c r="L270" s="56"/>
      <c r="M270" s="56"/>
      <c r="N270" s="56"/>
      <c r="O270" s="56"/>
      <c r="P270" s="56"/>
      <c r="Q270" s="56"/>
      <c r="R270" s="56"/>
      <c r="S270" s="56"/>
      <c r="T270" s="56"/>
      <c r="U270" s="56"/>
      <c r="V270" s="56"/>
      <c r="W270" s="56"/>
      <c r="X270" s="56"/>
      <c r="Y270" s="56"/>
      <c r="Z270" s="56"/>
      <c r="AA270" s="56"/>
      <c r="AB270" s="56"/>
    </row>
    <row r="271">
      <c r="A271" s="75"/>
      <c r="B271" s="69"/>
      <c r="C271" s="60"/>
      <c r="D271" s="61"/>
      <c r="E271" s="69"/>
      <c r="F271" s="60"/>
      <c r="G271" s="60"/>
      <c r="H271" s="60"/>
      <c r="I271" s="60"/>
      <c r="J271" s="60"/>
      <c r="K271" s="56"/>
      <c r="L271" s="56"/>
      <c r="M271" s="56"/>
      <c r="N271" s="56"/>
      <c r="O271" s="56"/>
      <c r="P271" s="56"/>
      <c r="Q271" s="56"/>
      <c r="R271" s="56"/>
      <c r="S271" s="56"/>
      <c r="T271" s="56"/>
      <c r="U271" s="56"/>
      <c r="V271" s="56"/>
      <c r="W271" s="56"/>
      <c r="X271" s="56"/>
      <c r="Y271" s="56"/>
      <c r="Z271" s="56"/>
      <c r="AA271" s="56"/>
      <c r="AB271" s="56"/>
    </row>
    <row r="272">
      <c r="A272" s="75"/>
      <c r="B272" s="69"/>
      <c r="C272" s="60"/>
      <c r="D272" s="61"/>
      <c r="E272" s="69"/>
      <c r="F272" s="60"/>
      <c r="G272" s="60"/>
      <c r="H272" s="60"/>
      <c r="I272" s="60"/>
      <c r="J272" s="60"/>
      <c r="K272" s="56"/>
      <c r="L272" s="56"/>
      <c r="M272" s="56"/>
      <c r="N272" s="56"/>
      <c r="O272" s="56"/>
      <c r="P272" s="56"/>
      <c r="Q272" s="56"/>
      <c r="R272" s="56"/>
      <c r="S272" s="56"/>
      <c r="T272" s="56"/>
      <c r="U272" s="56"/>
      <c r="V272" s="56"/>
      <c r="W272" s="56"/>
      <c r="X272" s="56"/>
      <c r="Y272" s="56"/>
      <c r="Z272" s="56"/>
      <c r="AA272" s="56"/>
      <c r="AB272" s="56"/>
    </row>
    <row r="273">
      <c r="A273" s="75"/>
      <c r="B273" s="69"/>
      <c r="C273" s="60"/>
      <c r="D273" s="61"/>
      <c r="E273" s="69"/>
      <c r="F273" s="60"/>
      <c r="G273" s="60"/>
      <c r="H273" s="60"/>
      <c r="I273" s="60"/>
      <c r="J273" s="60"/>
      <c r="K273" s="56"/>
      <c r="L273" s="56"/>
      <c r="M273" s="56"/>
      <c r="N273" s="56"/>
      <c r="O273" s="56"/>
      <c r="P273" s="56"/>
      <c r="Q273" s="56"/>
      <c r="R273" s="56"/>
      <c r="S273" s="56"/>
      <c r="T273" s="56"/>
      <c r="U273" s="56"/>
      <c r="V273" s="56"/>
      <c r="W273" s="56"/>
      <c r="X273" s="56"/>
      <c r="Y273" s="56"/>
      <c r="Z273" s="56"/>
      <c r="AA273" s="56"/>
      <c r="AB273" s="56"/>
    </row>
    <row r="274">
      <c r="A274" s="75"/>
      <c r="B274" s="69"/>
      <c r="C274" s="60"/>
      <c r="D274" s="61"/>
      <c r="E274" s="69"/>
      <c r="F274" s="60"/>
      <c r="G274" s="60"/>
      <c r="H274" s="60"/>
      <c r="I274" s="60"/>
      <c r="J274" s="60"/>
      <c r="K274" s="56"/>
      <c r="L274" s="56"/>
      <c r="M274" s="56"/>
      <c r="N274" s="56"/>
      <c r="O274" s="56"/>
      <c r="P274" s="56"/>
      <c r="Q274" s="56"/>
      <c r="R274" s="56"/>
      <c r="S274" s="56"/>
      <c r="T274" s="56"/>
      <c r="U274" s="56"/>
      <c r="V274" s="56"/>
      <c r="W274" s="56"/>
      <c r="X274" s="56"/>
      <c r="Y274" s="56"/>
      <c r="Z274" s="56"/>
      <c r="AA274" s="56"/>
      <c r="AB274" s="56"/>
    </row>
    <row r="275">
      <c r="A275" s="75"/>
      <c r="B275" s="69"/>
      <c r="C275" s="60"/>
      <c r="D275" s="61"/>
      <c r="E275" s="69"/>
      <c r="F275" s="60"/>
      <c r="G275" s="60"/>
      <c r="H275" s="60"/>
      <c r="I275" s="60"/>
      <c r="J275" s="60"/>
      <c r="K275" s="56"/>
      <c r="L275" s="56"/>
      <c r="M275" s="56"/>
      <c r="N275" s="56"/>
      <c r="O275" s="56"/>
      <c r="P275" s="56"/>
      <c r="Q275" s="56"/>
      <c r="R275" s="56"/>
      <c r="S275" s="56"/>
      <c r="T275" s="56"/>
      <c r="U275" s="56"/>
      <c r="V275" s="56"/>
      <c r="W275" s="56"/>
      <c r="X275" s="56"/>
      <c r="Y275" s="56"/>
      <c r="Z275" s="56"/>
      <c r="AA275" s="56"/>
      <c r="AB275" s="56"/>
    </row>
    <row r="276">
      <c r="A276" s="75"/>
      <c r="B276" s="69"/>
      <c r="C276" s="60"/>
      <c r="D276" s="61"/>
      <c r="E276" s="69"/>
      <c r="F276" s="60"/>
      <c r="G276" s="60"/>
      <c r="H276" s="60"/>
      <c r="I276" s="60"/>
      <c r="J276" s="60"/>
      <c r="K276" s="56"/>
      <c r="L276" s="56"/>
      <c r="M276" s="56"/>
      <c r="N276" s="56"/>
      <c r="O276" s="56"/>
      <c r="P276" s="56"/>
      <c r="Q276" s="56"/>
      <c r="R276" s="56"/>
      <c r="S276" s="56"/>
      <c r="T276" s="56"/>
      <c r="U276" s="56"/>
      <c r="V276" s="56"/>
      <c r="W276" s="56"/>
      <c r="X276" s="56"/>
      <c r="Y276" s="56"/>
      <c r="Z276" s="56"/>
      <c r="AA276" s="56"/>
      <c r="AB276" s="56"/>
    </row>
    <row r="277">
      <c r="A277" s="75"/>
      <c r="B277" s="69"/>
      <c r="C277" s="60"/>
      <c r="D277" s="61"/>
      <c r="E277" s="69"/>
      <c r="F277" s="60"/>
      <c r="G277" s="60"/>
      <c r="H277" s="60"/>
      <c r="I277" s="60"/>
      <c r="J277" s="60"/>
      <c r="K277" s="56"/>
      <c r="L277" s="56"/>
      <c r="M277" s="56"/>
      <c r="N277" s="56"/>
      <c r="O277" s="56"/>
      <c r="P277" s="56"/>
      <c r="Q277" s="56"/>
      <c r="R277" s="56"/>
      <c r="S277" s="56"/>
      <c r="T277" s="56"/>
      <c r="U277" s="56"/>
      <c r="V277" s="56"/>
      <c r="W277" s="56"/>
      <c r="X277" s="56"/>
      <c r="Y277" s="56"/>
      <c r="Z277" s="56"/>
      <c r="AA277" s="56"/>
      <c r="AB277" s="56"/>
    </row>
    <row r="278">
      <c r="A278" s="75"/>
      <c r="B278" s="69"/>
      <c r="C278" s="60"/>
      <c r="D278" s="61"/>
      <c r="E278" s="69"/>
      <c r="F278" s="60"/>
      <c r="G278" s="60"/>
      <c r="H278" s="60"/>
      <c r="I278" s="60"/>
      <c r="J278" s="60"/>
      <c r="K278" s="56"/>
      <c r="L278" s="56"/>
      <c r="M278" s="56"/>
      <c r="N278" s="56"/>
      <c r="O278" s="56"/>
      <c r="P278" s="56"/>
      <c r="Q278" s="56"/>
      <c r="R278" s="56"/>
      <c r="S278" s="56"/>
      <c r="T278" s="56"/>
      <c r="U278" s="56"/>
      <c r="V278" s="56"/>
      <c r="W278" s="56"/>
      <c r="X278" s="56"/>
      <c r="Y278" s="56"/>
      <c r="Z278" s="56"/>
      <c r="AA278" s="56"/>
      <c r="AB278" s="56"/>
    </row>
    <row r="279">
      <c r="A279" s="75"/>
      <c r="B279" s="69"/>
      <c r="C279" s="60"/>
      <c r="D279" s="61"/>
      <c r="E279" s="69"/>
      <c r="F279" s="60"/>
      <c r="G279" s="60"/>
      <c r="H279" s="60"/>
      <c r="I279" s="60"/>
      <c r="J279" s="60"/>
      <c r="K279" s="56"/>
      <c r="L279" s="56"/>
      <c r="M279" s="56"/>
      <c r="N279" s="56"/>
      <c r="O279" s="56"/>
      <c r="P279" s="56"/>
      <c r="Q279" s="56"/>
      <c r="R279" s="56"/>
      <c r="S279" s="56"/>
      <c r="T279" s="56"/>
      <c r="U279" s="56"/>
      <c r="V279" s="56"/>
      <c r="W279" s="56"/>
      <c r="X279" s="56"/>
      <c r="Y279" s="56"/>
      <c r="Z279" s="56"/>
      <c r="AA279" s="56"/>
      <c r="AB279" s="56"/>
    </row>
    <row r="280">
      <c r="A280" s="75"/>
      <c r="B280" s="69"/>
      <c r="C280" s="60"/>
      <c r="D280" s="61"/>
      <c r="E280" s="69"/>
      <c r="F280" s="60"/>
      <c r="G280" s="60"/>
      <c r="H280" s="60"/>
      <c r="I280" s="60"/>
      <c r="J280" s="60"/>
      <c r="K280" s="56"/>
      <c r="L280" s="56"/>
      <c r="M280" s="56"/>
      <c r="N280" s="56"/>
      <c r="O280" s="56"/>
      <c r="P280" s="56"/>
      <c r="Q280" s="56"/>
      <c r="R280" s="56"/>
      <c r="S280" s="56"/>
      <c r="T280" s="56"/>
      <c r="U280" s="56"/>
      <c r="V280" s="56"/>
      <c r="W280" s="56"/>
      <c r="X280" s="56"/>
      <c r="Y280" s="56"/>
      <c r="Z280" s="56"/>
      <c r="AA280" s="56"/>
      <c r="AB280" s="56"/>
    </row>
    <row r="281">
      <c r="A281" s="75"/>
      <c r="B281" s="69"/>
      <c r="C281" s="60"/>
      <c r="D281" s="61"/>
      <c r="E281" s="69"/>
      <c r="F281" s="60"/>
      <c r="G281" s="60"/>
      <c r="H281" s="60"/>
      <c r="I281" s="60"/>
      <c r="J281" s="60"/>
      <c r="K281" s="56"/>
      <c r="L281" s="56"/>
      <c r="M281" s="56"/>
      <c r="N281" s="56"/>
      <c r="O281" s="56"/>
      <c r="P281" s="56"/>
      <c r="Q281" s="56"/>
      <c r="R281" s="56"/>
      <c r="S281" s="56"/>
      <c r="T281" s="56"/>
      <c r="U281" s="56"/>
      <c r="V281" s="56"/>
      <c r="W281" s="56"/>
      <c r="X281" s="56"/>
      <c r="Y281" s="56"/>
      <c r="Z281" s="56"/>
      <c r="AA281" s="56"/>
      <c r="AB281" s="56"/>
    </row>
    <row r="282">
      <c r="A282" s="75"/>
      <c r="B282" s="69"/>
      <c r="C282" s="60"/>
      <c r="D282" s="61"/>
      <c r="E282" s="69"/>
      <c r="F282" s="60"/>
      <c r="G282" s="60"/>
      <c r="H282" s="60"/>
      <c r="I282" s="60"/>
      <c r="J282" s="60"/>
      <c r="K282" s="56"/>
      <c r="L282" s="56"/>
      <c r="M282" s="56"/>
      <c r="N282" s="56"/>
      <c r="O282" s="56"/>
      <c r="P282" s="56"/>
      <c r="Q282" s="56"/>
      <c r="R282" s="56"/>
      <c r="S282" s="56"/>
      <c r="T282" s="56"/>
      <c r="U282" s="56"/>
      <c r="V282" s="56"/>
      <c r="W282" s="56"/>
      <c r="X282" s="56"/>
      <c r="Y282" s="56"/>
      <c r="Z282" s="56"/>
      <c r="AA282" s="56"/>
      <c r="AB282" s="56"/>
    </row>
    <row r="283">
      <c r="A283" s="75"/>
      <c r="B283" s="69"/>
      <c r="C283" s="60"/>
      <c r="D283" s="61"/>
      <c r="E283" s="69"/>
      <c r="F283" s="60"/>
      <c r="G283" s="60"/>
      <c r="H283" s="60"/>
      <c r="I283" s="60"/>
      <c r="J283" s="60"/>
      <c r="K283" s="56"/>
      <c r="L283" s="56"/>
      <c r="M283" s="56"/>
      <c r="N283" s="56"/>
      <c r="O283" s="56"/>
      <c r="P283" s="56"/>
      <c r="Q283" s="56"/>
      <c r="R283" s="56"/>
      <c r="S283" s="56"/>
      <c r="T283" s="56"/>
      <c r="U283" s="56"/>
      <c r="V283" s="56"/>
      <c r="W283" s="56"/>
      <c r="X283" s="56"/>
      <c r="Y283" s="56"/>
      <c r="Z283" s="56"/>
      <c r="AA283" s="56"/>
      <c r="AB283" s="56"/>
    </row>
    <row r="284">
      <c r="A284" s="75"/>
      <c r="B284" s="69"/>
      <c r="C284" s="60"/>
      <c r="D284" s="61"/>
      <c r="E284" s="69"/>
      <c r="F284" s="60"/>
      <c r="G284" s="60"/>
      <c r="H284" s="60"/>
      <c r="I284" s="60"/>
      <c r="J284" s="60"/>
      <c r="K284" s="56"/>
      <c r="L284" s="56"/>
      <c r="M284" s="56"/>
      <c r="N284" s="56"/>
      <c r="O284" s="56"/>
      <c r="P284" s="56"/>
      <c r="Q284" s="56"/>
      <c r="R284" s="56"/>
      <c r="S284" s="56"/>
      <c r="T284" s="56"/>
      <c r="U284" s="56"/>
      <c r="V284" s="56"/>
      <c r="W284" s="56"/>
      <c r="X284" s="56"/>
      <c r="Y284" s="56"/>
      <c r="Z284" s="56"/>
      <c r="AA284" s="56"/>
      <c r="AB284" s="56"/>
    </row>
    <row r="285">
      <c r="A285" s="75"/>
      <c r="B285" s="69"/>
      <c r="C285" s="60"/>
      <c r="D285" s="61"/>
      <c r="E285" s="69"/>
      <c r="F285" s="60"/>
      <c r="G285" s="60"/>
      <c r="H285" s="60"/>
      <c r="I285" s="60"/>
      <c r="J285" s="60"/>
      <c r="K285" s="56"/>
      <c r="L285" s="56"/>
      <c r="M285" s="56"/>
      <c r="N285" s="56"/>
      <c r="O285" s="56"/>
      <c r="P285" s="56"/>
      <c r="Q285" s="56"/>
      <c r="R285" s="56"/>
      <c r="S285" s="56"/>
      <c r="T285" s="56"/>
      <c r="U285" s="56"/>
      <c r="V285" s="56"/>
      <c r="W285" s="56"/>
      <c r="X285" s="56"/>
      <c r="Y285" s="56"/>
      <c r="Z285" s="56"/>
      <c r="AA285" s="56"/>
      <c r="AB285" s="56"/>
    </row>
    <row r="286">
      <c r="A286" s="75"/>
      <c r="B286" s="69"/>
      <c r="C286" s="60"/>
      <c r="D286" s="61"/>
      <c r="E286" s="69"/>
      <c r="F286" s="60"/>
      <c r="G286" s="60"/>
      <c r="H286" s="60"/>
      <c r="I286" s="60"/>
      <c r="J286" s="60"/>
      <c r="K286" s="56"/>
      <c r="L286" s="56"/>
      <c r="M286" s="56"/>
      <c r="N286" s="56"/>
      <c r="O286" s="56"/>
      <c r="P286" s="56"/>
      <c r="Q286" s="56"/>
      <c r="R286" s="56"/>
      <c r="S286" s="56"/>
      <c r="T286" s="56"/>
      <c r="U286" s="56"/>
      <c r="V286" s="56"/>
      <c r="W286" s="56"/>
      <c r="X286" s="56"/>
      <c r="Y286" s="56"/>
      <c r="Z286" s="56"/>
      <c r="AA286" s="56"/>
      <c r="AB286" s="56"/>
    </row>
    <row r="287">
      <c r="A287" s="75"/>
      <c r="B287" s="69"/>
      <c r="C287" s="60"/>
      <c r="D287" s="61"/>
      <c r="E287" s="69"/>
      <c r="F287" s="60"/>
      <c r="G287" s="60"/>
      <c r="H287" s="60"/>
      <c r="I287" s="60"/>
      <c r="J287" s="60"/>
      <c r="K287" s="56"/>
      <c r="L287" s="56"/>
      <c r="M287" s="56"/>
      <c r="N287" s="56"/>
      <c r="O287" s="56"/>
      <c r="P287" s="56"/>
      <c r="Q287" s="56"/>
      <c r="R287" s="56"/>
      <c r="S287" s="56"/>
      <c r="T287" s="56"/>
      <c r="U287" s="56"/>
      <c r="V287" s="56"/>
      <c r="W287" s="56"/>
      <c r="X287" s="56"/>
      <c r="Y287" s="56"/>
      <c r="Z287" s="56"/>
      <c r="AA287" s="56"/>
      <c r="AB287" s="56"/>
    </row>
    <row r="288">
      <c r="A288" s="75"/>
      <c r="B288" s="69"/>
      <c r="C288" s="60"/>
      <c r="D288" s="61"/>
      <c r="E288" s="69"/>
      <c r="F288" s="60"/>
      <c r="G288" s="60"/>
      <c r="H288" s="60"/>
      <c r="I288" s="60"/>
      <c r="J288" s="60"/>
      <c r="K288" s="56"/>
      <c r="L288" s="56"/>
      <c r="M288" s="56"/>
      <c r="N288" s="56"/>
      <c r="O288" s="56"/>
      <c r="P288" s="56"/>
      <c r="Q288" s="56"/>
      <c r="R288" s="56"/>
      <c r="S288" s="56"/>
      <c r="T288" s="56"/>
      <c r="U288" s="56"/>
      <c r="V288" s="56"/>
      <c r="W288" s="56"/>
      <c r="X288" s="56"/>
      <c r="Y288" s="56"/>
      <c r="Z288" s="56"/>
      <c r="AA288" s="56"/>
      <c r="AB288" s="56"/>
    </row>
    <row r="289">
      <c r="A289" s="75"/>
      <c r="B289" s="69"/>
      <c r="C289" s="60"/>
      <c r="D289" s="61"/>
      <c r="E289" s="69"/>
      <c r="F289" s="60"/>
      <c r="G289" s="60"/>
      <c r="H289" s="60"/>
      <c r="I289" s="60"/>
      <c r="J289" s="60"/>
      <c r="K289" s="56"/>
      <c r="L289" s="56"/>
      <c r="M289" s="56"/>
      <c r="N289" s="56"/>
      <c r="O289" s="56"/>
      <c r="P289" s="56"/>
      <c r="Q289" s="56"/>
      <c r="R289" s="56"/>
      <c r="S289" s="56"/>
      <c r="T289" s="56"/>
      <c r="U289" s="56"/>
      <c r="V289" s="56"/>
      <c r="W289" s="56"/>
      <c r="X289" s="56"/>
      <c r="Y289" s="56"/>
      <c r="Z289" s="56"/>
      <c r="AA289" s="56"/>
      <c r="AB289" s="56"/>
    </row>
    <row r="290">
      <c r="A290" s="75"/>
      <c r="B290" s="69"/>
      <c r="C290" s="60"/>
      <c r="D290" s="61"/>
      <c r="E290" s="69"/>
      <c r="F290" s="60"/>
      <c r="G290" s="60"/>
      <c r="H290" s="60"/>
      <c r="I290" s="60"/>
      <c r="J290" s="60"/>
      <c r="K290" s="56"/>
      <c r="L290" s="56"/>
      <c r="M290" s="56"/>
      <c r="N290" s="56"/>
      <c r="O290" s="56"/>
      <c r="P290" s="56"/>
      <c r="Q290" s="56"/>
      <c r="R290" s="56"/>
      <c r="S290" s="56"/>
      <c r="T290" s="56"/>
      <c r="U290" s="56"/>
      <c r="V290" s="56"/>
      <c r="W290" s="56"/>
      <c r="X290" s="56"/>
      <c r="Y290" s="56"/>
      <c r="Z290" s="56"/>
      <c r="AA290" s="56"/>
      <c r="AB290" s="56"/>
    </row>
    <row r="291">
      <c r="A291" s="75"/>
      <c r="B291" s="69"/>
      <c r="C291" s="60"/>
      <c r="D291" s="61"/>
      <c r="E291" s="69"/>
      <c r="F291" s="60"/>
      <c r="G291" s="60"/>
      <c r="H291" s="60"/>
      <c r="I291" s="60"/>
      <c r="J291" s="60"/>
      <c r="K291" s="56"/>
      <c r="L291" s="56"/>
      <c r="M291" s="56"/>
      <c r="N291" s="56"/>
      <c r="O291" s="56"/>
      <c r="P291" s="56"/>
      <c r="Q291" s="56"/>
      <c r="R291" s="56"/>
      <c r="S291" s="56"/>
      <c r="T291" s="56"/>
      <c r="U291" s="56"/>
      <c r="V291" s="56"/>
      <c r="W291" s="56"/>
      <c r="X291" s="56"/>
      <c r="Y291" s="56"/>
      <c r="Z291" s="56"/>
      <c r="AA291" s="56"/>
      <c r="AB291" s="56"/>
    </row>
    <row r="292">
      <c r="A292" s="75"/>
      <c r="B292" s="69"/>
      <c r="C292" s="60"/>
      <c r="D292" s="61"/>
      <c r="E292" s="69"/>
      <c r="F292" s="60"/>
      <c r="G292" s="60"/>
      <c r="H292" s="60"/>
      <c r="I292" s="60"/>
      <c r="J292" s="60"/>
      <c r="K292" s="56"/>
      <c r="L292" s="56"/>
      <c r="M292" s="56"/>
      <c r="N292" s="56"/>
      <c r="O292" s="56"/>
      <c r="P292" s="56"/>
      <c r="Q292" s="56"/>
      <c r="R292" s="56"/>
      <c r="S292" s="56"/>
      <c r="T292" s="56"/>
      <c r="U292" s="56"/>
      <c r="V292" s="56"/>
      <c r="W292" s="56"/>
      <c r="X292" s="56"/>
      <c r="Y292" s="56"/>
      <c r="Z292" s="56"/>
      <c r="AA292" s="56"/>
      <c r="AB292" s="56"/>
    </row>
    <row r="293">
      <c r="A293" s="75"/>
      <c r="B293" s="69"/>
      <c r="C293" s="60"/>
      <c r="D293" s="61"/>
      <c r="E293" s="69"/>
      <c r="F293" s="60"/>
      <c r="G293" s="60"/>
      <c r="H293" s="60"/>
      <c r="I293" s="60"/>
      <c r="J293" s="60"/>
      <c r="K293" s="56"/>
      <c r="L293" s="56"/>
      <c r="M293" s="56"/>
      <c r="N293" s="56"/>
      <c r="O293" s="56"/>
      <c r="P293" s="56"/>
      <c r="Q293" s="56"/>
      <c r="R293" s="56"/>
      <c r="S293" s="56"/>
      <c r="T293" s="56"/>
      <c r="U293" s="56"/>
      <c r="V293" s="56"/>
      <c r="W293" s="56"/>
      <c r="X293" s="56"/>
      <c r="Y293" s="56"/>
      <c r="Z293" s="56"/>
      <c r="AA293" s="56"/>
      <c r="AB293" s="56"/>
    </row>
    <row r="294">
      <c r="A294" s="75"/>
      <c r="B294" s="69"/>
      <c r="C294" s="60"/>
      <c r="D294" s="61"/>
      <c r="E294" s="69"/>
      <c r="F294" s="60"/>
      <c r="G294" s="60"/>
      <c r="H294" s="60"/>
      <c r="I294" s="60"/>
      <c r="J294" s="60"/>
      <c r="K294" s="56"/>
      <c r="L294" s="56"/>
      <c r="M294" s="56"/>
      <c r="N294" s="56"/>
      <c r="O294" s="56"/>
      <c r="P294" s="56"/>
      <c r="Q294" s="56"/>
      <c r="R294" s="56"/>
      <c r="S294" s="56"/>
      <c r="T294" s="56"/>
      <c r="U294" s="56"/>
      <c r="V294" s="56"/>
      <c r="W294" s="56"/>
      <c r="X294" s="56"/>
      <c r="Y294" s="56"/>
      <c r="Z294" s="56"/>
      <c r="AA294" s="56"/>
      <c r="AB294" s="56"/>
    </row>
    <row r="295">
      <c r="A295" s="75"/>
      <c r="B295" s="69"/>
      <c r="C295" s="60"/>
      <c r="D295" s="61"/>
      <c r="E295" s="69"/>
      <c r="F295" s="60"/>
      <c r="G295" s="60"/>
      <c r="H295" s="60"/>
      <c r="I295" s="60"/>
      <c r="J295" s="60"/>
      <c r="K295" s="56"/>
      <c r="L295" s="56"/>
      <c r="M295" s="56"/>
      <c r="N295" s="56"/>
      <c r="O295" s="56"/>
      <c r="P295" s="56"/>
      <c r="Q295" s="56"/>
      <c r="R295" s="56"/>
      <c r="S295" s="56"/>
      <c r="T295" s="56"/>
      <c r="U295" s="56"/>
      <c r="V295" s="56"/>
      <c r="W295" s="56"/>
      <c r="X295" s="56"/>
      <c r="Y295" s="56"/>
      <c r="Z295" s="56"/>
      <c r="AA295" s="56"/>
      <c r="AB295" s="56"/>
    </row>
    <row r="296">
      <c r="A296" s="75"/>
      <c r="B296" s="69"/>
      <c r="C296" s="60"/>
      <c r="D296" s="61"/>
      <c r="E296" s="69"/>
      <c r="F296" s="60"/>
      <c r="G296" s="60"/>
      <c r="H296" s="60"/>
      <c r="I296" s="60"/>
      <c r="J296" s="60"/>
      <c r="K296" s="56"/>
      <c r="L296" s="56"/>
      <c r="M296" s="56"/>
      <c r="N296" s="56"/>
      <c r="O296" s="56"/>
      <c r="P296" s="56"/>
      <c r="Q296" s="56"/>
      <c r="R296" s="56"/>
      <c r="S296" s="56"/>
      <c r="T296" s="56"/>
      <c r="U296" s="56"/>
      <c r="V296" s="56"/>
      <c r="W296" s="56"/>
      <c r="X296" s="56"/>
      <c r="Y296" s="56"/>
      <c r="Z296" s="56"/>
      <c r="AA296" s="56"/>
      <c r="AB296" s="56"/>
    </row>
    <row r="297">
      <c r="A297" s="75"/>
      <c r="B297" s="69"/>
      <c r="C297" s="60"/>
      <c r="D297" s="61"/>
      <c r="E297" s="69"/>
      <c r="F297" s="60"/>
      <c r="G297" s="60"/>
      <c r="H297" s="60"/>
      <c r="I297" s="60"/>
      <c r="J297" s="60"/>
      <c r="K297" s="56"/>
      <c r="L297" s="56"/>
      <c r="M297" s="56"/>
      <c r="N297" s="56"/>
      <c r="O297" s="56"/>
      <c r="P297" s="56"/>
      <c r="Q297" s="56"/>
      <c r="R297" s="56"/>
      <c r="S297" s="56"/>
      <c r="T297" s="56"/>
      <c r="U297" s="56"/>
      <c r="V297" s="56"/>
      <c r="W297" s="56"/>
      <c r="X297" s="56"/>
      <c r="Y297" s="56"/>
      <c r="Z297" s="56"/>
      <c r="AA297" s="56"/>
      <c r="AB297" s="56"/>
    </row>
    <row r="298">
      <c r="A298" s="75"/>
      <c r="B298" s="69"/>
      <c r="C298" s="60"/>
      <c r="D298" s="61"/>
      <c r="E298" s="69"/>
      <c r="F298" s="60"/>
      <c r="G298" s="60"/>
      <c r="H298" s="60"/>
      <c r="I298" s="60"/>
      <c r="J298" s="60"/>
      <c r="K298" s="56"/>
      <c r="L298" s="56"/>
      <c r="M298" s="56"/>
      <c r="N298" s="56"/>
      <c r="O298" s="56"/>
      <c r="P298" s="56"/>
      <c r="Q298" s="56"/>
      <c r="R298" s="56"/>
      <c r="S298" s="56"/>
      <c r="T298" s="56"/>
      <c r="U298" s="56"/>
      <c r="V298" s="56"/>
      <c r="W298" s="56"/>
      <c r="X298" s="56"/>
      <c r="Y298" s="56"/>
      <c r="Z298" s="56"/>
      <c r="AA298" s="56"/>
      <c r="AB298" s="56"/>
    </row>
    <row r="299">
      <c r="A299" s="75"/>
      <c r="B299" s="69"/>
      <c r="C299" s="60"/>
      <c r="D299" s="61"/>
      <c r="E299" s="69"/>
      <c r="F299" s="60"/>
      <c r="G299" s="60"/>
      <c r="H299" s="60"/>
      <c r="I299" s="60"/>
      <c r="J299" s="60"/>
      <c r="K299" s="56"/>
      <c r="L299" s="56"/>
      <c r="M299" s="56"/>
      <c r="N299" s="56"/>
      <c r="O299" s="56"/>
      <c r="P299" s="56"/>
      <c r="Q299" s="56"/>
      <c r="R299" s="56"/>
      <c r="S299" s="56"/>
      <c r="T299" s="56"/>
      <c r="U299" s="56"/>
      <c r="V299" s="56"/>
      <c r="W299" s="56"/>
      <c r="X299" s="56"/>
      <c r="Y299" s="56"/>
      <c r="Z299" s="56"/>
      <c r="AA299" s="56"/>
      <c r="AB299" s="56"/>
    </row>
    <row r="300">
      <c r="A300" s="75"/>
      <c r="B300" s="69"/>
      <c r="C300" s="60"/>
      <c r="D300" s="61"/>
      <c r="E300" s="69"/>
      <c r="F300" s="60"/>
      <c r="G300" s="60"/>
      <c r="H300" s="60"/>
      <c r="I300" s="60"/>
      <c r="J300" s="60"/>
      <c r="K300" s="56"/>
      <c r="L300" s="56"/>
      <c r="M300" s="56"/>
      <c r="N300" s="56"/>
      <c r="O300" s="56"/>
      <c r="P300" s="56"/>
      <c r="Q300" s="56"/>
      <c r="R300" s="56"/>
      <c r="S300" s="56"/>
      <c r="T300" s="56"/>
      <c r="U300" s="56"/>
      <c r="V300" s="56"/>
      <c r="W300" s="56"/>
      <c r="X300" s="56"/>
      <c r="Y300" s="56"/>
      <c r="Z300" s="56"/>
      <c r="AA300" s="56"/>
      <c r="AB300" s="56"/>
    </row>
    <row r="301">
      <c r="A301" s="75"/>
      <c r="B301" s="69"/>
      <c r="C301" s="60"/>
      <c r="D301" s="61"/>
      <c r="E301" s="69"/>
      <c r="F301" s="60"/>
      <c r="G301" s="60"/>
      <c r="H301" s="60"/>
      <c r="I301" s="60"/>
      <c r="J301" s="60"/>
      <c r="K301" s="56"/>
      <c r="L301" s="56"/>
      <c r="M301" s="56"/>
      <c r="N301" s="56"/>
      <c r="O301" s="56"/>
      <c r="P301" s="56"/>
      <c r="Q301" s="56"/>
      <c r="R301" s="56"/>
      <c r="S301" s="56"/>
      <c r="T301" s="56"/>
      <c r="U301" s="56"/>
      <c r="V301" s="56"/>
      <c r="W301" s="56"/>
      <c r="X301" s="56"/>
      <c r="Y301" s="56"/>
      <c r="Z301" s="56"/>
      <c r="AA301" s="56"/>
      <c r="AB301" s="56"/>
    </row>
    <row r="302">
      <c r="A302" s="75"/>
      <c r="B302" s="69"/>
      <c r="C302" s="60"/>
      <c r="D302" s="61"/>
      <c r="E302" s="69"/>
      <c r="F302" s="60"/>
      <c r="G302" s="60"/>
      <c r="H302" s="60"/>
      <c r="I302" s="60"/>
      <c r="J302" s="60"/>
      <c r="K302" s="56"/>
      <c r="L302" s="56"/>
      <c r="M302" s="56"/>
      <c r="N302" s="56"/>
      <c r="O302" s="56"/>
      <c r="P302" s="56"/>
      <c r="Q302" s="56"/>
      <c r="R302" s="56"/>
      <c r="S302" s="56"/>
      <c r="T302" s="56"/>
      <c r="U302" s="56"/>
      <c r="V302" s="56"/>
      <c r="W302" s="56"/>
      <c r="X302" s="56"/>
      <c r="Y302" s="56"/>
      <c r="Z302" s="56"/>
      <c r="AA302" s="56"/>
      <c r="AB302" s="56"/>
    </row>
    <row r="303">
      <c r="A303" s="75"/>
      <c r="B303" s="69"/>
      <c r="C303" s="60"/>
      <c r="D303" s="61"/>
      <c r="E303" s="69"/>
      <c r="F303" s="60"/>
      <c r="G303" s="60"/>
      <c r="H303" s="60"/>
      <c r="I303" s="60"/>
      <c r="J303" s="60"/>
      <c r="K303" s="56"/>
      <c r="L303" s="56"/>
      <c r="M303" s="56"/>
      <c r="N303" s="56"/>
      <c r="O303" s="56"/>
      <c r="P303" s="56"/>
      <c r="Q303" s="56"/>
      <c r="R303" s="56"/>
      <c r="S303" s="56"/>
      <c r="T303" s="56"/>
      <c r="U303" s="56"/>
      <c r="V303" s="56"/>
      <c r="W303" s="56"/>
      <c r="X303" s="56"/>
      <c r="Y303" s="56"/>
      <c r="Z303" s="56"/>
      <c r="AA303" s="56"/>
      <c r="AB303" s="56"/>
    </row>
    <row r="304">
      <c r="A304" s="75"/>
      <c r="B304" s="69"/>
      <c r="C304" s="60"/>
      <c r="D304" s="61"/>
      <c r="E304" s="69"/>
      <c r="F304" s="60"/>
      <c r="G304" s="60"/>
      <c r="H304" s="60"/>
      <c r="I304" s="60"/>
      <c r="J304" s="60"/>
      <c r="K304" s="56"/>
      <c r="L304" s="56"/>
      <c r="M304" s="56"/>
      <c r="N304" s="56"/>
      <c r="O304" s="56"/>
      <c r="P304" s="56"/>
      <c r="Q304" s="56"/>
      <c r="R304" s="56"/>
      <c r="S304" s="56"/>
      <c r="T304" s="56"/>
      <c r="U304" s="56"/>
      <c r="V304" s="56"/>
      <c r="W304" s="56"/>
      <c r="X304" s="56"/>
      <c r="Y304" s="56"/>
      <c r="Z304" s="56"/>
      <c r="AA304" s="56"/>
      <c r="AB304" s="56"/>
    </row>
    <row r="305">
      <c r="A305" s="75"/>
      <c r="B305" s="69"/>
      <c r="C305" s="60"/>
      <c r="D305" s="61"/>
      <c r="E305" s="69"/>
      <c r="F305" s="60"/>
      <c r="G305" s="60"/>
      <c r="H305" s="60"/>
      <c r="I305" s="60"/>
      <c r="J305" s="60"/>
      <c r="K305" s="56"/>
      <c r="L305" s="56"/>
      <c r="M305" s="56"/>
      <c r="N305" s="56"/>
      <c r="O305" s="56"/>
      <c r="P305" s="56"/>
      <c r="Q305" s="56"/>
      <c r="R305" s="56"/>
      <c r="S305" s="56"/>
      <c r="T305" s="56"/>
      <c r="U305" s="56"/>
      <c r="V305" s="56"/>
      <c r="W305" s="56"/>
      <c r="X305" s="56"/>
      <c r="Y305" s="56"/>
      <c r="Z305" s="56"/>
      <c r="AA305" s="56"/>
      <c r="AB305" s="56"/>
    </row>
    <row r="306">
      <c r="A306" s="75"/>
      <c r="B306" s="69"/>
      <c r="C306" s="60"/>
      <c r="D306" s="61"/>
      <c r="E306" s="69"/>
      <c r="F306" s="60"/>
      <c r="G306" s="60"/>
      <c r="H306" s="60"/>
      <c r="I306" s="60"/>
      <c r="J306" s="60"/>
      <c r="K306" s="56"/>
      <c r="L306" s="56"/>
      <c r="M306" s="56"/>
      <c r="N306" s="56"/>
      <c r="O306" s="56"/>
      <c r="P306" s="56"/>
      <c r="Q306" s="56"/>
      <c r="R306" s="56"/>
      <c r="S306" s="56"/>
      <c r="T306" s="56"/>
      <c r="U306" s="56"/>
      <c r="V306" s="56"/>
      <c r="W306" s="56"/>
      <c r="X306" s="56"/>
      <c r="Y306" s="56"/>
      <c r="Z306" s="56"/>
      <c r="AA306" s="56"/>
      <c r="AB306" s="56"/>
    </row>
    <row r="307">
      <c r="A307" s="75"/>
      <c r="B307" s="69"/>
      <c r="C307" s="60"/>
      <c r="D307" s="61"/>
      <c r="E307" s="69"/>
      <c r="F307" s="60"/>
      <c r="G307" s="60"/>
      <c r="H307" s="60"/>
      <c r="I307" s="60"/>
      <c r="J307" s="60"/>
      <c r="K307" s="56"/>
      <c r="L307" s="56"/>
      <c r="M307" s="56"/>
      <c r="N307" s="56"/>
      <c r="O307" s="56"/>
      <c r="P307" s="56"/>
      <c r="Q307" s="56"/>
      <c r="R307" s="56"/>
      <c r="S307" s="56"/>
      <c r="T307" s="56"/>
      <c r="U307" s="56"/>
      <c r="V307" s="56"/>
      <c r="W307" s="56"/>
      <c r="X307" s="56"/>
      <c r="Y307" s="56"/>
      <c r="Z307" s="56"/>
      <c r="AA307" s="56"/>
      <c r="AB307" s="56"/>
    </row>
    <row r="308">
      <c r="A308" s="75"/>
      <c r="B308" s="69"/>
      <c r="C308" s="60"/>
      <c r="D308" s="61"/>
      <c r="E308" s="69"/>
      <c r="F308" s="60"/>
      <c r="G308" s="60"/>
      <c r="H308" s="60"/>
      <c r="I308" s="60"/>
      <c r="J308" s="60"/>
      <c r="K308" s="56"/>
      <c r="L308" s="56"/>
      <c r="M308" s="56"/>
      <c r="N308" s="56"/>
      <c r="O308" s="56"/>
      <c r="P308" s="56"/>
      <c r="Q308" s="56"/>
      <c r="R308" s="56"/>
      <c r="S308" s="56"/>
      <c r="T308" s="56"/>
      <c r="U308" s="56"/>
      <c r="V308" s="56"/>
      <c r="W308" s="56"/>
      <c r="X308" s="56"/>
      <c r="Y308" s="56"/>
      <c r="Z308" s="56"/>
      <c r="AA308" s="56"/>
      <c r="AB308" s="56"/>
    </row>
    <row r="309">
      <c r="A309" s="75"/>
      <c r="B309" s="69"/>
      <c r="C309" s="60"/>
      <c r="D309" s="61"/>
      <c r="E309" s="69"/>
      <c r="F309" s="60"/>
      <c r="G309" s="60"/>
      <c r="H309" s="60"/>
      <c r="I309" s="60"/>
      <c r="J309" s="60"/>
      <c r="K309" s="56"/>
      <c r="L309" s="56"/>
      <c r="M309" s="56"/>
      <c r="N309" s="56"/>
      <c r="O309" s="56"/>
      <c r="P309" s="56"/>
      <c r="Q309" s="56"/>
      <c r="R309" s="56"/>
      <c r="S309" s="56"/>
      <c r="T309" s="56"/>
      <c r="U309" s="56"/>
      <c r="V309" s="56"/>
      <c r="W309" s="56"/>
      <c r="X309" s="56"/>
      <c r="Y309" s="56"/>
      <c r="Z309" s="56"/>
      <c r="AA309" s="56"/>
      <c r="AB309" s="56"/>
    </row>
    <row r="310">
      <c r="A310" s="75"/>
      <c r="B310" s="69"/>
      <c r="C310" s="60"/>
      <c r="D310" s="61"/>
      <c r="E310" s="69"/>
      <c r="F310" s="60"/>
      <c r="G310" s="60"/>
      <c r="H310" s="60"/>
      <c r="I310" s="60"/>
      <c r="J310" s="60"/>
      <c r="K310" s="56"/>
      <c r="L310" s="56"/>
      <c r="M310" s="56"/>
      <c r="N310" s="56"/>
      <c r="O310" s="56"/>
      <c r="P310" s="56"/>
      <c r="Q310" s="56"/>
      <c r="R310" s="56"/>
      <c r="S310" s="56"/>
      <c r="T310" s="56"/>
      <c r="U310" s="56"/>
      <c r="V310" s="56"/>
      <c r="W310" s="56"/>
      <c r="X310" s="56"/>
      <c r="Y310" s="56"/>
      <c r="Z310" s="56"/>
      <c r="AA310" s="56"/>
      <c r="AB310" s="56"/>
    </row>
    <row r="311">
      <c r="A311" s="75"/>
      <c r="B311" s="69"/>
      <c r="C311" s="60"/>
      <c r="D311" s="61"/>
      <c r="E311" s="69"/>
      <c r="F311" s="60"/>
      <c r="G311" s="60"/>
      <c r="H311" s="60"/>
      <c r="I311" s="60"/>
      <c r="J311" s="60"/>
      <c r="K311" s="56"/>
      <c r="L311" s="56"/>
      <c r="M311" s="56"/>
      <c r="N311" s="56"/>
      <c r="O311" s="56"/>
      <c r="P311" s="56"/>
      <c r="Q311" s="56"/>
      <c r="R311" s="56"/>
      <c r="S311" s="56"/>
      <c r="T311" s="56"/>
      <c r="U311" s="56"/>
      <c r="V311" s="56"/>
      <c r="W311" s="56"/>
      <c r="X311" s="56"/>
      <c r="Y311" s="56"/>
      <c r="Z311" s="56"/>
      <c r="AA311" s="56"/>
      <c r="AB311" s="56"/>
    </row>
    <row r="312">
      <c r="A312" s="75"/>
      <c r="B312" s="69"/>
      <c r="C312" s="60"/>
      <c r="D312" s="61"/>
      <c r="E312" s="69"/>
      <c r="F312" s="60"/>
      <c r="G312" s="60"/>
      <c r="H312" s="60"/>
      <c r="I312" s="60"/>
      <c r="J312" s="60"/>
      <c r="K312" s="56"/>
      <c r="L312" s="56"/>
      <c r="M312" s="56"/>
      <c r="N312" s="56"/>
      <c r="O312" s="56"/>
      <c r="P312" s="56"/>
      <c r="Q312" s="56"/>
      <c r="R312" s="56"/>
      <c r="S312" s="56"/>
      <c r="T312" s="56"/>
      <c r="U312" s="56"/>
      <c r="V312" s="56"/>
      <c r="W312" s="56"/>
      <c r="X312" s="56"/>
      <c r="Y312" s="56"/>
      <c r="Z312" s="56"/>
      <c r="AA312" s="56"/>
      <c r="AB312" s="56"/>
    </row>
    <row r="313">
      <c r="A313" s="75"/>
      <c r="B313" s="69"/>
      <c r="C313" s="60"/>
      <c r="D313" s="61"/>
      <c r="E313" s="69"/>
      <c r="F313" s="60"/>
      <c r="G313" s="60"/>
      <c r="H313" s="60"/>
      <c r="I313" s="60"/>
      <c r="J313" s="60"/>
      <c r="K313" s="56"/>
      <c r="L313" s="56"/>
      <c r="M313" s="56"/>
      <c r="N313" s="56"/>
      <c r="O313" s="56"/>
      <c r="P313" s="56"/>
      <c r="Q313" s="56"/>
      <c r="R313" s="56"/>
      <c r="S313" s="56"/>
      <c r="T313" s="56"/>
      <c r="U313" s="56"/>
      <c r="V313" s="56"/>
      <c r="W313" s="56"/>
      <c r="X313" s="56"/>
      <c r="Y313" s="56"/>
      <c r="Z313" s="56"/>
      <c r="AA313" s="56"/>
      <c r="AB313" s="56"/>
    </row>
    <row r="314">
      <c r="A314" s="75"/>
      <c r="B314" s="69"/>
      <c r="C314" s="60"/>
      <c r="D314" s="61"/>
      <c r="E314" s="69"/>
      <c r="F314" s="60"/>
      <c r="G314" s="60"/>
      <c r="H314" s="60"/>
      <c r="I314" s="60"/>
      <c r="J314" s="60"/>
      <c r="K314" s="56"/>
      <c r="L314" s="56"/>
      <c r="M314" s="56"/>
      <c r="N314" s="56"/>
      <c r="O314" s="56"/>
      <c r="P314" s="56"/>
      <c r="Q314" s="56"/>
      <c r="R314" s="56"/>
      <c r="S314" s="56"/>
      <c r="T314" s="56"/>
      <c r="U314" s="56"/>
      <c r="V314" s="56"/>
      <c r="W314" s="56"/>
      <c r="X314" s="56"/>
      <c r="Y314" s="56"/>
      <c r="Z314" s="56"/>
      <c r="AA314" s="56"/>
      <c r="AB314" s="56"/>
    </row>
    <row r="315">
      <c r="A315" s="75"/>
      <c r="B315" s="69"/>
      <c r="C315" s="60"/>
      <c r="D315" s="61"/>
      <c r="E315" s="69"/>
      <c r="F315" s="60"/>
      <c r="G315" s="60"/>
      <c r="H315" s="60"/>
      <c r="I315" s="60"/>
      <c r="J315" s="60"/>
      <c r="K315" s="56"/>
      <c r="L315" s="56"/>
      <c r="M315" s="56"/>
      <c r="N315" s="56"/>
      <c r="O315" s="56"/>
      <c r="P315" s="56"/>
      <c r="Q315" s="56"/>
      <c r="R315" s="56"/>
      <c r="S315" s="56"/>
      <c r="T315" s="56"/>
      <c r="U315" s="56"/>
      <c r="V315" s="56"/>
      <c r="W315" s="56"/>
      <c r="X315" s="56"/>
      <c r="Y315" s="56"/>
      <c r="Z315" s="56"/>
      <c r="AA315" s="56"/>
      <c r="AB315" s="56"/>
    </row>
    <row r="316">
      <c r="A316" s="75"/>
      <c r="B316" s="69"/>
      <c r="C316" s="60"/>
      <c r="D316" s="61"/>
      <c r="E316" s="69"/>
      <c r="F316" s="60"/>
      <c r="G316" s="60"/>
      <c r="H316" s="60"/>
      <c r="I316" s="60"/>
      <c r="J316" s="60"/>
      <c r="K316" s="56"/>
      <c r="L316" s="56"/>
      <c r="M316" s="56"/>
      <c r="N316" s="56"/>
      <c r="O316" s="56"/>
      <c r="P316" s="56"/>
      <c r="Q316" s="56"/>
      <c r="R316" s="56"/>
      <c r="S316" s="56"/>
      <c r="T316" s="56"/>
      <c r="U316" s="56"/>
      <c r="V316" s="56"/>
      <c r="W316" s="56"/>
      <c r="X316" s="56"/>
      <c r="Y316" s="56"/>
      <c r="Z316" s="56"/>
      <c r="AA316" s="56"/>
      <c r="AB316" s="56"/>
    </row>
    <row r="317">
      <c r="A317" s="75"/>
      <c r="B317" s="69"/>
      <c r="C317" s="60"/>
      <c r="D317" s="61"/>
      <c r="E317" s="69"/>
      <c r="F317" s="60"/>
      <c r="G317" s="60"/>
      <c r="H317" s="60"/>
      <c r="I317" s="60"/>
      <c r="J317" s="60"/>
      <c r="K317" s="56"/>
      <c r="L317" s="56"/>
      <c r="M317" s="56"/>
      <c r="N317" s="56"/>
      <c r="O317" s="56"/>
      <c r="P317" s="56"/>
      <c r="Q317" s="56"/>
      <c r="R317" s="56"/>
      <c r="S317" s="56"/>
      <c r="T317" s="56"/>
      <c r="U317" s="56"/>
      <c r="V317" s="56"/>
      <c r="W317" s="56"/>
      <c r="X317" s="56"/>
      <c r="Y317" s="56"/>
      <c r="Z317" s="56"/>
      <c r="AA317" s="56"/>
      <c r="AB317" s="56"/>
    </row>
    <row r="318">
      <c r="A318" s="75"/>
      <c r="B318" s="69"/>
      <c r="C318" s="60"/>
      <c r="D318" s="61"/>
      <c r="E318" s="69"/>
      <c r="F318" s="60"/>
      <c r="G318" s="60"/>
      <c r="H318" s="60"/>
      <c r="I318" s="60"/>
      <c r="J318" s="60"/>
      <c r="K318" s="56"/>
      <c r="L318" s="56"/>
      <c r="M318" s="56"/>
      <c r="N318" s="56"/>
      <c r="O318" s="56"/>
      <c r="P318" s="56"/>
      <c r="Q318" s="56"/>
      <c r="R318" s="56"/>
      <c r="S318" s="56"/>
      <c r="T318" s="56"/>
      <c r="U318" s="56"/>
      <c r="V318" s="56"/>
      <c r="W318" s="56"/>
      <c r="X318" s="56"/>
      <c r="Y318" s="56"/>
      <c r="Z318" s="56"/>
      <c r="AA318" s="56"/>
      <c r="AB318" s="56"/>
    </row>
    <row r="319">
      <c r="A319" s="75"/>
      <c r="B319" s="69"/>
      <c r="C319" s="60"/>
      <c r="D319" s="61"/>
      <c r="E319" s="69"/>
      <c r="F319" s="60"/>
      <c r="G319" s="60"/>
      <c r="H319" s="60"/>
      <c r="I319" s="60"/>
      <c r="J319" s="60"/>
      <c r="K319" s="56"/>
      <c r="L319" s="56"/>
      <c r="M319" s="56"/>
      <c r="N319" s="56"/>
      <c r="O319" s="56"/>
      <c r="P319" s="56"/>
      <c r="Q319" s="56"/>
      <c r="R319" s="56"/>
      <c r="S319" s="56"/>
      <c r="T319" s="56"/>
      <c r="U319" s="56"/>
      <c r="V319" s="56"/>
      <c r="W319" s="56"/>
      <c r="X319" s="56"/>
      <c r="Y319" s="56"/>
      <c r="Z319" s="56"/>
      <c r="AA319" s="56"/>
      <c r="AB319" s="56"/>
    </row>
    <row r="320">
      <c r="A320" s="75"/>
      <c r="B320" s="69"/>
      <c r="C320" s="60"/>
      <c r="D320" s="61"/>
      <c r="E320" s="69"/>
      <c r="F320" s="60"/>
      <c r="G320" s="60"/>
      <c r="H320" s="60"/>
      <c r="I320" s="60"/>
      <c r="J320" s="60"/>
      <c r="K320" s="56"/>
      <c r="L320" s="56"/>
      <c r="M320" s="56"/>
      <c r="N320" s="56"/>
      <c r="O320" s="56"/>
      <c r="P320" s="56"/>
      <c r="Q320" s="56"/>
      <c r="R320" s="56"/>
      <c r="S320" s="56"/>
      <c r="T320" s="56"/>
      <c r="U320" s="56"/>
      <c r="V320" s="56"/>
      <c r="W320" s="56"/>
      <c r="X320" s="56"/>
      <c r="Y320" s="56"/>
      <c r="Z320" s="56"/>
      <c r="AA320" s="56"/>
      <c r="AB320" s="56"/>
    </row>
    <row r="321">
      <c r="A321" s="75"/>
      <c r="B321" s="69"/>
      <c r="C321" s="60"/>
      <c r="D321" s="61"/>
      <c r="E321" s="69"/>
      <c r="F321" s="60"/>
      <c r="G321" s="60"/>
      <c r="H321" s="60"/>
      <c r="I321" s="60"/>
      <c r="J321" s="60"/>
      <c r="K321" s="56"/>
      <c r="L321" s="56"/>
      <c r="M321" s="56"/>
      <c r="N321" s="56"/>
      <c r="O321" s="56"/>
      <c r="P321" s="56"/>
      <c r="Q321" s="56"/>
      <c r="R321" s="56"/>
      <c r="S321" s="56"/>
      <c r="T321" s="56"/>
      <c r="U321" s="56"/>
      <c r="V321" s="56"/>
      <c r="W321" s="56"/>
      <c r="X321" s="56"/>
      <c r="Y321" s="56"/>
      <c r="Z321" s="56"/>
      <c r="AA321" s="56"/>
      <c r="AB321" s="56"/>
    </row>
    <row r="322">
      <c r="A322" s="75"/>
      <c r="B322" s="69"/>
      <c r="C322" s="60"/>
      <c r="D322" s="61"/>
      <c r="E322" s="69"/>
      <c r="F322" s="60"/>
      <c r="G322" s="60"/>
      <c r="H322" s="60"/>
      <c r="I322" s="60"/>
      <c r="J322" s="60"/>
      <c r="K322" s="56"/>
      <c r="L322" s="56"/>
      <c r="M322" s="56"/>
      <c r="N322" s="56"/>
      <c r="O322" s="56"/>
      <c r="P322" s="56"/>
      <c r="Q322" s="56"/>
      <c r="R322" s="56"/>
      <c r="S322" s="56"/>
      <c r="T322" s="56"/>
      <c r="U322" s="56"/>
      <c r="V322" s="56"/>
      <c r="W322" s="56"/>
      <c r="X322" s="56"/>
      <c r="Y322" s="56"/>
      <c r="Z322" s="56"/>
      <c r="AA322" s="56"/>
      <c r="AB322" s="56"/>
    </row>
    <row r="323">
      <c r="A323" s="75"/>
      <c r="B323" s="69"/>
      <c r="C323" s="60"/>
      <c r="D323" s="61"/>
      <c r="E323" s="69"/>
      <c r="F323" s="60"/>
      <c r="G323" s="60"/>
      <c r="H323" s="60"/>
      <c r="I323" s="60"/>
      <c r="J323" s="60"/>
      <c r="K323" s="56"/>
      <c r="L323" s="56"/>
      <c r="M323" s="56"/>
      <c r="N323" s="56"/>
      <c r="O323" s="56"/>
      <c r="P323" s="56"/>
      <c r="Q323" s="56"/>
      <c r="R323" s="56"/>
      <c r="S323" s="56"/>
      <c r="T323" s="56"/>
      <c r="U323" s="56"/>
      <c r="V323" s="56"/>
      <c r="W323" s="56"/>
      <c r="X323" s="56"/>
      <c r="Y323" s="56"/>
      <c r="Z323" s="56"/>
      <c r="AA323" s="56"/>
      <c r="AB323" s="56"/>
    </row>
    <row r="324">
      <c r="A324" s="75"/>
      <c r="B324" s="69"/>
      <c r="C324" s="60"/>
      <c r="D324" s="61"/>
      <c r="E324" s="69"/>
      <c r="F324" s="60"/>
      <c r="G324" s="60"/>
      <c r="H324" s="60"/>
      <c r="I324" s="60"/>
      <c r="J324" s="60"/>
      <c r="K324" s="56"/>
      <c r="L324" s="56"/>
      <c r="M324" s="56"/>
      <c r="N324" s="56"/>
      <c r="O324" s="56"/>
      <c r="P324" s="56"/>
      <c r="Q324" s="56"/>
      <c r="R324" s="56"/>
      <c r="S324" s="56"/>
      <c r="T324" s="56"/>
      <c r="U324" s="56"/>
      <c r="V324" s="56"/>
      <c r="W324" s="56"/>
      <c r="X324" s="56"/>
      <c r="Y324" s="56"/>
      <c r="Z324" s="56"/>
      <c r="AA324" s="56"/>
      <c r="AB324" s="56"/>
    </row>
    <row r="325">
      <c r="A325" s="75"/>
      <c r="B325" s="69"/>
      <c r="C325" s="60"/>
      <c r="D325" s="61"/>
      <c r="E325" s="69"/>
      <c r="F325" s="60"/>
      <c r="G325" s="60"/>
      <c r="H325" s="60"/>
      <c r="I325" s="60"/>
      <c r="J325" s="60"/>
      <c r="K325" s="56"/>
      <c r="L325" s="56"/>
      <c r="M325" s="56"/>
      <c r="N325" s="56"/>
      <c r="O325" s="56"/>
      <c r="P325" s="56"/>
      <c r="Q325" s="56"/>
      <c r="R325" s="56"/>
      <c r="S325" s="56"/>
      <c r="T325" s="56"/>
      <c r="U325" s="56"/>
      <c r="V325" s="56"/>
      <c r="W325" s="56"/>
      <c r="X325" s="56"/>
      <c r="Y325" s="56"/>
      <c r="Z325" s="56"/>
      <c r="AA325" s="56"/>
      <c r="AB325" s="56"/>
    </row>
    <row r="326">
      <c r="A326" s="75"/>
      <c r="B326" s="69"/>
      <c r="C326" s="60"/>
      <c r="D326" s="61"/>
      <c r="E326" s="69"/>
      <c r="F326" s="60"/>
      <c r="G326" s="60"/>
      <c r="H326" s="60"/>
      <c r="I326" s="60"/>
      <c r="J326" s="60"/>
      <c r="K326" s="56"/>
      <c r="L326" s="56"/>
      <c r="M326" s="56"/>
      <c r="N326" s="56"/>
      <c r="O326" s="56"/>
      <c r="P326" s="56"/>
      <c r="Q326" s="56"/>
      <c r="R326" s="56"/>
      <c r="S326" s="56"/>
      <c r="T326" s="56"/>
      <c r="U326" s="56"/>
      <c r="V326" s="56"/>
      <c r="W326" s="56"/>
      <c r="X326" s="56"/>
      <c r="Y326" s="56"/>
      <c r="Z326" s="56"/>
      <c r="AA326" s="56"/>
      <c r="AB326" s="56"/>
    </row>
    <row r="327">
      <c r="A327" s="75"/>
      <c r="B327" s="69"/>
      <c r="C327" s="60"/>
      <c r="D327" s="61"/>
      <c r="E327" s="69"/>
      <c r="F327" s="60"/>
      <c r="G327" s="60"/>
      <c r="H327" s="60"/>
      <c r="I327" s="60"/>
      <c r="J327" s="60"/>
      <c r="K327" s="56"/>
      <c r="L327" s="56"/>
      <c r="M327" s="56"/>
      <c r="N327" s="56"/>
      <c r="O327" s="56"/>
      <c r="P327" s="56"/>
      <c r="Q327" s="56"/>
      <c r="R327" s="56"/>
      <c r="S327" s="56"/>
      <c r="T327" s="56"/>
      <c r="U327" s="56"/>
      <c r="V327" s="56"/>
      <c r="W327" s="56"/>
      <c r="X327" s="56"/>
      <c r="Y327" s="56"/>
      <c r="Z327" s="56"/>
      <c r="AA327" s="56"/>
      <c r="AB327" s="56"/>
    </row>
    <row r="328">
      <c r="A328" s="75"/>
      <c r="B328" s="69"/>
      <c r="C328" s="60"/>
      <c r="D328" s="61"/>
      <c r="E328" s="69"/>
      <c r="F328" s="60"/>
      <c r="G328" s="60"/>
      <c r="H328" s="60"/>
      <c r="I328" s="60"/>
      <c r="J328" s="60"/>
      <c r="K328" s="56"/>
      <c r="L328" s="56"/>
      <c r="M328" s="56"/>
      <c r="N328" s="56"/>
      <c r="O328" s="56"/>
      <c r="P328" s="56"/>
      <c r="Q328" s="56"/>
      <c r="R328" s="56"/>
      <c r="S328" s="56"/>
      <c r="T328" s="56"/>
      <c r="U328" s="56"/>
      <c r="V328" s="56"/>
      <c r="W328" s="56"/>
      <c r="X328" s="56"/>
      <c r="Y328" s="56"/>
      <c r="Z328" s="56"/>
      <c r="AA328" s="56"/>
      <c r="AB328" s="56"/>
    </row>
    <row r="329">
      <c r="A329" s="75"/>
      <c r="B329" s="69"/>
      <c r="C329" s="60"/>
      <c r="D329" s="61"/>
      <c r="E329" s="69"/>
      <c r="F329" s="60"/>
      <c r="G329" s="60"/>
      <c r="H329" s="60"/>
      <c r="I329" s="60"/>
      <c r="J329" s="60"/>
      <c r="K329" s="56"/>
      <c r="L329" s="56"/>
      <c r="M329" s="56"/>
      <c r="N329" s="56"/>
      <c r="O329" s="56"/>
      <c r="P329" s="56"/>
      <c r="Q329" s="56"/>
      <c r="R329" s="56"/>
      <c r="S329" s="56"/>
      <c r="T329" s="56"/>
      <c r="U329" s="56"/>
      <c r="V329" s="56"/>
      <c r="W329" s="56"/>
      <c r="X329" s="56"/>
      <c r="Y329" s="56"/>
      <c r="Z329" s="56"/>
      <c r="AA329" s="56"/>
      <c r="AB329" s="56"/>
    </row>
    <row r="330">
      <c r="A330" s="75"/>
      <c r="B330" s="69"/>
      <c r="C330" s="60"/>
      <c r="D330" s="61"/>
      <c r="E330" s="69"/>
      <c r="F330" s="60"/>
      <c r="G330" s="60"/>
      <c r="H330" s="60"/>
      <c r="I330" s="60"/>
      <c r="J330" s="60"/>
      <c r="K330" s="56"/>
      <c r="L330" s="56"/>
      <c r="M330" s="56"/>
      <c r="N330" s="56"/>
      <c r="O330" s="56"/>
      <c r="P330" s="56"/>
      <c r="Q330" s="56"/>
      <c r="R330" s="56"/>
      <c r="S330" s="56"/>
      <c r="T330" s="56"/>
      <c r="U330" s="56"/>
      <c r="V330" s="56"/>
      <c r="W330" s="56"/>
      <c r="X330" s="56"/>
      <c r="Y330" s="56"/>
      <c r="Z330" s="56"/>
      <c r="AA330" s="56"/>
      <c r="AB330" s="56"/>
    </row>
    <row r="331">
      <c r="A331" s="75"/>
      <c r="B331" s="69"/>
      <c r="C331" s="60"/>
      <c r="D331" s="61"/>
      <c r="E331" s="69"/>
      <c r="F331" s="60"/>
      <c r="G331" s="60"/>
      <c r="H331" s="60"/>
      <c r="I331" s="60"/>
      <c r="J331" s="60"/>
      <c r="K331" s="56"/>
      <c r="L331" s="56"/>
      <c r="M331" s="56"/>
      <c r="N331" s="56"/>
      <c r="O331" s="56"/>
      <c r="P331" s="56"/>
      <c r="Q331" s="56"/>
      <c r="R331" s="56"/>
      <c r="S331" s="56"/>
      <c r="T331" s="56"/>
      <c r="U331" s="56"/>
      <c r="V331" s="56"/>
      <c r="W331" s="56"/>
      <c r="X331" s="56"/>
      <c r="Y331" s="56"/>
      <c r="Z331" s="56"/>
      <c r="AA331" s="56"/>
      <c r="AB331" s="56"/>
    </row>
    <row r="332">
      <c r="A332" s="75"/>
      <c r="B332" s="69"/>
      <c r="C332" s="60"/>
      <c r="D332" s="61"/>
      <c r="E332" s="69"/>
      <c r="F332" s="60"/>
      <c r="G332" s="60"/>
      <c r="H332" s="60"/>
      <c r="I332" s="60"/>
      <c r="J332" s="60"/>
      <c r="K332" s="56"/>
      <c r="L332" s="56"/>
      <c r="M332" s="56"/>
      <c r="N332" s="56"/>
      <c r="O332" s="56"/>
      <c r="P332" s="56"/>
      <c r="Q332" s="56"/>
      <c r="R332" s="56"/>
      <c r="S332" s="56"/>
      <c r="T332" s="56"/>
      <c r="U332" s="56"/>
      <c r="V332" s="56"/>
      <c r="W332" s="56"/>
      <c r="X332" s="56"/>
      <c r="Y332" s="56"/>
      <c r="Z332" s="56"/>
      <c r="AA332" s="56"/>
      <c r="AB332" s="56"/>
    </row>
    <row r="333">
      <c r="A333" s="75"/>
      <c r="B333" s="69"/>
      <c r="C333" s="60"/>
      <c r="D333" s="61"/>
      <c r="E333" s="69"/>
      <c r="F333" s="60"/>
      <c r="G333" s="60"/>
      <c r="H333" s="60"/>
      <c r="I333" s="60"/>
      <c r="J333" s="60"/>
      <c r="K333" s="56"/>
      <c r="L333" s="56"/>
      <c r="M333" s="56"/>
      <c r="N333" s="56"/>
      <c r="O333" s="56"/>
      <c r="P333" s="56"/>
      <c r="Q333" s="56"/>
      <c r="R333" s="56"/>
      <c r="S333" s="56"/>
      <c r="T333" s="56"/>
      <c r="U333" s="56"/>
      <c r="V333" s="56"/>
      <c r="W333" s="56"/>
      <c r="X333" s="56"/>
      <c r="Y333" s="56"/>
      <c r="Z333" s="56"/>
      <c r="AA333" s="56"/>
      <c r="AB333" s="56"/>
    </row>
    <row r="334">
      <c r="A334" s="75"/>
      <c r="B334" s="69"/>
      <c r="C334" s="60"/>
      <c r="D334" s="61"/>
      <c r="E334" s="69"/>
      <c r="F334" s="60"/>
      <c r="G334" s="60"/>
      <c r="H334" s="60"/>
      <c r="I334" s="60"/>
      <c r="J334" s="60"/>
      <c r="K334" s="56"/>
      <c r="L334" s="56"/>
      <c r="M334" s="56"/>
      <c r="N334" s="56"/>
      <c r="O334" s="56"/>
      <c r="P334" s="56"/>
      <c r="Q334" s="56"/>
      <c r="R334" s="56"/>
      <c r="S334" s="56"/>
      <c r="T334" s="56"/>
      <c r="U334" s="56"/>
      <c r="V334" s="56"/>
      <c r="W334" s="56"/>
      <c r="X334" s="56"/>
      <c r="Y334" s="56"/>
      <c r="Z334" s="56"/>
      <c r="AA334" s="56"/>
      <c r="AB334" s="56"/>
    </row>
    <row r="335">
      <c r="A335" s="75"/>
      <c r="B335" s="69"/>
      <c r="C335" s="60"/>
      <c r="D335" s="61"/>
      <c r="E335" s="69"/>
      <c r="F335" s="60"/>
      <c r="G335" s="60"/>
      <c r="H335" s="60"/>
      <c r="I335" s="60"/>
      <c r="J335" s="60"/>
      <c r="K335" s="56"/>
      <c r="L335" s="56"/>
      <c r="M335" s="56"/>
      <c r="N335" s="56"/>
      <c r="O335" s="56"/>
      <c r="P335" s="56"/>
      <c r="Q335" s="56"/>
      <c r="R335" s="56"/>
      <c r="S335" s="56"/>
      <c r="T335" s="56"/>
      <c r="U335" s="56"/>
      <c r="V335" s="56"/>
      <c r="W335" s="56"/>
      <c r="X335" s="56"/>
      <c r="Y335" s="56"/>
      <c r="Z335" s="56"/>
      <c r="AA335" s="56"/>
      <c r="AB335" s="56"/>
    </row>
    <row r="336">
      <c r="A336" s="75"/>
      <c r="B336" s="69"/>
      <c r="C336" s="60"/>
      <c r="D336" s="61"/>
      <c r="E336" s="69"/>
      <c r="F336" s="60"/>
      <c r="G336" s="60"/>
      <c r="H336" s="60"/>
      <c r="I336" s="60"/>
      <c r="J336" s="60"/>
      <c r="K336" s="56"/>
      <c r="L336" s="56"/>
      <c r="M336" s="56"/>
      <c r="N336" s="56"/>
      <c r="O336" s="56"/>
      <c r="P336" s="56"/>
      <c r="Q336" s="56"/>
      <c r="R336" s="56"/>
      <c r="S336" s="56"/>
      <c r="T336" s="56"/>
      <c r="U336" s="56"/>
      <c r="V336" s="56"/>
      <c r="W336" s="56"/>
      <c r="X336" s="56"/>
      <c r="Y336" s="56"/>
      <c r="Z336" s="56"/>
      <c r="AA336" s="56"/>
      <c r="AB336" s="56"/>
    </row>
    <row r="337">
      <c r="A337" s="75"/>
      <c r="B337" s="69"/>
      <c r="C337" s="60"/>
      <c r="D337" s="61"/>
      <c r="E337" s="69"/>
      <c r="F337" s="60"/>
      <c r="G337" s="60"/>
      <c r="H337" s="60"/>
      <c r="I337" s="60"/>
      <c r="J337" s="60"/>
      <c r="K337" s="56"/>
      <c r="L337" s="56"/>
      <c r="M337" s="56"/>
      <c r="N337" s="56"/>
      <c r="O337" s="56"/>
      <c r="P337" s="56"/>
      <c r="Q337" s="56"/>
      <c r="R337" s="56"/>
      <c r="S337" s="56"/>
      <c r="T337" s="56"/>
      <c r="U337" s="56"/>
      <c r="V337" s="56"/>
      <c r="W337" s="56"/>
      <c r="X337" s="56"/>
      <c r="Y337" s="56"/>
      <c r="Z337" s="56"/>
      <c r="AA337" s="56"/>
      <c r="AB337" s="56"/>
    </row>
    <row r="338">
      <c r="A338" s="75"/>
      <c r="B338" s="69"/>
      <c r="C338" s="60"/>
      <c r="D338" s="61"/>
      <c r="E338" s="69"/>
      <c r="F338" s="60"/>
      <c r="G338" s="60"/>
      <c r="H338" s="60"/>
      <c r="I338" s="60"/>
      <c r="J338" s="60"/>
      <c r="K338" s="56"/>
      <c r="L338" s="56"/>
      <c r="M338" s="56"/>
      <c r="N338" s="56"/>
      <c r="O338" s="56"/>
      <c r="P338" s="56"/>
      <c r="Q338" s="56"/>
      <c r="R338" s="56"/>
      <c r="S338" s="56"/>
      <c r="T338" s="56"/>
      <c r="U338" s="56"/>
      <c r="V338" s="56"/>
      <c r="W338" s="56"/>
      <c r="X338" s="56"/>
      <c r="Y338" s="56"/>
      <c r="Z338" s="56"/>
      <c r="AA338" s="56"/>
      <c r="AB338" s="56"/>
    </row>
    <row r="339">
      <c r="A339" s="75"/>
      <c r="B339" s="69"/>
      <c r="C339" s="60"/>
      <c r="D339" s="61"/>
      <c r="E339" s="69"/>
      <c r="F339" s="60"/>
      <c r="G339" s="60"/>
      <c r="H339" s="60"/>
      <c r="I339" s="60"/>
      <c r="J339" s="60"/>
      <c r="K339" s="56"/>
      <c r="L339" s="56"/>
      <c r="M339" s="56"/>
      <c r="N339" s="56"/>
      <c r="O339" s="56"/>
      <c r="P339" s="56"/>
      <c r="Q339" s="56"/>
      <c r="R339" s="56"/>
      <c r="S339" s="56"/>
      <c r="T339" s="56"/>
      <c r="U339" s="56"/>
      <c r="V339" s="56"/>
      <c r="W339" s="56"/>
      <c r="X339" s="56"/>
      <c r="Y339" s="56"/>
      <c r="Z339" s="56"/>
      <c r="AA339" s="56"/>
      <c r="AB339" s="56"/>
    </row>
    <row r="340">
      <c r="A340" s="75"/>
      <c r="B340" s="69"/>
      <c r="C340" s="60"/>
      <c r="D340" s="61"/>
      <c r="E340" s="69"/>
      <c r="F340" s="60"/>
      <c r="G340" s="60"/>
      <c r="H340" s="60"/>
      <c r="I340" s="60"/>
      <c r="J340" s="60"/>
      <c r="K340" s="56"/>
      <c r="L340" s="56"/>
      <c r="M340" s="56"/>
      <c r="N340" s="56"/>
      <c r="O340" s="56"/>
      <c r="P340" s="56"/>
      <c r="Q340" s="56"/>
      <c r="R340" s="56"/>
      <c r="S340" s="56"/>
      <c r="T340" s="56"/>
      <c r="U340" s="56"/>
      <c r="V340" s="56"/>
      <c r="W340" s="56"/>
      <c r="X340" s="56"/>
      <c r="Y340" s="56"/>
      <c r="Z340" s="56"/>
      <c r="AA340" s="56"/>
      <c r="AB340" s="56"/>
    </row>
    <row r="341">
      <c r="A341" s="75"/>
      <c r="B341" s="69"/>
      <c r="C341" s="60"/>
      <c r="D341" s="61"/>
      <c r="E341" s="69"/>
      <c r="F341" s="60"/>
      <c r="G341" s="60"/>
      <c r="H341" s="60"/>
      <c r="I341" s="60"/>
      <c r="J341" s="60"/>
      <c r="K341" s="56"/>
      <c r="L341" s="56"/>
      <c r="M341" s="56"/>
      <c r="N341" s="56"/>
      <c r="O341" s="56"/>
      <c r="P341" s="56"/>
      <c r="Q341" s="56"/>
      <c r="R341" s="56"/>
      <c r="S341" s="56"/>
      <c r="T341" s="56"/>
      <c r="U341" s="56"/>
      <c r="V341" s="56"/>
      <c r="W341" s="56"/>
      <c r="X341" s="56"/>
      <c r="Y341" s="56"/>
      <c r="Z341" s="56"/>
      <c r="AA341" s="56"/>
      <c r="AB341" s="56"/>
    </row>
    <row r="342">
      <c r="A342" s="75"/>
      <c r="B342" s="69"/>
      <c r="C342" s="60"/>
      <c r="D342" s="61"/>
      <c r="E342" s="69"/>
      <c r="F342" s="60"/>
      <c r="G342" s="60"/>
      <c r="H342" s="60"/>
      <c r="I342" s="60"/>
      <c r="J342" s="60"/>
      <c r="K342" s="56"/>
      <c r="L342" s="56"/>
      <c r="M342" s="56"/>
      <c r="N342" s="56"/>
      <c r="O342" s="56"/>
      <c r="P342" s="56"/>
      <c r="Q342" s="56"/>
      <c r="R342" s="56"/>
      <c r="S342" s="56"/>
      <c r="T342" s="56"/>
      <c r="U342" s="56"/>
      <c r="V342" s="56"/>
      <c r="W342" s="56"/>
      <c r="X342" s="56"/>
      <c r="Y342" s="56"/>
      <c r="Z342" s="56"/>
      <c r="AA342" s="56"/>
      <c r="AB342" s="56"/>
    </row>
    <row r="343">
      <c r="A343" s="75"/>
      <c r="B343" s="69"/>
      <c r="C343" s="60"/>
      <c r="D343" s="61"/>
      <c r="E343" s="69"/>
      <c r="F343" s="60"/>
      <c r="G343" s="60"/>
      <c r="H343" s="60"/>
      <c r="I343" s="60"/>
      <c r="J343" s="60"/>
      <c r="K343" s="56"/>
      <c r="L343" s="56"/>
      <c r="M343" s="56"/>
      <c r="N343" s="56"/>
      <c r="O343" s="56"/>
      <c r="P343" s="56"/>
      <c r="Q343" s="56"/>
      <c r="R343" s="56"/>
      <c r="S343" s="56"/>
      <c r="T343" s="56"/>
      <c r="U343" s="56"/>
      <c r="V343" s="56"/>
      <c r="W343" s="56"/>
      <c r="X343" s="56"/>
      <c r="Y343" s="56"/>
      <c r="Z343" s="56"/>
      <c r="AA343" s="56"/>
      <c r="AB343" s="56"/>
    </row>
    <row r="344">
      <c r="A344" s="75"/>
      <c r="B344" s="69"/>
      <c r="C344" s="60"/>
      <c r="D344" s="61"/>
      <c r="E344" s="69"/>
      <c r="F344" s="60"/>
      <c r="G344" s="60"/>
      <c r="H344" s="60"/>
      <c r="I344" s="60"/>
      <c r="J344" s="60"/>
      <c r="K344" s="56"/>
      <c r="L344" s="56"/>
      <c r="M344" s="56"/>
      <c r="N344" s="56"/>
      <c r="O344" s="56"/>
      <c r="P344" s="56"/>
      <c r="Q344" s="56"/>
      <c r="R344" s="56"/>
      <c r="S344" s="56"/>
      <c r="T344" s="56"/>
      <c r="U344" s="56"/>
      <c r="V344" s="56"/>
      <c r="W344" s="56"/>
      <c r="X344" s="56"/>
      <c r="Y344" s="56"/>
      <c r="Z344" s="56"/>
      <c r="AA344" s="56"/>
      <c r="AB344" s="56"/>
    </row>
    <row r="345">
      <c r="A345" s="75"/>
      <c r="B345" s="69"/>
      <c r="C345" s="60"/>
      <c r="D345" s="61"/>
      <c r="E345" s="69"/>
      <c r="F345" s="60"/>
      <c r="G345" s="60"/>
      <c r="H345" s="60"/>
      <c r="I345" s="60"/>
      <c r="J345" s="60"/>
      <c r="K345" s="56"/>
      <c r="L345" s="56"/>
      <c r="M345" s="56"/>
      <c r="N345" s="56"/>
      <c r="O345" s="56"/>
      <c r="P345" s="56"/>
      <c r="Q345" s="56"/>
      <c r="R345" s="56"/>
      <c r="S345" s="56"/>
      <c r="T345" s="56"/>
      <c r="U345" s="56"/>
      <c r="V345" s="56"/>
      <c r="W345" s="56"/>
      <c r="X345" s="56"/>
      <c r="Y345" s="56"/>
      <c r="Z345" s="56"/>
      <c r="AA345" s="56"/>
      <c r="AB345" s="56"/>
    </row>
    <row r="346">
      <c r="A346" s="75"/>
      <c r="B346" s="69"/>
      <c r="C346" s="60"/>
      <c r="D346" s="61"/>
      <c r="E346" s="69"/>
      <c r="F346" s="60"/>
      <c r="G346" s="60"/>
      <c r="H346" s="60"/>
      <c r="I346" s="60"/>
      <c r="J346" s="60"/>
      <c r="K346" s="56"/>
      <c r="L346" s="56"/>
      <c r="M346" s="56"/>
      <c r="N346" s="56"/>
      <c r="O346" s="56"/>
      <c r="P346" s="56"/>
      <c r="Q346" s="56"/>
      <c r="R346" s="56"/>
      <c r="S346" s="56"/>
      <c r="T346" s="56"/>
      <c r="U346" s="56"/>
      <c r="V346" s="56"/>
      <c r="W346" s="56"/>
      <c r="X346" s="56"/>
      <c r="Y346" s="56"/>
      <c r="Z346" s="56"/>
      <c r="AA346" s="56"/>
      <c r="AB346" s="56"/>
    </row>
    <row r="347">
      <c r="A347" s="75"/>
      <c r="B347" s="69"/>
      <c r="C347" s="60"/>
      <c r="D347" s="61"/>
      <c r="E347" s="69"/>
      <c r="F347" s="60"/>
      <c r="G347" s="60"/>
      <c r="H347" s="60"/>
      <c r="I347" s="60"/>
      <c r="J347" s="60"/>
      <c r="K347" s="56"/>
      <c r="L347" s="56"/>
      <c r="M347" s="56"/>
      <c r="N347" s="56"/>
      <c r="O347" s="56"/>
      <c r="P347" s="56"/>
      <c r="Q347" s="56"/>
      <c r="R347" s="56"/>
      <c r="S347" s="56"/>
      <c r="T347" s="56"/>
      <c r="U347" s="56"/>
      <c r="V347" s="56"/>
      <c r="W347" s="56"/>
      <c r="X347" s="56"/>
      <c r="Y347" s="56"/>
      <c r="Z347" s="56"/>
      <c r="AA347" s="56"/>
      <c r="AB347" s="56"/>
    </row>
    <row r="348">
      <c r="A348" s="75"/>
      <c r="B348" s="69"/>
      <c r="C348" s="60"/>
      <c r="D348" s="61"/>
      <c r="E348" s="69"/>
      <c r="F348" s="60"/>
      <c r="G348" s="60"/>
      <c r="H348" s="60"/>
      <c r="I348" s="60"/>
      <c r="J348" s="60"/>
      <c r="K348" s="56"/>
      <c r="L348" s="56"/>
      <c r="M348" s="56"/>
      <c r="N348" s="56"/>
      <c r="O348" s="56"/>
      <c r="P348" s="56"/>
      <c r="Q348" s="56"/>
      <c r="R348" s="56"/>
      <c r="S348" s="56"/>
      <c r="T348" s="56"/>
      <c r="U348" s="56"/>
      <c r="V348" s="56"/>
      <c r="W348" s="56"/>
      <c r="X348" s="56"/>
      <c r="Y348" s="56"/>
      <c r="Z348" s="56"/>
      <c r="AA348" s="56"/>
      <c r="AB348" s="56"/>
    </row>
    <row r="349">
      <c r="A349" s="75"/>
      <c r="B349" s="69"/>
      <c r="C349" s="60"/>
      <c r="D349" s="61"/>
      <c r="E349" s="69"/>
      <c r="F349" s="60"/>
      <c r="G349" s="60"/>
      <c r="H349" s="60"/>
      <c r="I349" s="60"/>
      <c r="J349" s="60"/>
      <c r="K349" s="56"/>
      <c r="L349" s="56"/>
      <c r="M349" s="56"/>
      <c r="N349" s="56"/>
      <c r="O349" s="56"/>
      <c r="P349" s="56"/>
      <c r="Q349" s="56"/>
      <c r="R349" s="56"/>
      <c r="S349" s="56"/>
      <c r="T349" s="56"/>
      <c r="U349" s="56"/>
      <c r="V349" s="56"/>
      <c r="W349" s="56"/>
      <c r="X349" s="56"/>
      <c r="Y349" s="56"/>
      <c r="Z349" s="56"/>
      <c r="AA349" s="56"/>
      <c r="AB349" s="56"/>
    </row>
    <row r="350">
      <c r="A350" s="75"/>
      <c r="B350" s="69"/>
      <c r="C350" s="60"/>
      <c r="D350" s="61"/>
      <c r="E350" s="69"/>
      <c r="F350" s="60"/>
      <c r="G350" s="60"/>
      <c r="H350" s="60"/>
      <c r="I350" s="60"/>
      <c r="J350" s="60"/>
      <c r="K350" s="56"/>
      <c r="L350" s="56"/>
      <c r="M350" s="56"/>
      <c r="N350" s="56"/>
      <c r="O350" s="56"/>
      <c r="P350" s="56"/>
      <c r="Q350" s="56"/>
      <c r="R350" s="56"/>
      <c r="S350" s="56"/>
      <c r="T350" s="56"/>
      <c r="U350" s="56"/>
      <c r="V350" s="56"/>
      <c r="W350" s="56"/>
      <c r="X350" s="56"/>
      <c r="Y350" s="56"/>
      <c r="Z350" s="56"/>
      <c r="AA350" s="56"/>
      <c r="AB350" s="56"/>
    </row>
    <row r="351">
      <c r="A351" s="75"/>
      <c r="B351" s="69"/>
      <c r="C351" s="60"/>
      <c r="D351" s="61"/>
      <c r="E351" s="69"/>
      <c r="F351" s="60"/>
      <c r="G351" s="60"/>
      <c r="H351" s="60"/>
      <c r="I351" s="60"/>
      <c r="J351" s="60"/>
      <c r="K351" s="56"/>
      <c r="L351" s="56"/>
      <c r="M351" s="56"/>
      <c r="N351" s="56"/>
      <c r="O351" s="56"/>
      <c r="P351" s="56"/>
      <c r="Q351" s="56"/>
      <c r="R351" s="56"/>
      <c r="S351" s="56"/>
      <c r="T351" s="56"/>
      <c r="U351" s="56"/>
      <c r="V351" s="56"/>
      <c r="W351" s="56"/>
      <c r="X351" s="56"/>
      <c r="Y351" s="56"/>
      <c r="Z351" s="56"/>
      <c r="AA351" s="56"/>
      <c r="AB351" s="56"/>
    </row>
    <row r="352">
      <c r="A352" s="75"/>
      <c r="B352" s="69"/>
      <c r="C352" s="60"/>
      <c r="D352" s="61"/>
      <c r="E352" s="69"/>
      <c r="F352" s="60"/>
      <c r="G352" s="60"/>
      <c r="H352" s="60"/>
      <c r="I352" s="60"/>
      <c r="J352" s="60"/>
      <c r="K352" s="56"/>
      <c r="L352" s="56"/>
      <c r="M352" s="56"/>
      <c r="N352" s="56"/>
      <c r="O352" s="56"/>
      <c r="P352" s="56"/>
      <c r="Q352" s="56"/>
      <c r="R352" s="56"/>
      <c r="S352" s="56"/>
      <c r="T352" s="56"/>
      <c r="U352" s="56"/>
      <c r="V352" s="56"/>
      <c r="W352" s="56"/>
      <c r="X352" s="56"/>
      <c r="Y352" s="56"/>
      <c r="Z352" s="56"/>
      <c r="AA352" s="56"/>
      <c r="AB352" s="56"/>
    </row>
    <row r="353">
      <c r="A353" s="75"/>
      <c r="B353" s="69"/>
      <c r="C353" s="60"/>
      <c r="D353" s="61"/>
      <c r="E353" s="69"/>
      <c r="F353" s="60"/>
      <c r="G353" s="60"/>
      <c r="H353" s="60"/>
      <c r="I353" s="60"/>
      <c r="J353" s="60"/>
      <c r="K353" s="56"/>
      <c r="L353" s="56"/>
      <c r="M353" s="56"/>
      <c r="N353" s="56"/>
      <c r="O353" s="56"/>
      <c r="P353" s="56"/>
      <c r="Q353" s="56"/>
      <c r="R353" s="56"/>
      <c r="S353" s="56"/>
      <c r="T353" s="56"/>
      <c r="U353" s="56"/>
      <c r="V353" s="56"/>
      <c r="W353" s="56"/>
      <c r="X353" s="56"/>
      <c r="Y353" s="56"/>
      <c r="Z353" s="56"/>
      <c r="AA353" s="56"/>
      <c r="AB353" s="56"/>
    </row>
    <row r="354">
      <c r="A354" s="75"/>
      <c r="B354" s="69"/>
      <c r="C354" s="60"/>
      <c r="D354" s="61"/>
      <c r="E354" s="69"/>
      <c r="F354" s="60"/>
      <c r="G354" s="60"/>
      <c r="H354" s="60"/>
      <c r="I354" s="60"/>
      <c r="J354" s="60"/>
      <c r="K354" s="56"/>
      <c r="L354" s="56"/>
      <c r="M354" s="56"/>
      <c r="N354" s="56"/>
      <c r="O354" s="56"/>
      <c r="P354" s="56"/>
      <c r="Q354" s="56"/>
      <c r="R354" s="56"/>
      <c r="S354" s="56"/>
      <c r="T354" s="56"/>
      <c r="U354" s="56"/>
      <c r="V354" s="56"/>
      <c r="W354" s="56"/>
      <c r="X354" s="56"/>
      <c r="Y354" s="56"/>
      <c r="Z354" s="56"/>
      <c r="AA354" s="56"/>
      <c r="AB354" s="56"/>
    </row>
    <row r="355">
      <c r="A355" s="75"/>
      <c r="B355" s="69"/>
      <c r="C355" s="60"/>
      <c r="D355" s="61"/>
      <c r="E355" s="69"/>
      <c r="F355" s="60"/>
      <c r="G355" s="60"/>
      <c r="H355" s="60"/>
      <c r="I355" s="60"/>
      <c r="J355" s="60"/>
      <c r="K355" s="56"/>
      <c r="L355" s="56"/>
      <c r="M355" s="56"/>
      <c r="N355" s="56"/>
      <c r="O355" s="56"/>
      <c r="P355" s="56"/>
      <c r="Q355" s="56"/>
      <c r="R355" s="56"/>
      <c r="S355" s="56"/>
      <c r="T355" s="56"/>
      <c r="U355" s="56"/>
      <c r="V355" s="56"/>
      <c r="W355" s="56"/>
      <c r="X355" s="56"/>
      <c r="Y355" s="56"/>
      <c r="Z355" s="56"/>
      <c r="AA355" s="56"/>
      <c r="AB355" s="56"/>
    </row>
    <row r="356">
      <c r="A356" s="75"/>
      <c r="B356" s="69"/>
      <c r="C356" s="60"/>
      <c r="D356" s="61"/>
      <c r="E356" s="69"/>
      <c r="F356" s="60"/>
      <c r="G356" s="60"/>
      <c r="H356" s="60"/>
      <c r="I356" s="60"/>
      <c r="J356" s="60"/>
      <c r="K356" s="56"/>
      <c r="L356" s="56"/>
      <c r="M356" s="56"/>
      <c r="N356" s="56"/>
      <c r="O356" s="56"/>
      <c r="P356" s="56"/>
      <c r="Q356" s="56"/>
      <c r="R356" s="56"/>
      <c r="S356" s="56"/>
      <c r="T356" s="56"/>
      <c r="U356" s="56"/>
      <c r="V356" s="56"/>
      <c r="W356" s="56"/>
      <c r="X356" s="56"/>
      <c r="Y356" s="56"/>
      <c r="Z356" s="56"/>
      <c r="AA356" s="56"/>
      <c r="AB356" s="56"/>
    </row>
    <row r="357">
      <c r="A357" s="75"/>
      <c r="B357" s="69"/>
      <c r="C357" s="60"/>
      <c r="D357" s="61"/>
      <c r="E357" s="69"/>
      <c r="F357" s="60"/>
      <c r="G357" s="60"/>
      <c r="H357" s="60"/>
      <c r="I357" s="60"/>
      <c r="J357" s="60"/>
      <c r="K357" s="56"/>
      <c r="L357" s="56"/>
      <c r="M357" s="56"/>
      <c r="N357" s="56"/>
      <c r="O357" s="56"/>
      <c r="P357" s="56"/>
      <c r="Q357" s="56"/>
      <c r="R357" s="56"/>
      <c r="S357" s="56"/>
      <c r="T357" s="56"/>
      <c r="U357" s="56"/>
      <c r="V357" s="56"/>
      <c r="W357" s="56"/>
      <c r="X357" s="56"/>
      <c r="Y357" s="56"/>
      <c r="Z357" s="56"/>
      <c r="AA357" s="56"/>
      <c r="AB357" s="56"/>
    </row>
    <row r="358">
      <c r="A358" s="75"/>
      <c r="B358" s="69"/>
      <c r="C358" s="60"/>
      <c r="D358" s="61"/>
      <c r="E358" s="69"/>
      <c r="F358" s="60"/>
      <c r="G358" s="60"/>
      <c r="H358" s="60"/>
      <c r="I358" s="60"/>
      <c r="J358" s="60"/>
      <c r="K358" s="56"/>
      <c r="L358" s="56"/>
      <c r="M358" s="56"/>
      <c r="N358" s="56"/>
      <c r="O358" s="56"/>
      <c r="P358" s="56"/>
      <c r="Q358" s="56"/>
      <c r="R358" s="56"/>
      <c r="S358" s="56"/>
      <c r="T358" s="56"/>
      <c r="U358" s="56"/>
      <c r="V358" s="56"/>
      <c r="W358" s="56"/>
      <c r="X358" s="56"/>
      <c r="Y358" s="56"/>
      <c r="Z358" s="56"/>
      <c r="AA358" s="56"/>
      <c r="AB358" s="56"/>
    </row>
    <row r="359">
      <c r="A359" s="75"/>
      <c r="B359" s="69"/>
      <c r="C359" s="60"/>
      <c r="D359" s="61"/>
      <c r="E359" s="69"/>
      <c r="F359" s="60"/>
      <c r="G359" s="60"/>
      <c r="H359" s="60"/>
      <c r="I359" s="60"/>
      <c r="J359" s="60"/>
      <c r="K359" s="56"/>
      <c r="L359" s="56"/>
      <c r="M359" s="56"/>
      <c r="N359" s="56"/>
      <c r="O359" s="56"/>
      <c r="P359" s="56"/>
      <c r="Q359" s="56"/>
      <c r="R359" s="56"/>
      <c r="S359" s="56"/>
      <c r="T359" s="56"/>
      <c r="U359" s="56"/>
      <c r="V359" s="56"/>
      <c r="W359" s="56"/>
      <c r="X359" s="56"/>
      <c r="Y359" s="56"/>
      <c r="Z359" s="56"/>
      <c r="AA359" s="56"/>
      <c r="AB359" s="56"/>
    </row>
    <row r="360">
      <c r="A360" s="75"/>
      <c r="B360" s="69"/>
      <c r="C360" s="60"/>
      <c r="D360" s="61"/>
      <c r="E360" s="69"/>
      <c r="F360" s="60"/>
      <c r="G360" s="60"/>
      <c r="H360" s="60"/>
      <c r="I360" s="60"/>
      <c r="J360" s="60"/>
      <c r="K360" s="56"/>
      <c r="L360" s="56"/>
      <c r="M360" s="56"/>
      <c r="N360" s="56"/>
      <c r="O360" s="56"/>
      <c r="P360" s="56"/>
      <c r="Q360" s="56"/>
      <c r="R360" s="56"/>
      <c r="S360" s="56"/>
      <c r="T360" s="56"/>
      <c r="U360" s="56"/>
      <c r="V360" s="56"/>
      <c r="W360" s="56"/>
      <c r="X360" s="56"/>
      <c r="Y360" s="56"/>
      <c r="Z360" s="56"/>
      <c r="AA360" s="56"/>
      <c r="AB360" s="56"/>
    </row>
    <row r="361">
      <c r="A361" s="75"/>
      <c r="B361" s="69"/>
      <c r="C361" s="60"/>
      <c r="D361" s="61"/>
      <c r="E361" s="69"/>
      <c r="F361" s="60"/>
      <c r="G361" s="60"/>
      <c r="H361" s="60"/>
      <c r="I361" s="60"/>
      <c r="J361" s="60"/>
      <c r="K361" s="56"/>
      <c r="L361" s="56"/>
      <c r="M361" s="56"/>
      <c r="N361" s="56"/>
      <c r="O361" s="56"/>
      <c r="P361" s="56"/>
      <c r="Q361" s="56"/>
      <c r="R361" s="56"/>
      <c r="S361" s="56"/>
      <c r="T361" s="56"/>
      <c r="U361" s="56"/>
      <c r="V361" s="56"/>
      <c r="W361" s="56"/>
      <c r="X361" s="56"/>
      <c r="Y361" s="56"/>
      <c r="Z361" s="56"/>
      <c r="AA361" s="56"/>
      <c r="AB361" s="56"/>
    </row>
    <row r="362">
      <c r="A362" s="75"/>
      <c r="B362" s="69"/>
      <c r="C362" s="60"/>
      <c r="D362" s="61"/>
      <c r="E362" s="69"/>
      <c r="F362" s="60"/>
      <c r="G362" s="60"/>
      <c r="H362" s="60"/>
      <c r="I362" s="60"/>
      <c r="J362" s="60"/>
      <c r="K362" s="56"/>
      <c r="L362" s="56"/>
      <c r="M362" s="56"/>
      <c r="N362" s="56"/>
      <c r="O362" s="56"/>
      <c r="P362" s="56"/>
      <c r="Q362" s="56"/>
      <c r="R362" s="56"/>
      <c r="S362" s="56"/>
      <c r="T362" s="56"/>
      <c r="U362" s="56"/>
      <c r="V362" s="56"/>
      <c r="W362" s="56"/>
      <c r="X362" s="56"/>
      <c r="Y362" s="56"/>
      <c r="Z362" s="56"/>
      <c r="AA362" s="56"/>
      <c r="AB362" s="56"/>
    </row>
    <row r="363">
      <c r="A363" s="75"/>
      <c r="B363" s="69"/>
      <c r="C363" s="60"/>
      <c r="D363" s="61"/>
      <c r="E363" s="69"/>
      <c r="F363" s="60"/>
      <c r="G363" s="60"/>
      <c r="H363" s="60"/>
      <c r="I363" s="60"/>
      <c r="J363" s="60"/>
      <c r="K363" s="56"/>
      <c r="L363" s="56"/>
      <c r="M363" s="56"/>
      <c r="N363" s="56"/>
      <c r="O363" s="56"/>
      <c r="P363" s="56"/>
      <c r="Q363" s="56"/>
      <c r="R363" s="56"/>
      <c r="S363" s="56"/>
      <c r="T363" s="56"/>
      <c r="U363" s="56"/>
      <c r="V363" s="56"/>
      <c r="W363" s="56"/>
      <c r="X363" s="56"/>
      <c r="Y363" s="56"/>
      <c r="Z363" s="56"/>
      <c r="AA363" s="56"/>
      <c r="AB363" s="56"/>
    </row>
    <row r="364">
      <c r="A364" s="75"/>
      <c r="B364" s="69"/>
      <c r="C364" s="60"/>
      <c r="D364" s="61"/>
      <c r="E364" s="69"/>
      <c r="F364" s="60"/>
      <c r="G364" s="60"/>
      <c r="H364" s="60"/>
      <c r="I364" s="60"/>
      <c r="J364" s="60"/>
      <c r="K364" s="56"/>
      <c r="L364" s="56"/>
      <c r="M364" s="56"/>
      <c r="N364" s="56"/>
      <c r="O364" s="56"/>
      <c r="P364" s="56"/>
      <c r="Q364" s="56"/>
      <c r="R364" s="56"/>
      <c r="S364" s="56"/>
      <c r="T364" s="56"/>
      <c r="U364" s="56"/>
      <c r="V364" s="56"/>
      <c r="W364" s="56"/>
      <c r="X364" s="56"/>
      <c r="Y364" s="56"/>
      <c r="Z364" s="56"/>
      <c r="AA364" s="56"/>
      <c r="AB364" s="56"/>
    </row>
    <row r="365">
      <c r="A365" s="75"/>
      <c r="B365" s="69"/>
      <c r="C365" s="60"/>
      <c r="D365" s="61"/>
      <c r="E365" s="69"/>
      <c r="F365" s="60"/>
      <c r="G365" s="60"/>
      <c r="H365" s="60"/>
      <c r="I365" s="60"/>
      <c r="J365" s="60"/>
      <c r="K365" s="56"/>
      <c r="L365" s="56"/>
      <c r="M365" s="56"/>
      <c r="N365" s="56"/>
      <c r="O365" s="56"/>
      <c r="P365" s="56"/>
      <c r="Q365" s="56"/>
      <c r="R365" s="56"/>
      <c r="S365" s="56"/>
      <c r="T365" s="56"/>
      <c r="U365" s="56"/>
      <c r="V365" s="56"/>
      <c r="W365" s="56"/>
      <c r="X365" s="56"/>
      <c r="Y365" s="56"/>
      <c r="Z365" s="56"/>
      <c r="AA365" s="56"/>
      <c r="AB365" s="56"/>
    </row>
    <row r="366">
      <c r="A366" s="75"/>
      <c r="B366" s="69"/>
      <c r="C366" s="60"/>
      <c r="D366" s="61"/>
      <c r="E366" s="69"/>
      <c r="F366" s="60"/>
      <c r="G366" s="60"/>
      <c r="H366" s="60"/>
      <c r="I366" s="60"/>
      <c r="J366" s="60"/>
      <c r="K366" s="56"/>
      <c r="L366" s="56"/>
      <c r="M366" s="56"/>
      <c r="N366" s="56"/>
      <c r="O366" s="56"/>
      <c r="P366" s="56"/>
      <c r="Q366" s="56"/>
      <c r="R366" s="56"/>
      <c r="S366" s="56"/>
      <c r="T366" s="56"/>
      <c r="U366" s="56"/>
      <c r="V366" s="56"/>
      <c r="W366" s="56"/>
      <c r="X366" s="56"/>
      <c r="Y366" s="56"/>
      <c r="Z366" s="56"/>
      <c r="AA366" s="56"/>
      <c r="AB366" s="56"/>
    </row>
    <row r="367">
      <c r="A367" s="75"/>
      <c r="B367" s="69"/>
      <c r="C367" s="60"/>
      <c r="D367" s="61"/>
      <c r="E367" s="69"/>
      <c r="F367" s="60"/>
      <c r="G367" s="60"/>
      <c r="H367" s="60"/>
      <c r="I367" s="60"/>
      <c r="J367" s="60"/>
      <c r="K367" s="56"/>
      <c r="L367" s="56"/>
      <c r="M367" s="56"/>
      <c r="N367" s="56"/>
      <c r="O367" s="56"/>
      <c r="P367" s="56"/>
      <c r="Q367" s="56"/>
      <c r="R367" s="56"/>
      <c r="S367" s="56"/>
      <c r="T367" s="56"/>
      <c r="U367" s="56"/>
      <c r="V367" s="56"/>
      <c r="W367" s="56"/>
      <c r="X367" s="56"/>
      <c r="Y367" s="56"/>
      <c r="Z367" s="56"/>
      <c r="AA367" s="56"/>
      <c r="AB367" s="56"/>
    </row>
    <row r="368">
      <c r="A368" s="75"/>
      <c r="B368" s="69"/>
      <c r="C368" s="60"/>
      <c r="D368" s="61"/>
      <c r="E368" s="69"/>
      <c r="F368" s="60"/>
      <c r="G368" s="60"/>
      <c r="H368" s="60"/>
      <c r="I368" s="60"/>
      <c r="J368" s="60"/>
      <c r="K368" s="56"/>
      <c r="L368" s="56"/>
      <c r="M368" s="56"/>
      <c r="N368" s="56"/>
      <c r="O368" s="56"/>
      <c r="P368" s="56"/>
      <c r="Q368" s="56"/>
      <c r="R368" s="56"/>
      <c r="S368" s="56"/>
      <c r="T368" s="56"/>
      <c r="U368" s="56"/>
      <c r="V368" s="56"/>
      <c r="W368" s="56"/>
      <c r="X368" s="56"/>
      <c r="Y368" s="56"/>
      <c r="Z368" s="56"/>
      <c r="AA368" s="56"/>
      <c r="AB368" s="56"/>
    </row>
    <row r="369">
      <c r="A369" s="75"/>
      <c r="B369" s="69"/>
      <c r="C369" s="60"/>
      <c r="D369" s="61"/>
      <c r="E369" s="69"/>
      <c r="F369" s="60"/>
      <c r="G369" s="60"/>
      <c r="H369" s="60"/>
      <c r="I369" s="60"/>
      <c r="J369" s="60"/>
      <c r="K369" s="56"/>
      <c r="L369" s="56"/>
      <c r="M369" s="56"/>
      <c r="N369" s="56"/>
      <c r="O369" s="56"/>
      <c r="P369" s="56"/>
      <c r="Q369" s="56"/>
      <c r="R369" s="56"/>
      <c r="S369" s="56"/>
      <c r="T369" s="56"/>
      <c r="U369" s="56"/>
      <c r="V369" s="56"/>
      <c r="W369" s="56"/>
      <c r="X369" s="56"/>
      <c r="Y369" s="56"/>
      <c r="Z369" s="56"/>
      <c r="AA369" s="56"/>
      <c r="AB369" s="56"/>
    </row>
    <row r="370">
      <c r="A370" s="75"/>
      <c r="B370" s="69"/>
      <c r="C370" s="60"/>
      <c r="D370" s="61"/>
      <c r="E370" s="69"/>
      <c r="F370" s="60"/>
      <c r="G370" s="60"/>
      <c r="H370" s="60"/>
      <c r="I370" s="60"/>
      <c r="J370" s="60"/>
      <c r="K370" s="56"/>
      <c r="L370" s="56"/>
      <c r="M370" s="56"/>
      <c r="N370" s="56"/>
      <c r="O370" s="56"/>
      <c r="P370" s="56"/>
      <c r="Q370" s="56"/>
      <c r="R370" s="56"/>
      <c r="S370" s="56"/>
      <c r="T370" s="56"/>
      <c r="U370" s="56"/>
      <c r="V370" s="56"/>
      <c r="W370" s="56"/>
      <c r="X370" s="56"/>
      <c r="Y370" s="56"/>
      <c r="Z370" s="56"/>
      <c r="AA370" s="56"/>
      <c r="AB370" s="56"/>
    </row>
    <row r="371">
      <c r="A371" s="75"/>
      <c r="B371" s="69"/>
      <c r="C371" s="60"/>
      <c r="D371" s="61"/>
      <c r="E371" s="69"/>
      <c r="F371" s="60"/>
      <c r="G371" s="60"/>
      <c r="H371" s="60"/>
      <c r="I371" s="60"/>
      <c r="J371" s="60"/>
      <c r="K371" s="56"/>
      <c r="L371" s="56"/>
      <c r="M371" s="56"/>
      <c r="N371" s="56"/>
      <c r="O371" s="56"/>
      <c r="P371" s="56"/>
      <c r="Q371" s="56"/>
      <c r="R371" s="56"/>
      <c r="S371" s="56"/>
      <c r="T371" s="56"/>
      <c r="U371" s="56"/>
      <c r="V371" s="56"/>
      <c r="W371" s="56"/>
      <c r="X371" s="56"/>
      <c r="Y371" s="56"/>
      <c r="Z371" s="56"/>
      <c r="AA371" s="56"/>
      <c r="AB371" s="56"/>
    </row>
    <row r="372">
      <c r="A372" s="75"/>
      <c r="B372" s="69"/>
      <c r="C372" s="60"/>
      <c r="D372" s="61"/>
      <c r="E372" s="69"/>
      <c r="F372" s="60"/>
      <c r="G372" s="60"/>
      <c r="H372" s="60"/>
      <c r="I372" s="60"/>
      <c r="J372" s="60"/>
      <c r="K372" s="56"/>
      <c r="L372" s="56"/>
      <c r="M372" s="56"/>
      <c r="N372" s="56"/>
      <c r="O372" s="56"/>
      <c r="P372" s="56"/>
      <c r="Q372" s="56"/>
      <c r="R372" s="56"/>
      <c r="S372" s="56"/>
      <c r="T372" s="56"/>
      <c r="U372" s="56"/>
      <c r="V372" s="56"/>
      <c r="W372" s="56"/>
      <c r="X372" s="56"/>
      <c r="Y372" s="56"/>
      <c r="Z372" s="56"/>
      <c r="AA372" s="56"/>
      <c r="AB372" s="56"/>
    </row>
    <row r="373">
      <c r="A373" s="75"/>
      <c r="B373" s="69"/>
      <c r="C373" s="60"/>
      <c r="D373" s="61"/>
      <c r="E373" s="69"/>
      <c r="F373" s="60"/>
      <c r="G373" s="60"/>
      <c r="H373" s="60"/>
      <c r="I373" s="60"/>
      <c r="J373" s="60"/>
      <c r="K373" s="56"/>
      <c r="L373" s="56"/>
      <c r="M373" s="56"/>
      <c r="N373" s="56"/>
      <c r="O373" s="56"/>
      <c r="P373" s="56"/>
      <c r="Q373" s="56"/>
      <c r="R373" s="56"/>
      <c r="S373" s="56"/>
      <c r="T373" s="56"/>
      <c r="U373" s="56"/>
      <c r="V373" s="56"/>
      <c r="W373" s="56"/>
      <c r="X373" s="56"/>
      <c r="Y373" s="56"/>
      <c r="Z373" s="56"/>
      <c r="AA373" s="56"/>
      <c r="AB373" s="56"/>
    </row>
    <row r="374">
      <c r="A374" s="75"/>
      <c r="B374" s="69"/>
      <c r="C374" s="60"/>
      <c r="D374" s="61"/>
      <c r="E374" s="69"/>
      <c r="F374" s="60"/>
      <c r="G374" s="60"/>
      <c r="H374" s="60"/>
      <c r="I374" s="60"/>
      <c r="J374" s="60"/>
      <c r="K374" s="56"/>
      <c r="L374" s="56"/>
      <c r="M374" s="56"/>
      <c r="N374" s="56"/>
      <c r="O374" s="56"/>
      <c r="P374" s="56"/>
      <c r="Q374" s="56"/>
      <c r="R374" s="56"/>
      <c r="S374" s="56"/>
      <c r="T374" s="56"/>
      <c r="U374" s="56"/>
      <c r="V374" s="56"/>
      <c r="W374" s="56"/>
      <c r="X374" s="56"/>
      <c r="Y374" s="56"/>
      <c r="Z374" s="56"/>
      <c r="AA374" s="56"/>
      <c r="AB374" s="56"/>
    </row>
    <row r="375">
      <c r="A375" s="75"/>
      <c r="B375" s="69"/>
      <c r="C375" s="60"/>
      <c r="D375" s="61"/>
      <c r="E375" s="69"/>
      <c r="F375" s="60"/>
      <c r="G375" s="60"/>
      <c r="H375" s="60"/>
      <c r="I375" s="60"/>
      <c r="J375" s="60"/>
      <c r="K375" s="56"/>
      <c r="L375" s="56"/>
      <c r="M375" s="56"/>
      <c r="N375" s="56"/>
      <c r="O375" s="56"/>
      <c r="P375" s="56"/>
      <c r="Q375" s="56"/>
      <c r="R375" s="56"/>
      <c r="S375" s="56"/>
      <c r="T375" s="56"/>
      <c r="U375" s="56"/>
      <c r="V375" s="56"/>
      <c r="W375" s="56"/>
      <c r="X375" s="56"/>
      <c r="Y375" s="56"/>
      <c r="Z375" s="56"/>
      <c r="AA375" s="56"/>
      <c r="AB375" s="56"/>
    </row>
    <row r="376">
      <c r="A376" s="75"/>
      <c r="B376" s="69"/>
      <c r="C376" s="60"/>
      <c r="D376" s="61"/>
      <c r="E376" s="69"/>
      <c r="F376" s="60"/>
      <c r="G376" s="60"/>
      <c r="H376" s="60"/>
      <c r="I376" s="60"/>
      <c r="J376" s="60"/>
      <c r="K376" s="56"/>
      <c r="L376" s="56"/>
      <c r="M376" s="56"/>
      <c r="N376" s="56"/>
      <c r="O376" s="56"/>
      <c r="P376" s="56"/>
      <c r="Q376" s="56"/>
      <c r="R376" s="56"/>
      <c r="S376" s="56"/>
      <c r="T376" s="56"/>
      <c r="U376" s="56"/>
      <c r="V376" s="56"/>
      <c r="W376" s="56"/>
      <c r="X376" s="56"/>
      <c r="Y376" s="56"/>
      <c r="Z376" s="56"/>
      <c r="AA376" s="56"/>
      <c r="AB376" s="56"/>
    </row>
    <row r="377">
      <c r="A377" s="75"/>
      <c r="B377" s="69"/>
      <c r="C377" s="60"/>
      <c r="D377" s="61"/>
      <c r="E377" s="69"/>
      <c r="F377" s="60"/>
      <c r="G377" s="60"/>
      <c r="H377" s="60"/>
      <c r="I377" s="60"/>
      <c r="J377" s="60"/>
      <c r="K377" s="56"/>
      <c r="L377" s="56"/>
      <c r="M377" s="56"/>
      <c r="N377" s="56"/>
      <c r="O377" s="56"/>
      <c r="P377" s="56"/>
      <c r="Q377" s="56"/>
      <c r="R377" s="56"/>
      <c r="S377" s="56"/>
      <c r="T377" s="56"/>
      <c r="U377" s="56"/>
      <c r="V377" s="56"/>
      <c r="W377" s="56"/>
      <c r="X377" s="56"/>
      <c r="Y377" s="56"/>
      <c r="Z377" s="56"/>
      <c r="AA377" s="56"/>
      <c r="AB377" s="56"/>
    </row>
    <row r="378">
      <c r="A378" s="75"/>
      <c r="B378" s="69"/>
      <c r="C378" s="60"/>
      <c r="D378" s="61"/>
      <c r="E378" s="69"/>
      <c r="F378" s="60"/>
      <c r="G378" s="60"/>
      <c r="H378" s="60"/>
      <c r="I378" s="60"/>
      <c r="J378" s="60"/>
      <c r="K378" s="56"/>
      <c r="L378" s="56"/>
      <c r="M378" s="56"/>
      <c r="N378" s="56"/>
      <c r="O378" s="56"/>
      <c r="P378" s="56"/>
      <c r="Q378" s="56"/>
      <c r="R378" s="56"/>
      <c r="S378" s="56"/>
      <c r="T378" s="56"/>
      <c r="U378" s="56"/>
      <c r="V378" s="56"/>
      <c r="W378" s="56"/>
      <c r="X378" s="56"/>
      <c r="Y378" s="56"/>
      <c r="Z378" s="56"/>
      <c r="AA378" s="56"/>
      <c r="AB378" s="56"/>
    </row>
    <row r="379">
      <c r="A379" s="75"/>
      <c r="B379" s="69"/>
      <c r="C379" s="60"/>
      <c r="D379" s="61"/>
      <c r="E379" s="69"/>
      <c r="F379" s="60"/>
      <c r="G379" s="60"/>
      <c r="H379" s="60"/>
      <c r="I379" s="60"/>
      <c r="J379" s="60"/>
      <c r="K379" s="56"/>
      <c r="L379" s="56"/>
      <c r="M379" s="56"/>
      <c r="N379" s="56"/>
      <c r="O379" s="56"/>
      <c r="P379" s="56"/>
      <c r="Q379" s="56"/>
      <c r="R379" s="56"/>
      <c r="S379" s="56"/>
      <c r="T379" s="56"/>
      <c r="U379" s="56"/>
      <c r="V379" s="56"/>
      <c r="W379" s="56"/>
      <c r="X379" s="56"/>
      <c r="Y379" s="56"/>
      <c r="Z379" s="56"/>
      <c r="AA379" s="56"/>
      <c r="AB379" s="56"/>
    </row>
    <row r="380">
      <c r="A380" s="75"/>
      <c r="B380" s="69"/>
      <c r="C380" s="60"/>
      <c r="D380" s="61"/>
      <c r="E380" s="69"/>
      <c r="F380" s="60"/>
      <c r="G380" s="60"/>
      <c r="H380" s="60"/>
      <c r="I380" s="60"/>
      <c r="J380" s="60"/>
      <c r="K380" s="56"/>
      <c r="L380" s="56"/>
      <c r="M380" s="56"/>
      <c r="N380" s="56"/>
      <c r="O380" s="56"/>
      <c r="P380" s="56"/>
      <c r="Q380" s="56"/>
      <c r="R380" s="56"/>
      <c r="S380" s="56"/>
      <c r="T380" s="56"/>
      <c r="U380" s="56"/>
      <c r="V380" s="56"/>
      <c r="W380" s="56"/>
      <c r="X380" s="56"/>
      <c r="Y380" s="56"/>
      <c r="Z380" s="56"/>
      <c r="AA380" s="56"/>
      <c r="AB380" s="56"/>
    </row>
    <row r="381">
      <c r="A381" s="75"/>
      <c r="B381" s="69"/>
      <c r="C381" s="60"/>
      <c r="D381" s="61"/>
      <c r="E381" s="69"/>
      <c r="F381" s="60"/>
      <c r="G381" s="60"/>
      <c r="H381" s="60"/>
      <c r="I381" s="60"/>
      <c r="J381" s="60"/>
      <c r="K381" s="56"/>
      <c r="L381" s="56"/>
      <c r="M381" s="56"/>
      <c r="N381" s="56"/>
      <c r="O381" s="56"/>
      <c r="P381" s="56"/>
      <c r="Q381" s="56"/>
      <c r="R381" s="56"/>
      <c r="S381" s="56"/>
      <c r="T381" s="56"/>
      <c r="U381" s="56"/>
      <c r="V381" s="56"/>
      <c r="W381" s="56"/>
      <c r="X381" s="56"/>
      <c r="Y381" s="56"/>
      <c r="Z381" s="56"/>
      <c r="AA381" s="56"/>
      <c r="AB381" s="56"/>
    </row>
    <row r="382">
      <c r="A382" s="75"/>
      <c r="B382" s="69"/>
      <c r="C382" s="60"/>
      <c r="D382" s="61"/>
      <c r="E382" s="69"/>
      <c r="F382" s="60"/>
      <c r="G382" s="60"/>
      <c r="H382" s="60"/>
      <c r="I382" s="60"/>
      <c r="J382" s="60"/>
      <c r="K382" s="56"/>
      <c r="L382" s="56"/>
      <c r="M382" s="56"/>
      <c r="N382" s="56"/>
      <c r="O382" s="56"/>
      <c r="P382" s="56"/>
      <c r="Q382" s="56"/>
      <c r="R382" s="56"/>
      <c r="S382" s="56"/>
      <c r="T382" s="56"/>
      <c r="U382" s="56"/>
      <c r="V382" s="56"/>
      <c r="W382" s="56"/>
      <c r="X382" s="56"/>
      <c r="Y382" s="56"/>
      <c r="Z382" s="56"/>
      <c r="AA382" s="56"/>
      <c r="AB382" s="56"/>
    </row>
    <row r="383">
      <c r="A383" s="75"/>
      <c r="B383" s="69"/>
      <c r="C383" s="60"/>
      <c r="D383" s="61"/>
      <c r="E383" s="69"/>
      <c r="F383" s="60"/>
      <c r="G383" s="60"/>
      <c r="H383" s="60"/>
      <c r="I383" s="60"/>
      <c r="J383" s="60"/>
      <c r="K383" s="56"/>
      <c r="L383" s="56"/>
      <c r="M383" s="56"/>
      <c r="N383" s="56"/>
      <c r="O383" s="56"/>
      <c r="P383" s="56"/>
      <c r="Q383" s="56"/>
      <c r="R383" s="56"/>
      <c r="S383" s="56"/>
      <c r="T383" s="56"/>
      <c r="U383" s="56"/>
      <c r="V383" s="56"/>
      <c r="W383" s="56"/>
      <c r="X383" s="56"/>
      <c r="Y383" s="56"/>
      <c r="Z383" s="56"/>
      <c r="AA383" s="56"/>
      <c r="AB383" s="56"/>
    </row>
    <row r="384">
      <c r="A384" s="75"/>
      <c r="B384" s="69"/>
      <c r="C384" s="60"/>
      <c r="D384" s="61"/>
      <c r="E384" s="69"/>
      <c r="F384" s="60"/>
      <c r="G384" s="60"/>
      <c r="H384" s="60"/>
      <c r="I384" s="60"/>
      <c r="J384" s="60"/>
      <c r="K384" s="56"/>
      <c r="L384" s="56"/>
      <c r="M384" s="56"/>
      <c r="N384" s="56"/>
      <c r="O384" s="56"/>
      <c r="P384" s="56"/>
      <c r="Q384" s="56"/>
      <c r="R384" s="56"/>
      <c r="S384" s="56"/>
      <c r="T384" s="56"/>
      <c r="U384" s="56"/>
      <c r="V384" s="56"/>
      <c r="W384" s="56"/>
      <c r="X384" s="56"/>
      <c r="Y384" s="56"/>
      <c r="Z384" s="56"/>
      <c r="AA384" s="56"/>
      <c r="AB384" s="56"/>
    </row>
    <row r="385">
      <c r="A385" s="75"/>
      <c r="B385" s="69"/>
      <c r="C385" s="60"/>
      <c r="D385" s="61"/>
      <c r="E385" s="69"/>
      <c r="F385" s="60"/>
      <c r="G385" s="60"/>
      <c r="H385" s="60"/>
      <c r="I385" s="60"/>
      <c r="J385" s="60"/>
      <c r="K385" s="56"/>
      <c r="L385" s="56"/>
      <c r="M385" s="56"/>
      <c r="N385" s="56"/>
      <c r="O385" s="56"/>
      <c r="P385" s="56"/>
      <c r="Q385" s="56"/>
      <c r="R385" s="56"/>
      <c r="S385" s="56"/>
      <c r="T385" s="56"/>
      <c r="U385" s="56"/>
      <c r="V385" s="56"/>
      <c r="W385" s="56"/>
      <c r="X385" s="56"/>
      <c r="Y385" s="56"/>
      <c r="Z385" s="56"/>
      <c r="AA385" s="56"/>
      <c r="AB385" s="56"/>
    </row>
    <row r="386">
      <c r="A386" s="75"/>
      <c r="B386" s="69"/>
      <c r="C386" s="60"/>
      <c r="D386" s="61"/>
      <c r="E386" s="69"/>
      <c r="F386" s="60"/>
      <c r="G386" s="60"/>
      <c r="H386" s="60"/>
      <c r="I386" s="60"/>
      <c r="J386" s="60"/>
      <c r="K386" s="56"/>
      <c r="L386" s="56"/>
      <c r="M386" s="56"/>
      <c r="N386" s="56"/>
      <c r="O386" s="56"/>
      <c r="P386" s="56"/>
      <c r="Q386" s="56"/>
      <c r="R386" s="56"/>
      <c r="S386" s="56"/>
      <c r="T386" s="56"/>
      <c r="U386" s="56"/>
      <c r="V386" s="56"/>
      <c r="W386" s="56"/>
      <c r="X386" s="56"/>
      <c r="Y386" s="56"/>
      <c r="Z386" s="56"/>
      <c r="AA386" s="56"/>
      <c r="AB386" s="56"/>
    </row>
    <row r="387">
      <c r="A387" s="75"/>
      <c r="B387" s="69"/>
      <c r="C387" s="60"/>
      <c r="D387" s="61"/>
      <c r="E387" s="69"/>
      <c r="F387" s="60"/>
      <c r="G387" s="60"/>
      <c r="H387" s="60"/>
      <c r="I387" s="60"/>
      <c r="J387" s="60"/>
      <c r="K387" s="56"/>
      <c r="L387" s="56"/>
      <c r="M387" s="56"/>
      <c r="N387" s="56"/>
      <c r="O387" s="56"/>
      <c r="P387" s="56"/>
      <c r="Q387" s="56"/>
      <c r="R387" s="56"/>
      <c r="S387" s="56"/>
      <c r="T387" s="56"/>
      <c r="U387" s="56"/>
      <c r="V387" s="56"/>
      <c r="W387" s="56"/>
      <c r="X387" s="56"/>
      <c r="Y387" s="56"/>
      <c r="Z387" s="56"/>
      <c r="AA387" s="56"/>
      <c r="AB387" s="56"/>
    </row>
    <row r="388">
      <c r="A388" s="75"/>
      <c r="B388" s="69"/>
      <c r="C388" s="60"/>
      <c r="D388" s="61"/>
      <c r="E388" s="69"/>
      <c r="F388" s="60"/>
      <c r="G388" s="60"/>
      <c r="H388" s="60"/>
      <c r="I388" s="60"/>
      <c r="J388" s="60"/>
      <c r="K388" s="56"/>
      <c r="L388" s="56"/>
      <c r="M388" s="56"/>
      <c r="N388" s="56"/>
      <c r="O388" s="56"/>
      <c r="P388" s="56"/>
      <c r="Q388" s="56"/>
      <c r="R388" s="56"/>
      <c r="S388" s="56"/>
      <c r="T388" s="56"/>
      <c r="U388" s="56"/>
      <c r="V388" s="56"/>
      <c r="W388" s="56"/>
      <c r="X388" s="56"/>
      <c r="Y388" s="56"/>
      <c r="Z388" s="56"/>
      <c r="AA388" s="56"/>
      <c r="AB388" s="56"/>
    </row>
    <row r="389">
      <c r="A389" s="75"/>
      <c r="B389" s="69"/>
      <c r="C389" s="60"/>
      <c r="D389" s="61"/>
      <c r="E389" s="69"/>
      <c r="F389" s="60"/>
      <c r="G389" s="60"/>
      <c r="H389" s="60"/>
      <c r="I389" s="60"/>
      <c r="J389" s="60"/>
      <c r="K389" s="56"/>
      <c r="L389" s="56"/>
      <c r="M389" s="56"/>
      <c r="N389" s="56"/>
      <c r="O389" s="56"/>
      <c r="P389" s="56"/>
      <c r="Q389" s="56"/>
      <c r="R389" s="56"/>
      <c r="S389" s="56"/>
      <c r="T389" s="56"/>
      <c r="U389" s="56"/>
      <c r="V389" s="56"/>
      <c r="W389" s="56"/>
      <c r="X389" s="56"/>
      <c r="Y389" s="56"/>
      <c r="Z389" s="56"/>
      <c r="AA389" s="56"/>
      <c r="AB389" s="56"/>
    </row>
    <row r="390">
      <c r="A390" s="75"/>
      <c r="B390" s="69"/>
      <c r="C390" s="60"/>
      <c r="D390" s="61"/>
      <c r="E390" s="69"/>
      <c r="F390" s="60"/>
      <c r="G390" s="60"/>
      <c r="H390" s="60"/>
      <c r="I390" s="60"/>
      <c r="J390" s="60"/>
      <c r="K390" s="56"/>
      <c r="L390" s="56"/>
      <c r="M390" s="56"/>
      <c r="N390" s="56"/>
      <c r="O390" s="56"/>
      <c r="P390" s="56"/>
      <c r="Q390" s="56"/>
      <c r="R390" s="56"/>
      <c r="S390" s="56"/>
      <c r="T390" s="56"/>
      <c r="U390" s="56"/>
      <c r="V390" s="56"/>
      <c r="W390" s="56"/>
      <c r="X390" s="56"/>
      <c r="Y390" s="56"/>
      <c r="Z390" s="56"/>
      <c r="AA390" s="56"/>
      <c r="AB390" s="56"/>
    </row>
    <row r="391">
      <c r="A391" s="75"/>
      <c r="B391" s="69"/>
      <c r="C391" s="60"/>
      <c r="D391" s="61"/>
      <c r="E391" s="69"/>
      <c r="F391" s="60"/>
      <c r="G391" s="60"/>
      <c r="H391" s="60"/>
      <c r="I391" s="60"/>
      <c r="J391" s="60"/>
      <c r="K391" s="56"/>
      <c r="L391" s="56"/>
      <c r="M391" s="56"/>
      <c r="N391" s="56"/>
      <c r="O391" s="56"/>
      <c r="P391" s="56"/>
      <c r="Q391" s="56"/>
      <c r="R391" s="56"/>
      <c r="S391" s="56"/>
      <c r="T391" s="56"/>
      <c r="U391" s="56"/>
      <c r="V391" s="56"/>
      <c r="W391" s="56"/>
      <c r="X391" s="56"/>
      <c r="Y391" s="56"/>
      <c r="Z391" s="56"/>
      <c r="AA391" s="56"/>
      <c r="AB391" s="56"/>
    </row>
    <row r="392">
      <c r="A392" s="75"/>
      <c r="B392" s="69"/>
      <c r="C392" s="60"/>
      <c r="D392" s="61"/>
      <c r="E392" s="69"/>
      <c r="F392" s="60"/>
      <c r="G392" s="60"/>
      <c r="H392" s="60"/>
      <c r="I392" s="60"/>
      <c r="J392" s="60"/>
      <c r="K392" s="56"/>
      <c r="L392" s="56"/>
      <c r="M392" s="56"/>
      <c r="N392" s="56"/>
      <c r="O392" s="56"/>
      <c r="P392" s="56"/>
      <c r="Q392" s="56"/>
      <c r="R392" s="56"/>
      <c r="S392" s="56"/>
      <c r="T392" s="56"/>
      <c r="U392" s="56"/>
      <c r="V392" s="56"/>
      <c r="W392" s="56"/>
      <c r="X392" s="56"/>
      <c r="Y392" s="56"/>
      <c r="Z392" s="56"/>
      <c r="AA392" s="56"/>
      <c r="AB392" s="56"/>
    </row>
    <row r="393">
      <c r="A393" s="75"/>
      <c r="B393" s="69"/>
      <c r="C393" s="60"/>
      <c r="D393" s="61"/>
      <c r="E393" s="69"/>
      <c r="F393" s="60"/>
      <c r="G393" s="60"/>
      <c r="H393" s="60"/>
      <c r="I393" s="60"/>
      <c r="J393" s="60"/>
      <c r="K393" s="56"/>
      <c r="L393" s="56"/>
      <c r="M393" s="56"/>
      <c r="N393" s="56"/>
      <c r="O393" s="56"/>
      <c r="P393" s="56"/>
      <c r="Q393" s="56"/>
      <c r="R393" s="56"/>
      <c r="S393" s="56"/>
      <c r="T393" s="56"/>
      <c r="U393" s="56"/>
      <c r="V393" s="56"/>
      <c r="W393" s="56"/>
      <c r="X393" s="56"/>
      <c r="Y393" s="56"/>
      <c r="Z393" s="56"/>
      <c r="AA393" s="56"/>
      <c r="AB393" s="56"/>
    </row>
    <row r="394">
      <c r="A394" s="75"/>
      <c r="B394" s="69"/>
      <c r="C394" s="60"/>
      <c r="D394" s="61"/>
      <c r="E394" s="69"/>
      <c r="F394" s="60"/>
      <c r="G394" s="60"/>
      <c r="H394" s="60"/>
      <c r="I394" s="60"/>
      <c r="J394" s="60"/>
      <c r="K394" s="56"/>
      <c r="L394" s="56"/>
      <c r="M394" s="56"/>
      <c r="N394" s="56"/>
      <c r="O394" s="56"/>
      <c r="P394" s="56"/>
      <c r="Q394" s="56"/>
      <c r="R394" s="56"/>
      <c r="S394" s="56"/>
      <c r="T394" s="56"/>
      <c r="U394" s="56"/>
      <c r="V394" s="56"/>
      <c r="W394" s="56"/>
      <c r="X394" s="56"/>
      <c r="Y394" s="56"/>
      <c r="Z394" s="56"/>
      <c r="AA394" s="56"/>
      <c r="AB394" s="56"/>
    </row>
    <row r="395">
      <c r="A395" s="75"/>
      <c r="B395" s="69"/>
      <c r="C395" s="60"/>
      <c r="D395" s="61"/>
      <c r="E395" s="69"/>
      <c r="F395" s="60"/>
      <c r="G395" s="60"/>
      <c r="H395" s="60"/>
      <c r="I395" s="60"/>
      <c r="J395" s="60"/>
      <c r="K395" s="56"/>
      <c r="L395" s="56"/>
      <c r="M395" s="56"/>
      <c r="N395" s="56"/>
      <c r="O395" s="56"/>
      <c r="P395" s="56"/>
      <c r="Q395" s="56"/>
      <c r="R395" s="56"/>
      <c r="S395" s="56"/>
      <c r="T395" s="56"/>
      <c r="U395" s="56"/>
      <c r="V395" s="56"/>
      <c r="W395" s="56"/>
      <c r="X395" s="56"/>
      <c r="Y395" s="56"/>
      <c r="Z395" s="56"/>
      <c r="AA395" s="56"/>
      <c r="AB395" s="56"/>
    </row>
    <row r="396">
      <c r="A396" s="75"/>
      <c r="B396" s="69"/>
      <c r="C396" s="60"/>
      <c r="D396" s="61"/>
      <c r="E396" s="69"/>
      <c r="F396" s="60"/>
      <c r="G396" s="60"/>
      <c r="H396" s="60"/>
      <c r="I396" s="60"/>
      <c r="J396" s="60"/>
      <c r="K396" s="56"/>
      <c r="L396" s="56"/>
      <c r="M396" s="56"/>
      <c r="N396" s="56"/>
      <c r="O396" s="56"/>
      <c r="P396" s="56"/>
      <c r="Q396" s="56"/>
      <c r="R396" s="56"/>
      <c r="S396" s="56"/>
      <c r="T396" s="56"/>
      <c r="U396" s="56"/>
      <c r="V396" s="56"/>
      <c r="W396" s="56"/>
      <c r="X396" s="56"/>
      <c r="Y396" s="56"/>
      <c r="Z396" s="56"/>
      <c r="AA396" s="56"/>
      <c r="AB396" s="56"/>
    </row>
    <row r="397">
      <c r="A397" s="75"/>
      <c r="B397" s="69"/>
      <c r="C397" s="60"/>
      <c r="D397" s="61"/>
      <c r="E397" s="69"/>
      <c r="F397" s="60"/>
      <c r="G397" s="60"/>
      <c r="H397" s="60"/>
      <c r="I397" s="60"/>
      <c r="J397" s="60"/>
      <c r="K397" s="56"/>
      <c r="L397" s="56"/>
      <c r="M397" s="56"/>
      <c r="N397" s="56"/>
      <c r="O397" s="56"/>
      <c r="P397" s="56"/>
      <c r="Q397" s="56"/>
      <c r="R397" s="56"/>
      <c r="S397" s="56"/>
      <c r="T397" s="56"/>
      <c r="U397" s="56"/>
      <c r="V397" s="56"/>
      <c r="W397" s="56"/>
      <c r="X397" s="56"/>
      <c r="Y397" s="56"/>
      <c r="Z397" s="56"/>
      <c r="AA397" s="56"/>
      <c r="AB397" s="56"/>
    </row>
    <row r="398">
      <c r="A398" s="75"/>
      <c r="B398" s="69"/>
      <c r="C398" s="60"/>
      <c r="D398" s="61"/>
      <c r="E398" s="69"/>
      <c r="F398" s="60"/>
      <c r="G398" s="60"/>
      <c r="H398" s="60"/>
      <c r="I398" s="60"/>
      <c r="J398" s="60"/>
      <c r="K398" s="56"/>
      <c r="L398" s="56"/>
      <c r="M398" s="56"/>
      <c r="N398" s="56"/>
      <c r="O398" s="56"/>
      <c r="P398" s="56"/>
      <c r="Q398" s="56"/>
      <c r="R398" s="56"/>
      <c r="S398" s="56"/>
      <c r="T398" s="56"/>
      <c r="U398" s="56"/>
      <c r="V398" s="56"/>
      <c r="W398" s="56"/>
      <c r="X398" s="56"/>
      <c r="Y398" s="56"/>
      <c r="Z398" s="56"/>
      <c r="AA398" s="56"/>
      <c r="AB398" s="56"/>
    </row>
    <row r="399">
      <c r="A399" s="75"/>
      <c r="B399" s="69"/>
      <c r="C399" s="60"/>
      <c r="D399" s="61"/>
      <c r="E399" s="69"/>
      <c r="F399" s="60"/>
      <c r="G399" s="60"/>
      <c r="H399" s="60"/>
      <c r="I399" s="60"/>
      <c r="J399" s="60"/>
      <c r="K399" s="56"/>
      <c r="L399" s="56"/>
      <c r="M399" s="56"/>
      <c r="N399" s="56"/>
      <c r="O399" s="56"/>
      <c r="P399" s="56"/>
      <c r="Q399" s="56"/>
      <c r="R399" s="56"/>
      <c r="S399" s="56"/>
      <c r="T399" s="56"/>
      <c r="U399" s="56"/>
      <c r="V399" s="56"/>
      <c r="W399" s="56"/>
      <c r="X399" s="56"/>
      <c r="Y399" s="56"/>
      <c r="Z399" s="56"/>
      <c r="AA399" s="56"/>
      <c r="AB399" s="56"/>
    </row>
    <row r="400">
      <c r="A400" s="75"/>
      <c r="B400" s="69"/>
      <c r="C400" s="60"/>
      <c r="D400" s="61"/>
      <c r="E400" s="69"/>
      <c r="F400" s="60"/>
      <c r="G400" s="60"/>
      <c r="H400" s="60"/>
      <c r="I400" s="60"/>
      <c r="J400" s="60"/>
      <c r="K400" s="56"/>
      <c r="L400" s="56"/>
      <c r="M400" s="56"/>
      <c r="N400" s="56"/>
      <c r="O400" s="56"/>
      <c r="P400" s="56"/>
      <c r="Q400" s="56"/>
      <c r="R400" s="56"/>
      <c r="S400" s="56"/>
      <c r="T400" s="56"/>
      <c r="U400" s="56"/>
      <c r="V400" s="56"/>
      <c r="W400" s="56"/>
      <c r="X400" s="56"/>
      <c r="Y400" s="56"/>
      <c r="Z400" s="56"/>
      <c r="AA400" s="56"/>
      <c r="AB400" s="56"/>
    </row>
    <row r="401">
      <c r="A401" s="75"/>
      <c r="B401" s="69"/>
      <c r="C401" s="60"/>
      <c r="D401" s="61"/>
      <c r="E401" s="69"/>
      <c r="F401" s="60"/>
      <c r="G401" s="60"/>
      <c r="H401" s="60"/>
      <c r="I401" s="60"/>
      <c r="J401" s="60"/>
      <c r="K401" s="56"/>
      <c r="L401" s="56"/>
      <c r="M401" s="56"/>
      <c r="N401" s="56"/>
      <c r="O401" s="56"/>
      <c r="P401" s="56"/>
      <c r="Q401" s="56"/>
      <c r="R401" s="56"/>
      <c r="S401" s="56"/>
      <c r="T401" s="56"/>
      <c r="U401" s="56"/>
      <c r="V401" s="56"/>
      <c r="W401" s="56"/>
      <c r="X401" s="56"/>
      <c r="Y401" s="56"/>
      <c r="Z401" s="56"/>
      <c r="AA401" s="56"/>
      <c r="AB401" s="56"/>
    </row>
    <row r="402">
      <c r="A402" s="75"/>
      <c r="B402" s="69"/>
      <c r="C402" s="60"/>
      <c r="D402" s="61"/>
      <c r="E402" s="69"/>
      <c r="F402" s="60"/>
      <c r="G402" s="60"/>
      <c r="H402" s="60"/>
      <c r="I402" s="60"/>
      <c r="J402" s="60"/>
      <c r="K402" s="56"/>
      <c r="L402" s="56"/>
      <c r="M402" s="56"/>
      <c r="N402" s="56"/>
      <c r="O402" s="56"/>
      <c r="P402" s="56"/>
      <c r="Q402" s="56"/>
      <c r="R402" s="56"/>
      <c r="S402" s="56"/>
      <c r="T402" s="56"/>
      <c r="U402" s="56"/>
      <c r="V402" s="56"/>
      <c r="W402" s="56"/>
      <c r="X402" s="56"/>
      <c r="Y402" s="56"/>
      <c r="Z402" s="56"/>
      <c r="AA402" s="56"/>
      <c r="AB402" s="56"/>
    </row>
    <row r="403">
      <c r="A403" s="75"/>
      <c r="B403" s="69"/>
      <c r="C403" s="60"/>
      <c r="D403" s="61"/>
      <c r="E403" s="69"/>
      <c r="F403" s="60"/>
      <c r="G403" s="60"/>
      <c r="H403" s="60"/>
      <c r="I403" s="60"/>
      <c r="J403" s="60"/>
      <c r="K403" s="56"/>
      <c r="L403" s="56"/>
      <c r="M403" s="56"/>
      <c r="N403" s="56"/>
      <c r="O403" s="56"/>
      <c r="P403" s="56"/>
      <c r="Q403" s="56"/>
      <c r="R403" s="56"/>
      <c r="S403" s="56"/>
      <c r="T403" s="56"/>
      <c r="U403" s="56"/>
      <c r="V403" s="56"/>
      <c r="W403" s="56"/>
      <c r="X403" s="56"/>
      <c r="Y403" s="56"/>
      <c r="Z403" s="56"/>
      <c r="AA403" s="56"/>
      <c r="AB403" s="56"/>
    </row>
    <row r="404">
      <c r="A404" s="75"/>
      <c r="B404" s="69"/>
      <c r="C404" s="60"/>
      <c r="D404" s="61"/>
      <c r="E404" s="69"/>
      <c r="F404" s="60"/>
      <c r="G404" s="60"/>
      <c r="H404" s="60"/>
      <c r="I404" s="60"/>
      <c r="J404" s="60"/>
      <c r="K404" s="56"/>
      <c r="L404" s="56"/>
      <c r="M404" s="56"/>
      <c r="N404" s="56"/>
      <c r="O404" s="56"/>
      <c r="P404" s="56"/>
      <c r="Q404" s="56"/>
      <c r="R404" s="56"/>
      <c r="S404" s="56"/>
      <c r="T404" s="56"/>
      <c r="U404" s="56"/>
      <c r="V404" s="56"/>
      <c r="W404" s="56"/>
      <c r="X404" s="56"/>
      <c r="Y404" s="56"/>
      <c r="Z404" s="56"/>
      <c r="AA404" s="56"/>
      <c r="AB404" s="56"/>
    </row>
    <row r="405">
      <c r="A405" s="75"/>
      <c r="B405" s="69"/>
      <c r="C405" s="60"/>
      <c r="D405" s="61"/>
      <c r="E405" s="69"/>
      <c r="F405" s="60"/>
      <c r="G405" s="60"/>
      <c r="H405" s="60"/>
      <c r="I405" s="60"/>
      <c r="J405" s="60"/>
      <c r="K405" s="56"/>
      <c r="L405" s="56"/>
      <c r="M405" s="56"/>
      <c r="N405" s="56"/>
      <c r="O405" s="56"/>
      <c r="P405" s="56"/>
      <c r="Q405" s="56"/>
      <c r="R405" s="56"/>
      <c r="S405" s="56"/>
      <c r="T405" s="56"/>
      <c r="U405" s="56"/>
      <c r="V405" s="56"/>
      <c r="W405" s="56"/>
      <c r="X405" s="56"/>
      <c r="Y405" s="56"/>
      <c r="Z405" s="56"/>
      <c r="AA405" s="56"/>
      <c r="AB405" s="56"/>
    </row>
    <row r="406">
      <c r="A406" s="75"/>
      <c r="B406" s="69"/>
      <c r="C406" s="60"/>
      <c r="D406" s="61"/>
      <c r="E406" s="69"/>
      <c r="F406" s="60"/>
      <c r="G406" s="60"/>
      <c r="H406" s="60"/>
      <c r="I406" s="60"/>
      <c r="J406" s="60"/>
      <c r="K406" s="56"/>
      <c r="L406" s="56"/>
      <c r="M406" s="56"/>
      <c r="N406" s="56"/>
      <c r="O406" s="56"/>
      <c r="P406" s="56"/>
      <c r="Q406" s="56"/>
      <c r="R406" s="56"/>
      <c r="S406" s="56"/>
      <c r="T406" s="56"/>
      <c r="U406" s="56"/>
      <c r="V406" s="56"/>
      <c r="W406" s="56"/>
      <c r="X406" s="56"/>
      <c r="Y406" s="56"/>
      <c r="Z406" s="56"/>
      <c r="AA406" s="56"/>
      <c r="AB406" s="56"/>
    </row>
    <row r="407">
      <c r="A407" s="75"/>
      <c r="B407" s="69"/>
      <c r="C407" s="60"/>
      <c r="D407" s="61"/>
      <c r="E407" s="69"/>
      <c r="F407" s="60"/>
      <c r="G407" s="60"/>
      <c r="H407" s="60"/>
      <c r="I407" s="60"/>
      <c r="J407" s="60"/>
      <c r="K407" s="56"/>
      <c r="L407" s="56"/>
      <c r="M407" s="56"/>
      <c r="N407" s="56"/>
      <c r="O407" s="56"/>
      <c r="P407" s="56"/>
      <c r="Q407" s="56"/>
      <c r="R407" s="56"/>
      <c r="S407" s="56"/>
      <c r="T407" s="56"/>
      <c r="U407" s="56"/>
      <c r="V407" s="56"/>
      <c r="W407" s="56"/>
      <c r="X407" s="56"/>
      <c r="Y407" s="56"/>
      <c r="Z407" s="56"/>
      <c r="AA407" s="56"/>
      <c r="AB407" s="56"/>
    </row>
    <row r="408">
      <c r="A408" s="75"/>
      <c r="B408" s="69"/>
      <c r="C408" s="60"/>
      <c r="D408" s="61"/>
      <c r="E408" s="69"/>
      <c r="F408" s="60"/>
      <c r="G408" s="60"/>
      <c r="H408" s="60"/>
      <c r="I408" s="60"/>
      <c r="J408" s="60"/>
      <c r="K408" s="56"/>
      <c r="L408" s="56"/>
      <c r="M408" s="56"/>
      <c r="N408" s="56"/>
      <c r="O408" s="56"/>
      <c r="P408" s="56"/>
      <c r="Q408" s="56"/>
      <c r="R408" s="56"/>
      <c r="S408" s="56"/>
      <c r="T408" s="56"/>
      <c r="U408" s="56"/>
      <c r="V408" s="56"/>
      <c r="W408" s="56"/>
      <c r="X408" s="56"/>
      <c r="Y408" s="56"/>
      <c r="Z408" s="56"/>
      <c r="AA408" s="56"/>
      <c r="AB408" s="56"/>
    </row>
    <row r="409">
      <c r="A409" s="75"/>
      <c r="B409" s="69"/>
      <c r="C409" s="60"/>
      <c r="D409" s="61"/>
      <c r="E409" s="69"/>
      <c r="F409" s="60"/>
      <c r="G409" s="60"/>
      <c r="H409" s="60"/>
      <c r="I409" s="60"/>
      <c r="J409" s="60"/>
      <c r="K409" s="56"/>
      <c r="L409" s="56"/>
      <c r="M409" s="56"/>
      <c r="N409" s="56"/>
      <c r="O409" s="56"/>
      <c r="P409" s="56"/>
      <c r="Q409" s="56"/>
      <c r="R409" s="56"/>
      <c r="S409" s="56"/>
      <c r="T409" s="56"/>
      <c r="U409" s="56"/>
      <c r="V409" s="56"/>
      <c r="W409" s="56"/>
      <c r="X409" s="56"/>
      <c r="Y409" s="56"/>
      <c r="Z409" s="56"/>
      <c r="AA409" s="56"/>
      <c r="AB409" s="56"/>
    </row>
    <row r="410">
      <c r="A410" s="75"/>
      <c r="B410" s="69"/>
      <c r="C410" s="60"/>
      <c r="D410" s="61"/>
      <c r="E410" s="69"/>
      <c r="F410" s="60"/>
      <c r="G410" s="60"/>
      <c r="H410" s="60"/>
      <c r="I410" s="60"/>
      <c r="J410" s="60"/>
      <c r="K410" s="56"/>
      <c r="L410" s="56"/>
      <c r="M410" s="56"/>
      <c r="N410" s="56"/>
      <c r="O410" s="56"/>
      <c r="P410" s="56"/>
      <c r="Q410" s="56"/>
      <c r="R410" s="56"/>
      <c r="S410" s="56"/>
      <c r="T410" s="56"/>
      <c r="U410" s="56"/>
      <c r="V410" s="56"/>
      <c r="W410" s="56"/>
      <c r="X410" s="56"/>
      <c r="Y410" s="56"/>
      <c r="Z410" s="56"/>
      <c r="AA410" s="56"/>
      <c r="AB410" s="56"/>
    </row>
    <row r="411">
      <c r="A411" s="75"/>
      <c r="B411" s="69"/>
      <c r="C411" s="60"/>
      <c r="D411" s="61"/>
      <c r="E411" s="69"/>
      <c r="F411" s="60"/>
      <c r="G411" s="60"/>
      <c r="H411" s="60"/>
      <c r="I411" s="60"/>
      <c r="J411" s="60"/>
      <c r="K411" s="56"/>
      <c r="L411" s="56"/>
      <c r="M411" s="56"/>
      <c r="N411" s="56"/>
      <c r="O411" s="56"/>
      <c r="P411" s="56"/>
      <c r="Q411" s="56"/>
      <c r="R411" s="56"/>
      <c r="S411" s="56"/>
      <c r="T411" s="56"/>
      <c r="U411" s="56"/>
      <c r="V411" s="56"/>
      <c r="W411" s="56"/>
      <c r="X411" s="56"/>
      <c r="Y411" s="56"/>
      <c r="Z411" s="56"/>
      <c r="AA411" s="56"/>
      <c r="AB411" s="56"/>
    </row>
    <row r="412">
      <c r="A412" s="75"/>
      <c r="B412" s="69"/>
      <c r="C412" s="60"/>
      <c r="D412" s="61"/>
      <c r="E412" s="69"/>
      <c r="F412" s="60"/>
      <c r="G412" s="60"/>
      <c r="H412" s="60"/>
      <c r="I412" s="60"/>
      <c r="J412" s="60"/>
      <c r="K412" s="56"/>
      <c r="L412" s="56"/>
      <c r="M412" s="56"/>
      <c r="N412" s="56"/>
      <c r="O412" s="56"/>
      <c r="P412" s="56"/>
      <c r="Q412" s="56"/>
      <c r="R412" s="56"/>
      <c r="S412" s="56"/>
      <c r="T412" s="56"/>
      <c r="U412" s="56"/>
      <c r="V412" s="56"/>
      <c r="W412" s="56"/>
      <c r="X412" s="56"/>
      <c r="Y412" s="56"/>
      <c r="Z412" s="56"/>
      <c r="AA412" s="56"/>
      <c r="AB412" s="56"/>
    </row>
    <row r="413">
      <c r="A413" s="75"/>
      <c r="B413" s="69"/>
      <c r="C413" s="60"/>
      <c r="D413" s="61"/>
      <c r="E413" s="69"/>
      <c r="F413" s="60"/>
      <c r="G413" s="60"/>
      <c r="H413" s="60"/>
      <c r="I413" s="60"/>
      <c r="J413" s="60"/>
      <c r="K413" s="56"/>
      <c r="L413" s="56"/>
      <c r="M413" s="56"/>
      <c r="N413" s="56"/>
      <c r="O413" s="56"/>
      <c r="P413" s="56"/>
      <c r="Q413" s="56"/>
      <c r="R413" s="56"/>
      <c r="S413" s="56"/>
      <c r="T413" s="56"/>
      <c r="U413" s="56"/>
      <c r="V413" s="56"/>
      <c r="W413" s="56"/>
      <c r="X413" s="56"/>
      <c r="Y413" s="56"/>
      <c r="Z413" s="56"/>
      <c r="AA413" s="56"/>
      <c r="AB413" s="56"/>
    </row>
    <row r="414">
      <c r="A414" s="75"/>
      <c r="B414" s="69"/>
      <c r="C414" s="60"/>
      <c r="D414" s="61"/>
      <c r="E414" s="69"/>
      <c r="F414" s="60"/>
      <c r="G414" s="60"/>
      <c r="H414" s="60"/>
      <c r="I414" s="60"/>
      <c r="J414" s="60"/>
      <c r="K414" s="56"/>
      <c r="L414" s="56"/>
      <c r="M414" s="56"/>
      <c r="N414" s="56"/>
      <c r="O414" s="56"/>
      <c r="P414" s="56"/>
      <c r="Q414" s="56"/>
      <c r="R414" s="56"/>
      <c r="S414" s="56"/>
      <c r="T414" s="56"/>
      <c r="U414" s="56"/>
      <c r="V414" s="56"/>
      <c r="W414" s="56"/>
      <c r="X414" s="56"/>
      <c r="Y414" s="56"/>
      <c r="Z414" s="56"/>
      <c r="AA414" s="56"/>
      <c r="AB414" s="56"/>
    </row>
    <row r="415">
      <c r="A415" s="75"/>
      <c r="B415" s="69"/>
      <c r="C415" s="60"/>
      <c r="D415" s="61"/>
      <c r="E415" s="69"/>
      <c r="F415" s="60"/>
      <c r="G415" s="60"/>
      <c r="H415" s="60"/>
      <c r="I415" s="60"/>
      <c r="J415" s="60"/>
      <c r="K415" s="56"/>
      <c r="L415" s="56"/>
      <c r="M415" s="56"/>
      <c r="N415" s="56"/>
      <c r="O415" s="56"/>
      <c r="P415" s="56"/>
      <c r="Q415" s="56"/>
      <c r="R415" s="56"/>
      <c r="S415" s="56"/>
      <c r="T415" s="56"/>
      <c r="U415" s="56"/>
      <c r="V415" s="56"/>
      <c r="W415" s="56"/>
      <c r="X415" s="56"/>
      <c r="Y415" s="56"/>
      <c r="Z415" s="56"/>
      <c r="AA415" s="56"/>
      <c r="AB415" s="56"/>
    </row>
    <row r="416">
      <c r="A416" s="75"/>
      <c r="B416" s="69"/>
      <c r="C416" s="60"/>
      <c r="D416" s="61"/>
      <c r="E416" s="69"/>
      <c r="F416" s="60"/>
      <c r="G416" s="60"/>
      <c r="H416" s="60"/>
      <c r="I416" s="60"/>
      <c r="J416" s="60"/>
      <c r="K416" s="56"/>
      <c r="L416" s="56"/>
      <c r="M416" s="56"/>
      <c r="N416" s="56"/>
      <c r="O416" s="56"/>
      <c r="P416" s="56"/>
      <c r="Q416" s="56"/>
      <c r="R416" s="56"/>
      <c r="S416" s="56"/>
      <c r="T416" s="56"/>
      <c r="U416" s="56"/>
      <c r="V416" s="56"/>
      <c r="W416" s="56"/>
      <c r="X416" s="56"/>
      <c r="Y416" s="56"/>
      <c r="Z416" s="56"/>
      <c r="AA416" s="56"/>
      <c r="AB416" s="56"/>
    </row>
    <row r="417">
      <c r="A417" s="75"/>
      <c r="B417" s="69"/>
      <c r="C417" s="60"/>
      <c r="D417" s="61"/>
      <c r="E417" s="69"/>
      <c r="F417" s="60"/>
      <c r="G417" s="60"/>
      <c r="H417" s="60"/>
      <c r="I417" s="60"/>
      <c r="J417" s="60"/>
      <c r="K417" s="56"/>
      <c r="L417" s="56"/>
      <c r="M417" s="56"/>
      <c r="N417" s="56"/>
      <c r="O417" s="56"/>
      <c r="P417" s="56"/>
      <c r="Q417" s="56"/>
      <c r="R417" s="56"/>
      <c r="S417" s="56"/>
      <c r="T417" s="56"/>
      <c r="U417" s="56"/>
      <c r="V417" s="56"/>
      <c r="W417" s="56"/>
      <c r="X417" s="56"/>
      <c r="Y417" s="56"/>
      <c r="Z417" s="56"/>
      <c r="AA417" s="56"/>
      <c r="AB417" s="56"/>
    </row>
    <row r="418">
      <c r="A418" s="75"/>
      <c r="B418" s="69"/>
      <c r="C418" s="60"/>
      <c r="D418" s="61"/>
      <c r="E418" s="69"/>
      <c r="F418" s="60"/>
      <c r="G418" s="60"/>
      <c r="H418" s="60"/>
      <c r="I418" s="60"/>
      <c r="J418" s="60"/>
      <c r="K418" s="56"/>
      <c r="L418" s="56"/>
      <c r="M418" s="56"/>
      <c r="N418" s="56"/>
      <c r="O418" s="56"/>
      <c r="P418" s="56"/>
      <c r="Q418" s="56"/>
      <c r="R418" s="56"/>
      <c r="S418" s="56"/>
      <c r="T418" s="56"/>
      <c r="U418" s="56"/>
      <c r="V418" s="56"/>
      <c r="W418" s="56"/>
      <c r="X418" s="56"/>
      <c r="Y418" s="56"/>
      <c r="Z418" s="56"/>
      <c r="AA418" s="56"/>
      <c r="AB418" s="56"/>
    </row>
    <row r="419">
      <c r="A419" s="75"/>
      <c r="B419" s="69"/>
      <c r="C419" s="60"/>
      <c r="D419" s="61"/>
      <c r="E419" s="69"/>
      <c r="F419" s="60"/>
      <c r="G419" s="60"/>
      <c r="H419" s="60"/>
      <c r="I419" s="60"/>
      <c r="J419" s="60"/>
      <c r="K419" s="56"/>
      <c r="L419" s="56"/>
      <c r="M419" s="56"/>
      <c r="N419" s="56"/>
      <c r="O419" s="56"/>
      <c r="P419" s="56"/>
      <c r="Q419" s="56"/>
      <c r="R419" s="56"/>
      <c r="S419" s="56"/>
      <c r="T419" s="56"/>
      <c r="U419" s="56"/>
      <c r="V419" s="56"/>
      <c r="W419" s="56"/>
      <c r="X419" s="56"/>
      <c r="Y419" s="56"/>
      <c r="Z419" s="56"/>
      <c r="AA419" s="56"/>
      <c r="AB419" s="56"/>
    </row>
    <row r="420">
      <c r="A420" s="75"/>
      <c r="B420" s="69"/>
      <c r="C420" s="60"/>
      <c r="D420" s="61"/>
      <c r="E420" s="69"/>
      <c r="F420" s="60"/>
      <c r="G420" s="60"/>
      <c r="H420" s="60"/>
      <c r="I420" s="60"/>
      <c r="J420" s="60"/>
      <c r="K420" s="56"/>
      <c r="L420" s="56"/>
      <c r="M420" s="56"/>
      <c r="N420" s="56"/>
      <c r="O420" s="56"/>
      <c r="P420" s="56"/>
      <c r="Q420" s="56"/>
      <c r="R420" s="56"/>
      <c r="S420" s="56"/>
      <c r="T420" s="56"/>
      <c r="U420" s="56"/>
      <c r="V420" s="56"/>
      <c r="W420" s="56"/>
      <c r="X420" s="56"/>
      <c r="Y420" s="56"/>
      <c r="Z420" s="56"/>
      <c r="AA420" s="56"/>
      <c r="AB420" s="56"/>
    </row>
    <row r="421">
      <c r="A421" s="75"/>
      <c r="B421" s="69"/>
      <c r="C421" s="60"/>
      <c r="D421" s="61"/>
      <c r="E421" s="69"/>
      <c r="F421" s="60"/>
      <c r="G421" s="60"/>
      <c r="H421" s="60"/>
      <c r="I421" s="60"/>
      <c r="J421" s="60"/>
      <c r="K421" s="56"/>
      <c r="L421" s="56"/>
      <c r="M421" s="56"/>
      <c r="N421" s="56"/>
      <c r="O421" s="56"/>
      <c r="P421" s="56"/>
      <c r="Q421" s="56"/>
      <c r="R421" s="56"/>
      <c r="S421" s="56"/>
      <c r="T421" s="56"/>
      <c r="U421" s="56"/>
      <c r="V421" s="56"/>
      <c r="W421" s="56"/>
      <c r="X421" s="56"/>
      <c r="Y421" s="56"/>
      <c r="Z421" s="56"/>
      <c r="AA421" s="56"/>
      <c r="AB421" s="56"/>
    </row>
    <row r="422">
      <c r="A422" s="75"/>
      <c r="B422" s="69"/>
      <c r="C422" s="60"/>
      <c r="D422" s="61"/>
      <c r="E422" s="69"/>
      <c r="F422" s="60"/>
      <c r="G422" s="60"/>
      <c r="H422" s="60"/>
      <c r="I422" s="60"/>
      <c r="J422" s="60"/>
      <c r="K422" s="56"/>
      <c r="L422" s="56"/>
      <c r="M422" s="56"/>
      <c r="N422" s="56"/>
      <c r="O422" s="56"/>
      <c r="P422" s="56"/>
      <c r="Q422" s="56"/>
      <c r="R422" s="56"/>
      <c r="S422" s="56"/>
      <c r="T422" s="56"/>
      <c r="U422" s="56"/>
      <c r="V422" s="56"/>
      <c r="W422" s="56"/>
      <c r="X422" s="56"/>
      <c r="Y422" s="56"/>
      <c r="Z422" s="56"/>
      <c r="AA422" s="56"/>
      <c r="AB422" s="56"/>
    </row>
    <row r="423">
      <c r="A423" s="75"/>
      <c r="B423" s="69"/>
      <c r="C423" s="60"/>
      <c r="D423" s="61"/>
      <c r="E423" s="69"/>
      <c r="F423" s="60"/>
      <c r="G423" s="60"/>
      <c r="H423" s="60"/>
      <c r="I423" s="60"/>
      <c r="J423" s="60"/>
      <c r="K423" s="56"/>
      <c r="L423" s="56"/>
      <c r="M423" s="56"/>
      <c r="N423" s="56"/>
      <c r="O423" s="56"/>
      <c r="P423" s="56"/>
      <c r="Q423" s="56"/>
      <c r="R423" s="56"/>
      <c r="S423" s="56"/>
      <c r="T423" s="56"/>
      <c r="U423" s="56"/>
      <c r="V423" s="56"/>
      <c r="W423" s="56"/>
      <c r="X423" s="56"/>
      <c r="Y423" s="56"/>
      <c r="Z423" s="56"/>
      <c r="AA423" s="56"/>
      <c r="AB423" s="56"/>
    </row>
    <row r="424">
      <c r="A424" s="75"/>
      <c r="B424" s="69"/>
      <c r="C424" s="60"/>
      <c r="D424" s="61"/>
      <c r="E424" s="69"/>
      <c r="F424" s="60"/>
      <c r="G424" s="60"/>
      <c r="H424" s="60"/>
      <c r="I424" s="60"/>
      <c r="J424" s="60"/>
      <c r="K424" s="56"/>
      <c r="L424" s="56"/>
      <c r="M424" s="56"/>
      <c r="N424" s="56"/>
      <c r="O424" s="56"/>
      <c r="P424" s="56"/>
      <c r="Q424" s="56"/>
      <c r="R424" s="56"/>
      <c r="S424" s="56"/>
      <c r="T424" s="56"/>
      <c r="U424" s="56"/>
      <c r="V424" s="56"/>
      <c r="W424" s="56"/>
      <c r="X424" s="56"/>
      <c r="Y424" s="56"/>
      <c r="Z424" s="56"/>
      <c r="AA424" s="56"/>
      <c r="AB424" s="56"/>
    </row>
    <row r="425">
      <c r="A425" s="75"/>
      <c r="B425" s="69"/>
      <c r="C425" s="60"/>
      <c r="D425" s="61"/>
      <c r="E425" s="69"/>
      <c r="F425" s="60"/>
      <c r="G425" s="60"/>
      <c r="H425" s="60"/>
      <c r="I425" s="60"/>
      <c r="J425" s="60"/>
      <c r="K425" s="56"/>
      <c r="L425" s="56"/>
      <c r="M425" s="56"/>
      <c r="N425" s="56"/>
      <c r="O425" s="56"/>
      <c r="P425" s="56"/>
      <c r="Q425" s="56"/>
      <c r="R425" s="56"/>
      <c r="S425" s="56"/>
      <c r="T425" s="56"/>
      <c r="U425" s="56"/>
      <c r="V425" s="56"/>
      <c r="W425" s="56"/>
      <c r="X425" s="56"/>
      <c r="Y425" s="56"/>
      <c r="Z425" s="56"/>
      <c r="AA425" s="56"/>
      <c r="AB425" s="56"/>
    </row>
    <row r="426">
      <c r="A426" s="75"/>
      <c r="B426" s="69"/>
      <c r="C426" s="60"/>
      <c r="D426" s="61"/>
      <c r="E426" s="69"/>
      <c r="F426" s="60"/>
      <c r="G426" s="60"/>
      <c r="H426" s="60"/>
      <c r="I426" s="60"/>
      <c r="J426" s="60"/>
      <c r="K426" s="56"/>
      <c r="L426" s="56"/>
      <c r="M426" s="56"/>
      <c r="N426" s="56"/>
      <c r="O426" s="56"/>
      <c r="P426" s="56"/>
      <c r="Q426" s="56"/>
      <c r="R426" s="56"/>
      <c r="S426" s="56"/>
      <c r="T426" s="56"/>
      <c r="U426" s="56"/>
      <c r="V426" s="56"/>
      <c r="W426" s="56"/>
      <c r="X426" s="56"/>
      <c r="Y426" s="56"/>
      <c r="Z426" s="56"/>
      <c r="AA426" s="56"/>
      <c r="AB426" s="56"/>
    </row>
    <row r="427">
      <c r="A427" s="75"/>
      <c r="B427" s="69"/>
      <c r="C427" s="60"/>
      <c r="D427" s="61"/>
      <c r="E427" s="69"/>
      <c r="F427" s="60"/>
      <c r="G427" s="60"/>
      <c r="H427" s="60"/>
      <c r="I427" s="60"/>
      <c r="J427" s="60"/>
      <c r="K427" s="56"/>
      <c r="L427" s="56"/>
      <c r="M427" s="56"/>
      <c r="N427" s="56"/>
      <c r="O427" s="56"/>
      <c r="P427" s="56"/>
      <c r="Q427" s="56"/>
      <c r="R427" s="56"/>
      <c r="S427" s="56"/>
      <c r="T427" s="56"/>
      <c r="U427" s="56"/>
      <c r="V427" s="56"/>
      <c r="W427" s="56"/>
      <c r="X427" s="56"/>
      <c r="Y427" s="56"/>
      <c r="Z427" s="56"/>
      <c r="AA427" s="56"/>
      <c r="AB427" s="56"/>
    </row>
    <row r="428">
      <c r="A428" s="75"/>
      <c r="B428" s="69"/>
      <c r="C428" s="60"/>
      <c r="D428" s="61"/>
      <c r="E428" s="69"/>
      <c r="F428" s="60"/>
      <c r="G428" s="60"/>
      <c r="H428" s="60"/>
      <c r="I428" s="60"/>
      <c r="J428" s="60"/>
      <c r="K428" s="56"/>
      <c r="L428" s="56"/>
      <c r="M428" s="56"/>
      <c r="N428" s="56"/>
      <c r="O428" s="56"/>
      <c r="P428" s="56"/>
      <c r="Q428" s="56"/>
      <c r="R428" s="56"/>
      <c r="S428" s="56"/>
      <c r="T428" s="56"/>
      <c r="U428" s="56"/>
      <c r="V428" s="56"/>
      <c r="W428" s="56"/>
      <c r="X428" s="56"/>
      <c r="Y428" s="56"/>
      <c r="Z428" s="56"/>
      <c r="AA428" s="56"/>
      <c r="AB428" s="56"/>
    </row>
    <row r="429">
      <c r="A429" s="75"/>
      <c r="B429" s="69"/>
      <c r="C429" s="60"/>
      <c r="D429" s="61"/>
      <c r="E429" s="69"/>
      <c r="F429" s="60"/>
      <c r="G429" s="60"/>
      <c r="H429" s="60"/>
      <c r="I429" s="60"/>
      <c r="J429" s="60"/>
      <c r="K429" s="56"/>
      <c r="L429" s="56"/>
      <c r="M429" s="56"/>
      <c r="N429" s="56"/>
      <c r="O429" s="56"/>
      <c r="P429" s="56"/>
      <c r="Q429" s="56"/>
      <c r="R429" s="56"/>
      <c r="S429" s="56"/>
      <c r="T429" s="56"/>
      <c r="U429" s="56"/>
      <c r="V429" s="56"/>
      <c r="W429" s="56"/>
      <c r="X429" s="56"/>
      <c r="Y429" s="56"/>
      <c r="Z429" s="56"/>
      <c r="AA429" s="56"/>
      <c r="AB429" s="56"/>
    </row>
    <row r="430">
      <c r="A430" s="75"/>
      <c r="B430" s="69"/>
      <c r="C430" s="60"/>
      <c r="D430" s="61"/>
      <c r="E430" s="69"/>
      <c r="F430" s="60"/>
      <c r="G430" s="60"/>
      <c r="H430" s="60"/>
      <c r="I430" s="60"/>
      <c r="J430" s="60"/>
      <c r="K430" s="56"/>
      <c r="L430" s="56"/>
      <c r="M430" s="56"/>
      <c r="N430" s="56"/>
      <c r="O430" s="56"/>
      <c r="P430" s="56"/>
      <c r="Q430" s="56"/>
      <c r="R430" s="56"/>
      <c r="S430" s="56"/>
      <c r="T430" s="56"/>
      <c r="U430" s="56"/>
      <c r="V430" s="56"/>
      <c r="W430" s="56"/>
      <c r="X430" s="56"/>
      <c r="Y430" s="56"/>
      <c r="Z430" s="56"/>
      <c r="AA430" s="56"/>
      <c r="AB430" s="56"/>
    </row>
    <row r="431">
      <c r="A431" s="75"/>
      <c r="B431" s="69"/>
      <c r="C431" s="60"/>
      <c r="D431" s="61"/>
      <c r="E431" s="69"/>
      <c r="F431" s="60"/>
      <c r="G431" s="60"/>
      <c r="H431" s="60"/>
      <c r="I431" s="60"/>
      <c r="J431" s="60"/>
      <c r="K431" s="56"/>
      <c r="L431" s="56"/>
      <c r="M431" s="56"/>
      <c r="N431" s="56"/>
      <c r="O431" s="56"/>
      <c r="P431" s="56"/>
      <c r="Q431" s="56"/>
      <c r="R431" s="56"/>
      <c r="S431" s="56"/>
      <c r="T431" s="56"/>
      <c r="U431" s="56"/>
      <c r="V431" s="56"/>
      <c r="W431" s="56"/>
      <c r="X431" s="56"/>
      <c r="Y431" s="56"/>
      <c r="Z431" s="56"/>
      <c r="AA431" s="56"/>
      <c r="AB431" s="56"/>
    </row>
    <row r="432">
      <c r="A432" s="75"/>
      <c r="B432" s="69"/>
      <c r="C432" s="60"/>
      <c r="D432" s="61"/>
      <c r="E432" s="69"/>
      <c r="F432" s="60"/>
      <c r="G432" s="60"/>
      <c r="H432" s="60"/>
      <c r="I432" s="60"/>
      <c r="J432" s="60"/>
      <c r="K432" s="56"/>
      <c r="L432" s="56"/>
      <c r="M432" s="56"/>
      <c r="N432" s="56"/>
      <c r="O432" s="56"/>
      <c r="P432" s="56"/>
      <c r="Q432" s="56"/>
      <c r="R432" s="56"/>
      <c r="S432" s="56"/>
      <c r="T432" s="56"/>
      <c r="U432" s="56"/>
      <c r="V432" s="56"/>
      <c r="W432" s="56"/>
      <c r="X432" s="56"/>
      <c r="Y432" s="56"/>
      <c r="Z432" s="56"/>
      <c r="AA432" s="56"/>
      <c r="AB432" s="56"/>
    </row>
    <row r="433">
      <c r="A433" s="75"/>
      <c r="B433" s="69"/>
      <c r="C433" s="60"/>
      <c r="D433" s="61"/>
      <c r="E433" s="69"/>
      <c r="F433" s="60"/>
      <c r="G433" s="60"/>
      <c r="H433" s="60"/>
      <c r="I433" s="60"/>
      <c r="J433" s="60"/>
      <c r="K433" s="56"/>
      <c r="L433" s="56"/>
      <c r="M433" s="56"/>
      <c r="N433" s="56"/>
      <c r="O433" s="56"/>
      <c r="P433" s="56"/>
      <c r="Q433" s="56"/>
      <c r="R433" s="56"/>
      <c r="S433" s="56"/>
      <c r="T433" s="56"/>
      <c r="U433" s="56"/>
      <c r="V433" s="56"/>
      <c r="W433" s="56"/>
      <c r="X433" s="56"/>
      <c r="Y433" s="56"/>
      <c r="Z433" s="56"/>
      <c r="AA433" s="56"/>
      <c r="AB433" s="56"/>
    </row>
    <row r="434">
      <c r="A434" s="75"/>
      <c r="B434" s="69"/>
      <c r="C434" s="60"/>
      <c r="D434" s="61"/>
      <c r="E434" s="69"/>
      <c r="F434" s="60"/>
      <c r="G434" s="60"/>
      <c r="H434" s="60"/>
      <c r="I434" s="60"/>
      <c r="J434" s="60"/>
      <c r="K434" s="56"/>
      <c r="L434" s="56"/>
      <c r="M434" s="56"/>
      <c r="N434" s="56"/>
      <c r="O434" s="56"/>
      <c r="P434" s="56"/>
      <c r="Q434" s="56"/>
      <c r="R434" s="56"/>
      <c r="S434" s="56"/>
      <c r="T434" s="56"/>
      <c r="U434" s="56"/>
      <c r="V434" s="56"/>
      <c r="W434" s="56"/>
      <c r="X434" s="56"/>
      <c r="Y434" s="56"/>
      <c r="Z434" s="56"/>
      <c r="AA434" s="56"/>
      <c r="AB434" s="56"/>
    </row>
    <row r="435">
      <c r="A435" s="75"/>
      <c r="B435" s="69"/>
      <c r="C435" s="60"/>
      <c r="D435" s="61"/>
      <c r="E435" s="69"/>
      <c r="F435" s="60"/>
      <c r="G435" s="60"/>
      <c r="H435" s="60"/>
      <c r="I435" s="60"/>
      <c r="J435" s="60"/>
      <c r="K435" s="56"/>
      <c r="L435" s="56"/>
      <c r="M435" s="56"/>
      <c r="N435" s="56"/>
      <c r="O435" s="56"/>
      <c r="P435" s="56"/>
      <c r="Q435" s="56"/>
      <c r="R435" s="56"/>
      <c r="S435" s="56"/>
      <c r="T435" s="56"/>
      <c r="U435" s="56"/>
      <c r="V435" s="56"/>
      <c r="W435" s="56"/>
      <c r="X435" s="56"/>
      <c r="Y435" s="56"/>
      <c r="Z435" s="56"/>
      <c r="AA435" s="56"/>
      <c r="AB435" s="56"/>
    </row>
    <row r="436">
      <c r="A436" s="75"/>
      <c r="B436" s="69"/>
      <c r="C436" s="60"/>
      <c r="D436" s="61"/>
      <c r="E436" s="69"/>
      <c r="F436" s="60"/>
      <c r="G436" s="60"/>
      <c r="H436" s="60"/>
      <c r="I436" s="60"/>
      <c r="J436" s="60"/>
      <c r="K436" s="56"/>
      <c r="L436" s="56"/>
      <c r="M436" s="56"/>
      <c r="N436" s="56"/>
      <c r="O436" s="56"/>
      <c r="P436" s="56"/>
      <c r="Q436" s="56"/>
      <c r="R436" s="56"/>
      <c r="S436" s="56"/>
      <c r="T436" s="56"/>
      <c r="U436" s="56"/>
      <c r="V436" s="56"/>
      <c r="W436" s="56"/>
      <c r="X436" s="56"/>
      <c r="Y436" s="56"/>
      <c r="Z436" s="56"/>
      <c r="AA436" s="56"/>
      <c r="AB436" s="56"/>
    </row>
    <row r="437">
      <c r="A437" s="75"/>
      <c r="B437" s="69"/>
      <c r="C437" s="60"/>
      <c r="D437" s="61"/>
      <c r="E437" s="69"/>
      <c r="F437" s="60"/>
      <c r="G437" s="60"/>
      <c r="H437" s="60"/>
      <c r="I437" s="60"/>
      <c r="J437" s="60"/>
      <c r="K437" s="56"/>
      <c r="L437" s="56"/>
      <c r="M437" s="56"/>
      <c r="N437" s="56"/>
      <c r="O437" s="56"/>
      <c r="P437" s="56"/>
      <c r="Q437" s="56"/>
      <c r="R437" s="56"/>
      <c r="S437" s="56"/>
      <c r="T437" s="56"/>
      <c r="U437" s="56"/>
      <c r="V437" s="56"/>
      <c r="W437" s="56"/>
      <c r="X437" s="56"/>
      <c r="Y437" s="56"/>
      <c r="Z437" s="56"/>
      <c r="AA437" s="56"/>
      <c r="AB437" s="56"/>
    </row>
    <row r="438">
      <c r="A438" s="75"/>
      <c r="B438" s="69"/>
      <c r="C438" s="60"/>
      <c r="D438" s="61"/>
      <c r="E438" s="69"/>
      <c r="F438" s="60"/>
      <c r="G438" s="60"/>
      <c r="H438" s="60"/>
      <c r="I438" s="60"/>
      <c r="J438" s="60"/>
      <c r="K438" s="56"/>
      <c r="L438" s="56"/>
      <c r="M438" s="56"/>
      <c r="N438" s="56"/>
      <c r="O438" s="56"/>
      <c r="P438" s="56"/>
      <c r="Q438" s="56"/>
      <c r="R438" s="56"/>
      <c r="S438" s="56"/>
      <c r="T438" s="56"/>
      <c r="U438" s="56"/>
      <c r="V438" s="56"/>
      <c r="W438" s="56"/>
      <c r="X438" s="56"/>
      <c r="Y438" s="56"/>
      <c r="Z438" s="56"/>
      <c r="AA438" s="56"/>
      <c r="AB438" s="56"/>
    </row>
    <row r="439">
      <c r="A439" s="75"/>
      <c r="B439" s="69"/>
      <c r="C439" s="60"/>
      <c r="D439" s="61"/>
      <c r="E439" s="69"/>
      <c r="F439" s="60"/>
      <c r="G439" s="60"/>
      <c r="H439" s="60"/>
      <c r="I439" s="60"/>
      <c r="J439" s="60"/>
      <c r="K439" s="56"/>
      <c r="L439" s="56"/>
      <c r="M439" s="56"/>
      <c r="N439" s="56"/>
      <c r="O439" s="56"/>
      <c r="P439" s="56"/>
      <c r="Q439" s="56"/>
      <c r="R439" s="56"/>
      <c r="S439" s="56"/>
      <c r="T439" s="56"/>
      <c r="U439" s="56"/>
      <c r="V439" s="56"/>
      <c r="W439" s="56"/>
      <c r="X439" s="56"/>
      <c r="Y439" s="56"/>
      <c r="Z439" s="56"/>
      <c r="AA439" s="56"/>
      <c r="AB439" s="56"/>
    </row>
    <row r="440">
      <c r="A440" s="75"/>
      <c r="B440" s="69"/>
      <c r="C440" s="60"/>
      <c r="D440" s="61"/>
      <c r="E440" s="69"/>
      <c r="F440" s="60"/>
      <c r="G440" s="60"/>
      <c r="H440" s="60"/>
      <c r="I440" s="60"/>
      <c r="J440" s="60"/>
      <c r="K440" s="56"/>
      <c r="L440" s="56"/>
      <c r="M440" s="56"/>
      <c r="N440" s="56"/>
      <c r="O440" s="56"/>
      <c r="P440" s="56"/>
      <c r="Q440" s="56"/>
      <c r="R440" s="56"/>
      <c r="S440" s="56"/>
      <c r="T440" s="56"/>
      <c r="U440" s="56"/>
      <c r="V440" s="56"/>
      <c r="W440" s="56"/>
      <c r="X440" s="56"/>
      <c r="Y440" s="56"/>
      <c r="Z440" s="56"/>
      <c r="AA440" s="56"/>
      <c r="AB440" s="56"/>
    </row>
    <row r="441">
      <c r="A441" s="75"/>
      <c r="B441" s="69"/>
      <c r="C441" s="60"/>
      <c r="D441" s="61"/>
      <c r="E441" s="69"/>
      <c r="F441" s="60"/>
      <c r="G441" s="60"/>
      <c r="H441" s="60"/>
      <c r="I441" s="60"/>
      <c r="J441" s="60"/>
      <c r="K441" s="56"/>
      <c r="L441" s="56"/>
      <c r="M441" s="56"/>
      <c r="N441" s="56"/>
      <c r="O441" s="56"/>
      <c r="P441" s="56"/>
      <c r="Q441" s="56"/>
      <c r="R441" s="56"/>
      <c r="S441" s="56"/>
      <c r="T441" s="56"/>
      <c r="U441" s="56"/>
      <c r="V441" s="56"/>
      <c r="W441" s="56"/>
      <c r="X441" s="56"/>
      <c r="Y441" s="56"/>
      <c r="Z441" s="56"/>
      <c r="AA441" s="56"/>
      <c r="AB441" s="56"/>
    </row>
    <row r="442">
      <c r="A442" s="75"/>
      <c r="B442" s="69"/>
      <c r="C442" s="60"/>
      <c r="D442" s="61"/>
      <c r="E442" s="69"/>
      <c r="F442" s="60"/>
      <c r="G442" s="60"/>
      <c r="H442" s="60"/>
      <c r="I442" s="60"/>
      <c r="J442" s="60"/>
      <c r="K442" s="56"/>
      <c r="L442" s="56"/>
      <c r="M442" s="56"/>
      <c r="N442" s="56"/>
      <c r="O442" s="56"/>
      <c r="P442" s="56"/>
      <c r="Q442" s="56"/>
      <c r="R442" s="56"/>
      <c r="S442" s="56"/>
      <c r="T442" s="56"/>
      <c r="U442" s="56"/>
      <c r="V442" s="56"/>
      <c r="W442" s="56"/>
      <c r="X442" s="56"/>
      <c r="Y442" s="56"/>
      <c r="Z442" s="56"/>
      <c r="AA442" s="56"/>
      <c r="AB442" s="56"/>
    </row>
    <row r="443">
      <c r="A443" s="75"/>
      <c r="B443" s="69"/>
      <c r="C443" s="60"/>
      <c r="D443" s="61"/>
      <c r="E443" s="69"/>
      <c r="F443" s="60"/>
      <c r="G443" s="60"/>
      <c r="H443" s="60"/>
      <c r="I443" s="60"/>
      <c r="J443" s="60"/>
      <c r="K443" s="56"/>
      <c r="L443" s="56"/>
      <c r="M443" s="56"/>
      <c r="N443" s="56"/>
      <c r="O443" s="56"/>
      <c r="P443" s="56"/>
      <c r="Q443" s="56"/>
      <c r="R443" s="56"/>
      <c r="S443" s="56"/>
      <c r="T443" s="56"/>
      <c r="U443" s="56"/>
      <c r="V443" s="56"/>
      <c r="W443" s="56"/>
      <c r="X443" s="56"/>
      <c r="Y443" s="56"/>
      <c r="Z443" s="56"/>
      <c r="AA443" s="56"/>
      <c r="AB443" s="56"/>
    </row>
    <row r="444">
      <c r="A444" s="75"/>
      <c r="B444" s="69"/>
      <c r="C444" s="60"/>
      <c r="D444" s="61"/>
      <c r="E444" s="69"/>
      <c r="F444" s="60"/>
      <c r="G444" s="60"/>
      <c r="H444" s="60"/>
      <c r="I444" s="60"/>
      <c r="J444" s="60"/>
      <c r="K444" s="56"/>
      <c r="L444" s="56"/>
      <c r="M444" s="56"/>
      <c r="N444" s="56"/>
      <c r="O444" s="56"/>
      <c r="P444" s="56"/>
      <c r="Q444" s="56"/>
      <c r="R444" s="56"/>
      <c r="S444" s="56"/>
      <c r="T444" s="56"/>
      <c r="U444" s="56"/>
      <c r="V444" s="56"/>
      <c r="W444" s="56"/>
      <c r="X444" s="56"/>
      <c r="Y444" s="56"/>
      <c r="Z444" s="56"/>
      <c r="AA444" s="56"/>
      <c r="AB444" s="56"/>
    </row>
    <row r="445">
      <c r="A445" s="75"/>
      <c r="B445" s="69"/>
      <c r="C445" s="60"/>
      <c r="D445" s="61"/>
      <c r="E445" s="69"/>
      <c r="F445" s="60"/>
      <c r="G445" s="60"/>
      <c r="H445" s="60"/>
      <c r="I445" s="60"/>
      <c r="J445" s="60"/>
      <c r="K445" s="56"/>
      <c r="L445" s="56"/>
      <c r="M445" s="56"/>
      <c r="N445" s="56"/>
      <c r="O445" s="56"/>
      <c r="P445" s="56"/>
      <c r="Q445" s="56"/>
      <c r="R445" s="56"/>
      <c r="S445" s="56"/>
      <c r="T445" s="56"/>
      <c r="U445" s="56"/>
      <c r="V445" s="56"/>
      <c r="W445" s="56"/>
      <c r="X445" s="56"/>
      <c r="Y445" s="56"/>
      <c r="Z445" s="56"/>
      <c r="AA445" s="56"/>
      <c r="AB445" s="56"/>
    </row>
    <row r="446">
      <c r="A446" s="75"/>
      <c r="B446" s="69"/>
      <c r="C446" s="60"/>
      <c r="D446" s="61"/>
      <c r="E446" s="69"/>
      <c r="F446" s="60"/>
      <c r="G446" s="60"/>
      <c r="H446" s="60"/>
      <c r="I446" s="60"/>
      <c r="J446" s="60"/>
      <c r="K446" s="56"/>
      <c r="L446" s="56"/>
      <c r="M446" s="56"/>
      <c r="N446" s="56"/>
      <c r="O446" s="56"/>
      <c r="P446" s="56"/>
      <c r="Q446" s="56"/>
      <c r="R446" s="56"/>
      <c r="S446" s="56"/>
      <c r="T446" s="56"/>
      <c r="U446" s="56"/>
      <c r="V446" s="56"/>
      <c r="W446" s="56"/>
      <c r="X446" s="56"/>
      <c r="Y446" s="56"/>
      <c r="Z446" s="56"/>
      <c r="AA446" s="56"/>
      <c r="AB446" s="56"/>
    </row>
    <row r="447">
      <c r="A447" s="75"/>
      <c r="B447" s="69"/>
      <c r="C447" s="60"/>
      <c r="D447" s="61"/>
      <c r="E447" s="69"/>
      <c r="F447" s="60"/>
      <c r="G447" s="60"/>
      <c r="H447" s="60"/>
      <c r="I447" s="60"/>
      <c r="J447" s="60"/>
      <c r="K447" s="56"/>
      <c r="L447" s="56"/>
      <c r="M447" s="56"/>
      <c r="N447" s="56"/>
      <c r="O447" s="56"/>
      <c r="P447" s="56"/>
      <c r="Q447" s="56"/>
      <c r="R447" s="56"/>
      <c r="S447" s="56"/>
      <c r="T447" s="56"/>
      <c r="U447" s="56"/>
      <c r="V447" s="56"/>
      <c r="W447" s="56"/>
      <c r="X447" s="56"/>
      <c r="Y447" s="56"/>
      <c r="Z447" s="56"/>
      <c r="AA447" s="56"/>
      <c r="AB447" s="56"/>
    </row>
    <row r="448">
      <c r="A448" s="75"/>
      <c r="B448" s="69"/>
      <c r="C448" s="60"/>
      <c r="D448" s="61"/>
      <c r="E448" s="69"/>
      <c r="F448" s="60"/>
      <c r="G448" s="60"/>
      <c r="H448" s="60"/>
      <c r="I448" s="60"/>
      <c r="J448" s="60"/>
      <c r="K448" s="56"/>
      <c r="L448" s="56"/>
      <c r="M448" s="56"/>
      <c r="N448" s="56"/>
      <c r="O448" s="56"/>
      <c r="P448" s="56"/>
      <c r="Q448" s="56"/>
      <c r="R448" s="56"/>
      <c r="S448" s="56"/>
      <c r="T448" s="56"/>
      <c r="U448" s="56"/>
      <c r="V448" s="56"/>
      <c r="W448" s="56"/>
      <c r="X448" s="56"/>
      <c r="Y448" s="56"/>
      <c r="Z448" s="56"/>
      <c r="AA448" s="56"/>
      <c r="AB448" s="56"/>
    </row>
    <row r="449">
      <c r="A449" s="75"/>
      <c r="B449" s="69"/>
      <c r="C449" s="60"/>
      <c r="D449" s="61"/>
      <c r="E449" s="69"/>
      <c r="F449" s="60"/>
      <c r="G449" s="60"/>
      <c r="H449" s="60"/>
      <c r="I449" s="60"/>
      <c r="J449" s="60"/>
      <c r="K449" s="56"/>
      <c r="L449" s="56"/>
      <c r="M449" s="56"/>
      <c r="N449" s="56"/>
      <c r="O449" s="56"/>
      <c r="P449" s="56"/>
      <c r="Q449" s="56"/>
      <c r="R449" s="56"/>
      <c r="S449" s="56"/>
      <c r="T449" s="56"/>
      <c r="U449" s="56"/>
      <c r="V449" s="56"/>
      <c r="W449" s="56"/>
      <c r="X449" s="56"/>
      <c r="Y449" s="56"/>
      <c r="Z449" s="56"/>
      <c r="AA449" s="56"/>
      <c r="AB449" s="56"/>
    </row>
    <row r="450">
      <c r="A450" s="75"/>
      <c r="B450" s="69"/>
      <c r="C450" s="60"/>
      <c r="D450" s="61"/>
      <c r="E450" s="69"/>
      <c r="F450" s="60"/>
      <c r="G450" s="60"/>
      <c r="H450" s="60"/>
      <c r="I450" s="60"/>
      <c r="J450" s="60"/>
      <c r="K450" s="56"/>
      <c r="L450" s="56"/>
      <c r="M450" s="56"/>
      <c r="N450" s="56"/>
      <c r="O450" s="56"/>
      <c r="P450" s="56"/>
      <c r="Q450" s="56"/>
      <c r="R450" s="56"/>
      <c r="S450" s="56"/>
      <c r="T450" s="56"/>
      <c r="U450" s="56"/>
      <c r="V450" s="56"/>
      <c r="W450" s="56"/>
      <c r="X450" s="56"/>
      <c r="Y450" s="56"/>
      <c r="Z450" s="56"/>
      <c r="AA450" s="56"/>
      <c r="AB450" s="56"/>
    </row>
    <row r="451">
      <c r="A451" s="75"/>
      <c r="B451" s="69"/>
      <c r="C451" s="60"/>
      <c r="D451" s="61"/>
      <c r="E451" s="69"/>
      <c r="F451" s="60"/>
      <c r="G451" s="60"/>
      <c r="H451" s="60"/>
      <c r="I451" s="60"/>
      <c r="J451" s="60"/>
      <c r="K451" s="56"/>
      <c r="L451" s="56"/>
      <c r="M451" s="56"/>
      <c r="N451" s="56"/>
      <c r="O451" s="56"/>
      <c r="P451" s="56"/>
      <c r="Q451" s="56"/>
      <c r="R451" s="56"/>
      <c r="S451" s="56"/>
      <c r="T451" s="56"/>
      <c r="U451" s="56"/>
      <c r="V451" s="56"/>
      <c r="W451" s="56"/>
      <c r="X451" s="56"/>
      <c r="Y451" s="56"/>
      <c r="Z451" s="56"/>
      <c r="AA451" s="56"/>
      <c r="AB451" s="56"/>
    </row>
    <row r="452">
      <c r="A452" s="75"/>
      <c r="B452" s="69"/>
      <c r="C452" s="60"/>
      <c r="D452" s="61"/>
      <c r="E452" s="69"/>
      <c r="F452" s="60"/>
      <c r="G452" s="60"/>
      <c r="H452" s="60"/>
      <c r="I452" s="60"/>
      <c r="J452" s="60"/>
      <c r="K452" s="56"/>
      <c r="L452" s="56"/>
      <c r="M452" s="56"/>
      <c r="N452" s="56"/>
      <c r="O452" s="56"/>
      <c r="P452" s="56"/>
      <c r="Q452" s="56"/>
      <c r="R452" s="56"/>
      <c r="S452" s="56"/>
      <c r="T452" s="56"/>
      <c r="U452" s="56"/>
      <c r="V452" s="56"/>
      <c r="W452" s="56"/>
      <c r="X452" s="56"/>
      <c r="Y452" s="56"/>
      <c r="Z452" s="56"/>
      <c r="AA452" s="56"/>
      <c r="AB452" s="56"/>
    </row>
    <row r="453">
      <c r="A453" s="75"/>
      <c r="B453" s="69"/>
      <c r="C453" s="60"/>
      <c r="D453" s="61"/>
      <c r="E453" s="69"/>
      <c r="F453" s="60"/>
      <c r="G453" s="60"/>
      <c r="H453" s="60"/>
      <c r="I453" s="60"/>
      <c r="J453" s="60"/>
      <c r="K453" s="56"/>
      <c r="L453" s="56"/>
      <c r="M453" s="56"/>
      <c r="N453" s="56"/>
      <c r="O453" s="56"/>
      <c r="P453" s="56"/>
      <c r="Q453" s="56"/>
      <c r="R453" s="56"/>
      <c r="S453" s="56"/>
      <c r="T453" s="56"/>
      <c r="U453" s="56"/>
      <c r="V453" s="56"/>
      <c r="W453" s="56"/>
      <c r="X453" s="56"/>
      <c r="Y453" s="56"/>
      <c r="Z453" s="56"/>
      <c r="AA453" s="56"/>
      <c r="AB453" s="56"/>
    </row>
    <row r="454">
      <c r="A454" s="75"/>
      <c r="B454" s="69"/>
      <c r="C454" s="60"/>
      <c r="D454" s="61"/>
      <c r="E454" s="69"/>
      <c r="F454" s="60"/>
      <c r="G454" s="60"/>
      <c r="H454" s="60"/>
      <c r="I454" s="60"/>
      <c r="J454" s="60"/>
      <c r="K454" s="56"/>
      <c r="L454" s="56"/>
      <c r="M454" s="56"/>
      <c r="N454" s="56"/>
      <c r="O454" s="56"/>
      <c r="P454" s="56"/>
      <c r="Q454" s="56"/>
      <c r="R454" s="56"/>
      <c r="S454" s="56"/>
      <c r="T454" s="56"/>
      <c r="U454" s="56"/>
      <c r="V454" s="56"/>
      <c r="W454" s="56"/>
      <c r="X454" s="56"/>
      <c r="Y454" s="56"/>
      <c r="Z454" s="56"/>
      <c r="AA454" s="56"/>
      <c r="AB454" s="56"/>
    </row>
    <row r="455">
      <c r="A455" s="75"/>
      <c r="B455" s="69"/>
      <c r="C455" s="60"/>
      <c r="D455" s="61"/>
      <c r="E455" s="69"/>
      <c r="F455" s="60"/>
      <c r="G455" s="60"/>
      <c r="H455" s="60"/>
      <c r="I455" s="60"/>
      <c r="J455" s="60"/>
      <c r="K455" s="56"/>
      <c r="L455" s="56"/>
      <c r="M455" s="56"/>
      <c r="N455" s="56"/>
      <c r="O455" s="56"/>
      <c r="P455" s="56"/>
      <c r="Q455" s="56"/>
      <c r="R455" s="56"/>
      <c r="S455" s="56"/>
      <c r="T455" s="56"/>
      <c r="U455" s="56"/>
      <c r="V455" s="56"/>
      <c r="W455" s="56"/>
      <c r="X455" s="56"/>
      <c r="Y455" s="56"/>
      <c r="Z455" s="56"/>
      <c r="AA455" s="56"/>
      <c r="AB455" s="56"/>
    </row>
    <row r="456">
      <c r="A456" s="75"/>
      <c r="B456" s="69"/>
      <c r="C456" s="60"/>
      <c r="D456" s="61"/>
      <c r="E456" s="69"/>
      <c r="F456" s="60"/>
      <c r="G456" s="60"/>
      <c r="H456" s="60"/>
      <c r="I456" s="60"/>
      <c r="J456" s="60"/>
      <c r="K456" s="56"/>
      <c r="L456" s="56"/>
      <c r="M456" s="56"/>
      <c r="N456" s="56"/>
      <c r="O456" s="56"/>
      <c r="P456" s="56"/>
      <c r="Q456" s="56"/>
      <c r="R456" s="56"/>
      <c r="S456" s="56"/>
      <c r="T456" s="56"/>
      <c r="U456" s="56"/>
      <c r="V456" s="56"/>
      <c r="W456" s="56"/>
      <c r="X456" s="56"/>
      <c r="Y456" s="56"/>
      <c r="Z456" s="56"/>
      <c r="AA456" s="56"/>
      <c r="AB456" s="56"/>
    </row>
    <row r="457">
      <c r="A457" s="75"/>
      <c r="B457" s="69"/>
      <c r="C457" s="60"/>
      <c r="D457" s="61"/>
      <c r="E457" s="69"/>
      <c r="F457" s="60"/>
      <c r="G457" s="60"/>
      <c r="H457" s="60"/>
      <c r="I457" s="60"/>
      <c r="J457" s="60"/>
      <c r="K457" s="56"/>
      <c r="L457" s="56"/>
      <c r="M457" s="56"/>
      <c r="N457" s="56"/>
      <c r="O457" s="56"/>
      <c r="P457" s="56"/>
      <c r="Q457" s="56"/>
      <c r="R457" s="56"/>
      <c r="S457" s="56"/>
      <c r="T457" s="56"/>
      <c r="U457" s="56"/>
      <c r="V457" s="56"/>
      <c r="W457" s="56"/>
      <c r="X457" s="56"/>
      <c r="Y457" s="56"/>
      <c r="Z457" s="56"/>
      <c r="AA457" s="56"/>
      <c r="AB457" s="56"/>
    </row>
    <row r="458">
      <c r="A458" s="75"/>
      <c r="B458" s="69"/>
      <c r="C458" s="60"/>
      <c r="D458" s="61"/>
      <c r="E458" s="69"/>
      <c r="F458" s="60"/>
      <c r="G458" s="60"/>
      <c r="H458" s="60"/>
      <c r="I458" s="60"/>
      <c r="J458" s="60"/>
      <c r="K458" s="56"/>
      <c r="L458" s="56"/>
      <c r="M458" s="56"/>
      <c r="N458" s="56"/>
      <c r="O458" s="56"/>
      <c r="P458" s="56"/>
      <c r="Q458" s="56"/>
      <c r="R458" s="56"/>
      <c r="S458" s="56"/>
      <c r="T458" s="56"/>
      <c r="U458" s="56"/>
      <c r="V458" s="56"/>
      <c r="W458" s="56"/>
      <c r="X458" s="56"/>
      <c r="Y458" s="56"/>
      <c r="Z458" s="56"/>
      <c r="AA458" s="56"/>
      <c r="AB458" s="56"/>
    </row>
    <row r="459">
      <c r="A459" s="75"/>
      <c r="B459" s="69"/>
      <c r="C459" s="60"/>
      <c r="D459" s="61"/>
      <c r="E459" s="69"/>
      <c r="F459" s="60"/>
      <c r="G459" s="60"/>
      <c r="H459" s="60"/>
      <c r="I459" s="60"/>
      <c r="J459" s="60"/>
      <c r="K459" s="56"/>
      <c r="L459" s="56"/>
      <c r="M459" s="56"/>
      <c r="N459" s="56"/>
      <c r="O459" s="56"/>
      <c r="P459" s="56"/>
      <c r="Q459" s="56"/>
      <c r="R459" s="56"/>
      <c r="S459" s="56"/>
      <c r="T459" s="56"/>
      <c r="U459" s="56"/>
      <c r="V459" s="56"/>
      <c r="W459" s="56"/>
      <c r="X459" s="56"/>
      <c r="Y459" s="56"/>
      <c r="Z459" s="56"/>
      <c r="AA459" s="56"/>
      <c r="AB459" s="56"/>
    </row>
    <row r="460">
      <c r="A460" s="75"/>
      <c r="B460" s="69"/>
      <c r="C460" s="60"/>
      <c r="D460" s="61"/>
      <c r="E460" s="69"/>
      <c r="F460" s="60"/>
      <c r="G460" s="60"/>
      <c r="H460" s="60"/>
      <c r="I460" s="60"/>
      <c r="J460" s="60"/>
      <c r="K460" s="56"/>
      <c r="L460" s="56"/>
      <c r="M460" s="56"/>
      <c r="N460" s="56"/>
      <c r="O460" s="56"/>
      <c r="P460" s="56"/>
      <c r="Q460" s="56"/>
      <c r="R460" s="56"/>
      <c r="S460" s="56"/>
      <c r="T460" s="56"/>
      <c r="U460" s="56"/>
      <c r="V460" s="56"/>
      <c r="W460" s="56"/>
      <c r="X460" s="56"/>
      <c r="Y460" s="56"/>
      <c r="Z460" s="56"/>
      <c r="AA460" s="56"/>
      <c r="AB460" s="56"/>
    </row>
    <row r="461">
      <c r="A461" s="75"/>
      <c r="B461" s="69"/>
      <c r="C461" s="60"/>
      <c r="D461" s="61"/>
      <c r="E461" s="69"/>
      <c r="F461" s="60"/>
      <c r="G461" s="60"/>
      <c r="H461" s="60"/>
      <c r="I461" s="60"/>
      <c r="J461" s="60"/>
      <c r="K461" s="56"/>
      <c r="L461" s="56"/>
      <c r="M461" s="56"/>
      <c r="N461" s="56"/>
      <c r="O461" s="56"/>
      <c r="P461" s="56"/>
      <c r="Q461" s="56"/>
      <c r="R461" s="56"/>
      <c r="S461" s="56"/>
      <c r="T461" s="56"/>
      <c r="U461" s="56"/>
      <c r="V461" s="56"/>
      <c r="W461" s="56"/>
      <c r="X461" s="56"/>
      <c r="Y461" s="56"/>
      <c r="Z461" s="56"/>
      <c r="AA461" s="56"/>
      <c r="AB461" s="56"/>
    </row>
    <row r="462">
      <c r="A462" s="75"/>
      <c r="B462" s="69"/>
      <c r="C462" s="60"/>
      <c r="D462" s="61"/>
      <c r="E462" s="69"/>
      <c r="F462" s="60"/>
      <c r="G462" s="60"/>
      <c r="H462" s="60"/>
      <c r="I462" s="60"/>
      <c r="J462" s="60"/>
      <c r="K462" s="56"/>
      <c r="L462" s="56"/>
      <c r="M462" s="56"/>
      <c r="N462" s="56"/>
      <c r="O462" s="56"/>
      <c r="P462" s="56"/>
      <c r="Q462" s="56"/>
      <c r="R462" s="56"/>
      <c r="S462" s="56"/>
      <c r="T462" s="56"/>
      <c r="U462" s="56"/>
      <c r="V462" s="56"/>
      <c r="W462" s="56"/>
      <c r="X462" s="56"/>
      <c r="Y462" s="56"/>
      <c r="Z462" s="56"/>
      <c r="AA462" s="56"/>
      <c r="AB462" s="56"/>
    </row>
    <row r="463">
      <c r="A463" s="75"/>
      <c r="B463" s="69"/>
      <c r="C463" s="60"/>
      <c r="D463" s="61"/>
      <c r="E463" s="69"/>
      <c r="F463" s="60"/>
      <c r="G463" s="60"/>
      <c r="H463" s="60"/>
      <c r="I463" s="60"/>
      <c r="J463" s="60"/>
      <c r="K463" s="56"/>
      <c r="L463" s="56"/>
      <c r="M463" s="56"/>
      <c r="N463" s="56"/>
      <c r="O463" s="56"/>
      <c r="P463" s="56"/>
      <c r="Q463" s="56"/>
      <c r="R463" s="56"/>
      <c r="S463" s="56"/>
      <c r="T463" s="56"/>
      <c r="U463" s="56"/>
      <c r="V463" s="56"/>
      <c r="W463" s="56"/>
      <c r="X463" s="56"/>
      <c r="Y463" s="56"/>
      <c r="Z463" s="56"/>
      <c r="AA463" s="56"/>
      <c r="AB463" s="56"/>
    </row>
    <row r="464">
      <c r="A464" s="75"/>
      <c r="B464" s="69"/>
      <c r="C464" s="60"/>
      <c r="D464" s="61"/>
      <c r="E464" s="69"/>
      <c r="F464" s="60"/>
      <c r="G464" s="60"/>
      <c r="H464" s="60"/>
      <c r="I464" s="60"/>
      <c r="J464" s="60"/>
      <c r="K464" s="56"/>
      <c r="L464" s="56"/>
      <c r="M464" s="56"/>
      <c r="N464" s="56"/>
      <c r="O464" s="56"/>
      <c r="P464" s="56"/>
      <c r="Q464" s="56"/>
      <c r="R464" s="56"/>
      <c r="S464" s="56"/>
      <c r="T464" s="56"/>
      <c r="U464" s="56"/>
      <c r="V464" s="56"/>
      <c r="W464" s="56"/>
      <c r="X464" s="56"/>
      <c r="Y464" s="56"/>
      <c r="Z464" s="56"/>
      <c r="AA464" s="56"/>
      <c r="AB464" s="56"/>
    </row>
    <row r="465">
      <c r="A465" s="75"/>
      <c r="B465" s="69"/>
      <c r="C465" s="60"/>
      <c r="D465" s="61"/>
      <c r="E465" s="69"/>
      <c r="F465" s="60"/>
      <c r="G465" s="60"/>
      <c r="H465" s="60"/>
      <c r="I465" s="60"/>
      <c r="J465" s="60"/>
      <c r="K465" s="56"/>
      <c r="L465" s="56"/>
      <c r="M465" s="56"/>
      <c r="N465" s="56"/>
      <c r="O465" s="56"/>
      <c r="P465" s="56"/>
      <c r="Q465" s="56"/>
      <c r="R465" s="56"/>
      <c r="S465" s="56"/>
      <c r="T465" s="56"/>
      <c r="U465" s="56"/>
      <c r="V465" s="56"/>
      <c r="W465" s="56"/>
      <c r="X465" s="56"/>
      <c r="Y465" s="56"/>
      <c r="Z465" s="56"/>
      <c r="AA465" s="56"/>
      <c r="AB465" s="56"/>
    </row>
    <row r="466">
      <c r="A466" s="75"/>
      <c r="B466" s="69"/>
      <c r="C466" s="60"/>
      <c r="D466" s="61"/>
      <c r="E466" s="69"/>
      <c r="F466" s="60"/>
      <c r="G466" s="60"/>
      <c r="H466" s="60"/>
      <c r="I466" s="60"/>
      <c r="J466" s="60"/>
      <c r="K466" s="56"/>
      <c r="L466" s="56"/>
      <c r="M466" s="56"/>
      <c r="N466" s="56"/>
      <c r="O466" s="56"/>
      <c r="P466" s="56"/>
      <c r="Q466" s="56"/>
      <c r="R466" s="56"/>
      <c r="S466" s="56"/>
      <c r="T466" s="56"/>
      <c r="U466" s="56"/>
      <c r="V466" s="56"/>
      <c r="W466" s="56"/>
      <c r="X466" s="56"/>
      <c r="Y466" s="56"/>
      <c r="Z466" s="56"/>
      <c r="AA466" s="56"/>
      <c r="AB466" s="56"/>
    </row>
    <row r="467">
      <c r="A467" s="75"/>
      <c r="B467" s="69"/>
      <c r="C467" s="60"/>
      <c r="D467" s="61"/>
      <c r="E467" s="69"/>
      <c r="F467" s="60"/>
      <c r="G467" s="60"/>
      <c r="H467" s="60"/>
      <c r="I467" s="60"/>
      <c r="J467" s="60"/>
      <c r="K467" s="56"/>
      <c r="L467" s="56"/>
      <c r="M467" s="56"/>
      <c r="N467" s="56"/>
      <c r="O467" s="56"/>
      <c r="P467" s="56"/>
      <c r="Q467" s="56"/>
      <c r="R467" s="56"/>
      <c r="S467" s="56"/>
      <c r="T467" s="56"/>
      <c r="U467" s="56"/>
      <c r="V467" s="56"/>
      <c r="W467" s="56"/>
      <c r="X467" s="56"/>
      <c r="Y467" s="56"/>
      <c r="Z467" s="56"/>
      <c r="AA467" s="56"/>
      <c r="AB467" s="56"/>
    </row>
    <row r="468">
      <c r="A468" s="75"/>
      <c r="B468" s="69"/>
      <c r="C468" s="60"/>
      <c r="D468" s="61"/>
      <c r="E468" s="69"/>
      <c r="F468" s="60"/>
      <c r="G468" s="60"/>
      <c r="H468" s="60"/>
      <c r="I468" s="60"/>
      <c r="J468" s="60"/>
      <c r="K468" s="56"/>
      <c r="L468" s="56"/>
      <c r="M468" s="56"/>
      <c r="N468" s="56"/>
      <c r="O468" s="56"/>
      <c r="P468" s="56"/>
      <c r="Q468" s="56"/>
      <c r="R468" s="56"/>
      <c r="S468" s="56"/>
      <c r="T468" s="56"/>
      <c r="U468" s="56"/>
      <c r="V468" s="56"/>
      <c r="W468" s="56"/>
      <c r="X468" s="56"/>
      <c r="Y468" s="56"/>
      <c r="Z468" s="56"/>
      <c r="AA468" s="56"/>
      <c r="AB468" s="56"/>
    </row>
    <row r="469">
      <c r="A469" s="75"/>
      <c r="B469" s="69"/>
      <c r="C469" s="60"/>
      <c r="D469" s="61"/>
      <c r="E469" s="69"/>
      <c r="F469" s="60"/>
      <c r="G469" s="60"/>
      <c r="H469" s="60"/>
      <c r="I469" s="60"/>
      <c r="J469" s="60"/>
      <c r="K469" s="56"/>
      <c r="L469" s="56"/>
      <c r="M469" s="56"/>
      <c r="N469" s="56"/>
      <c r="O469" s="56"/>
      <c r="P469" s="56"/>
      <c r="Q469" s="56"/>
      <c r="R469" s="56"/>
      <c r="S469" s="56"/>
      <c r="T469" s="56"/>
      <c r="U469" s="56"/>
      <c r="V469" s="56"/>
      <c r="W469" s="56"/>
      <c r="X469" s="56"/>
      <c r="Y469" s="56"/>
      <c r="Z469" s="56"/>
      <c r="AA469" s="56"/>
      <c r="AB469" s="56"/>
    </row>
    <row r="470">
      <c r="A470" s="75"/>
      <c r="B470" s="69"/>
      <c r="C470" s="60"/>
      <c r="D470" s="61"/>
      <c r="E470" s="69"/>
      <c r="F470" s="60"/>
      <c r="G470" s="60"/>
      <c r="H470" s="60"/>
      <c r="I470" s="60"/>
      <c r="J470" s="60"/>
      <c r="K470" s="56"/>
      <c r="L470" s="56"/>
      <c r="M470" s="56"/>
      <c r="N470" s="56"/>
      <c r="O470" s="56"/>
      <c r="P470" s="56"/>
      <c r="Q470" s="56"/>
      <c r="R470" s="56"/>
      <c r="S470" s="56"/>
      <c r="T470" s="56"/>
      <c r="U470" s="56"/>
      <c r="V470" s="56"/>
      <c r="W470" s="56"/>
      <c r="X470" s="56"/>
      <c r="Y470" s="56"/>
      <c r="Z470" s="56"/>
      <c r="AA470" s="56"/>
      <c r="AB470" s="56"/>
    </row>
    <row r="471">
      <c r="A471" s="75"/>
      <c r="B471" s="69"/>
      <c r="C471" s="60"/>
      <c r="D471" s="61"/>
      <c r="E471" s="69"/>
      <c r="F471" s="60"/>
      <c r="G471" s="60"/>
      <c r="H471" s="60"/>
      <c r="I471" s="60"/>
      <c r="J471" s="60"/>
      <c r="K471" s="56"/>
      <c r="L471" s="56"/>
      <c r="M471" s="56"/>
      <c r="N471" s="56"/>
      <c r="O471" s="56"/>
      <c r="P471" s="56"/>
      <c r="Q471" s="56"/>
      <c r="R471" s="56"/>
      <c r="S471" s="56"/>
      <c r="T471" s="56"/>
      <c r="U471" s="56"/>
      <c r="V471" s="56"/>
      <c r="W471" s="56"/>
      <c r="X471" s="56"/>
      <c r="Y471" s="56"/>
      <c r="Z471" s="56"/>
      <c r="AA471" s="56"/>
      <c r="AB471" s="56"/>
    </row>
    <row r="472">
      <c r="A472" s="75"/>
      <c r="B472" s="69"/>
      <c r="C472" s="60"/>
      <c r="D472" s="61"/>
      <c r="E472" s="69"/>
      <c r="F472" s="60"/>
      <c r="G472" s="60"/>
      <c r="H472" s="60"/>
      <c r="I472" s="60"/>
      <c r="J472" s="60"/>
      <c r="K472" s="56"/>
      <c r="L472" s="56"/>
      <c r="M472" s="56"/>
      <c r="N472" s="56"/>
      <c r="O472" s="56"/>
      <c r="P472" s="56"/>
      <c r="Q472" s="56"/>
      <c r="R472" s="56"/>
      <c r="S472" s="56"/>
      <c r="T472" s="56"/>
      <c r="U472" s="56"/>
      <c r="V472" s="56"/>
      <c r="W472" s="56"/>
      <c r="X472" s="56"/>
      <c r="Y472" s="56"/>
      <c r="Z472" s="56"/>
      <c r="AA472" s="56"/>
      <c r="AB472" s="56"/>
    </row>
    <row r="473">
      <c r="A473" s="75"/>
      <c r="B473" s="69"/>
      <c r="C473" s="60"/>
      <c r="D473" s="61"/>
      <c r="E473" s="69"/>
      <c r="F473" s="60"/>
      <c r="G473" s="60"/>
      <c r="H473" s="60"/>
      <c r="I473" s="60"/>
      <c r="J473" s="60"/>
      <c r="K473" s="56"/>
      <c r="L473" s="56"/>
      <c r="M473" s="56"/>
      <c r="N473" s="56"/>
      <c r="O473" s="56"/>
      <c r="P473" s="56"/>
      <c r="Q473" s="56"/>
      <c r="R473" s="56"/>
      <c r="S473" s="56"/>
      <c r="T473" s="56"/>
      <c r="U473" s="56"/>
      <c r="V473" s="56"/>
      <c r="W473" s="56"/>
      <c r="X473" s="56"/>
      <c r="Y473" s="56"/>
      <c r="Z473" s="56"/>
      <c r="AA473" s="56"/>
      <c r="AB473" s="56"/>
    </row>
    <row r="474">
      <c r="A474" s="75"/>
      <c r="B474" s="69"/>
      <c r="C474" s="60"/>
      <c r="D474" s="61"/>
      <c r="E474" s="69"/>
      <c r="F474" s="60"/>
      <c r="G474" s="60"/>
      <c r="H474" s="60"/>
      <c r="I474" s="60"/>
      <c r="J474" s="60"/>
      <c r="K474" s="56"/>
      <c r="L474" s="56"/>
      <c r="M474" s="56"/>
      <c r="N474" s="56"/>
      <c r="O474" s="56"/>
      <c r="P474" s="56"/>
      <c r="Q474" s="56"/>
      <c r="R474" s="56"/>
      <c r="S474" s="56"/>
      <c r="T474" s="56"/>
      <c r="U474" s="56"/>
      <c r="V474" s="56"/>
      <c r="W474" s="56"/>
      <c r="X474" s="56"/>
      <c r="Y474" s="56"/>
      <c r="Z474" s="56"/>
      <c r="AA474" s="56"/>
      <c r="AB474" s="56"/>
    </row>
    <row r="475">
      <c r="A475" s="75"/>
      <c r="B475" s="69"/>
      <c r="C475" s="60"/>
      <c r="D475" s="61"/>
      <c r="E475" s="69"/>
      <c r="F475" s="60"/>
      <c r="G475" s="60"/>
      <c r="H475" s="60"/>
      <c r="I475" s="60"/>
      <c r="J475" s="60"/>
      <c r="K475" s="56"/>
      <c r="L475" s="56"/>
      <c r="M475" s="56"/>
      <c r="N475" s="56"/>
      <c r="O475" s="56"/>
      <c r="P475" s="56"/>
      <c r="Q475" s="56"/>
      <c r="R475" s="56"/>
      <c r="S475" s="56"/>
      <c r="T475" s="56"/>
      <c r="U475" s="56"/>
      <c r="V475" s="56"/>
      <c r="W475" s="56"/>
      <c r="X475" s="56"/>
      <c r="Y475" s="56"/>
      <c r="Z475" s="56"/>
      <c r="AA475" s="56"/>
      <c r="AB475" s="56"/>
    </row>
    <row r="476">
      <c r="A476" s="75"/>
      <c r="B476" s="69"/>
      <c r="C476" s="60"/>
      <c r="D476" s="61"/>
      <c r="E476" s="69"/>
      <c r="F476" s="60"/>
      <c r="G476" s="60"/>
      <c r="H476" s="60"/>
      <c r="I476" s="60"/>
      <c r="J476" s="60"/>
      <c r="K476" s="56"/>
      <c r="L476" s="56"/>
      <c r="M476" s="56"/>
      <c r="N476" s="56"/>
      <c r="O476" s="56"/>
      <c r="P476" s="56"/>
      <c r="Q476" s="56"/>
      <c r="R476" s="56"/>
      <c r="S476" s="56"/>
      <c r="T476" s="56"/>
      <c r="U476" s="56"/>
      <c r="V476" s="56"/>
      <c r="W476" s="56"/>
      <c r="X476" s="56"/>
      <c r="Y476" s="56"/>
      <c r="Z476" s="56"/>
      <c r="AA476" s="56"/>
      <c r="AB476" s="56"/>
    </row>
    <row r="477">
      <c r="A477" s="75"/>
      <c r="B477" s="69"/>
      <c r="C477" s="60"/>
      <c r="D477" s="61"/>
      <c r="E477" s="69"/>
      <c r="F477" s="60"/>
      <c r="G477" s="60"/>
      <c r="H477" s="60"/>
      <c r="I477" s="60"/>
      <c r="J477" s="60"/>
      <c r="K477" s="56"/>
      <c r="L477" s="56"/>
      <c r="M477" s="56"/>
      <c r="N477" s="56"/>
      <c r="O477" s="56"/>
      <c r="P477" s="56"/>
      <c r="Q477" s="56"/>
      <c r="R477" s="56"/>
      <c r="S477" s="56"/>
      <c r="T477" s="56"/>
      <c r="U477" s="56"/>
      <c r="V477" s="56"/>
      <c r="W477" s="56"/>
      <c r="X477" s="56"/>
      <c r="Y477" s="56"/>
      <c r="Z477" s="56"/>
      <c r="AA477" s="56"/>
      <c r="AB477" s="56"/>
    </row>
    <row r="478">
      <c r="A478" s="75"/>
      <c r="B478" s="69"/>
      <c r="C478" s="60"/>
      <c r="D478" s="61"/>
      <c r="E478" s="69"/>
      <c r="F478" s="60"/>
      <c r="G478" s="60"/>
      <c r="H478" s="60"/>
      <c r="I478" s="60"/>
      <c r="J478" s="60"/>
      <c r="K478" s="56"/>
      <c r="L478" s="56"/>
      <c r="M478" s="56"/>
      <c r="N478" s="56"/>
      <c r="O478" s="56"/>
      <c r="P478" s="56"/>
      <c r="Q478" s="56"/>
      <c r="R478" s="56"/>
      <c r="S478" s="56"/>
      <c r="T478" s="56"/>
      <c r="U478" s="56"/>
      <c r="V478" s="56"/>
      <c r="W478" s="56"/>
      <c r="X478" s="56"/>
      <c r="Y478" s="56"/>
      <c r="Z478" s="56"/>
      <c r="AA478" s="56"/>
      <c r="AB478" s="56"/>
    </row>
    <row r="479">
      <c r="A479" s="75"/>
      <c r="B479" s="69"/>
      <c r="C479" s="60"/>
      <c r="D479" s="61"/>
      <c r="E479" s="69"/>
      <c r="F479" s="60"/>
      <c r="G479" s="60"/>
      <c r="H479" s="60"/>
      <c r="I479" s="60"/>
      <c r="J479" s="60"/>
      <c r="K479" s="56"/>
      <c r="L479" s="56"/>
      <c r="M479" s="56"/>
      <c r="N479" s="56"/>
      <c r="O479" s="56"/>
      <c r="P479" s="56"/>
      <c r="Q479" s="56"/>
      <c r="R479" s="56"/>
      <c r="S479" s="56"/>
      <c r="T479" s="56"/>
      <c r="U479" s="56"/>
      <c r="V479" s="56"/>
      <c r="W479" s="56"/>
      <c r="X479" s="56"/>
      <c r="Y479" s="56"/>
      <c r="Z479" s="56"/>
      <c r="AA479" s="56"/>
      <c r="AB479" s="56"/>
    </row>
    <row r="480">
      <c r="A480" s="75"/>
      <c r="B480" s="69"/>
      <c r="C480" s="60"/>
      <c r="D480" s="61"/>
      <c r="E480" s="69"/>
      <c r="F480" s="60"/>
      <c r="G480" s="60"/>
      <c r="H480" s="60"/>
      <c r="I480" s="60"/>
      <c r="J480" s="60"/>
      <c r="K480" s="56"/>
      <c r="L480" s="56"/>
      <c r="M480" s="56"/>
      <c r="N480" s="56"/>
      <c r="O480" s="56"/>
      <c r="P480" s="56"/>
      <c r="Q480" s="56"/>
      <c r="R480" s="56"/>
      <c r="S480" s="56"/>
      <c r="T480" s="56"/>
      <c r="U480" s="56"/>
      <c r="V480" s="56"/>
      <c r="W480" s="56"/>
      <c r="X480" s="56"/>
      <c r="Y480" s="56"/>
      <c r="Z480" s="56"/>
      <c r="AA480" s="56"/>
      <c r="AB480" s="56"/>
    </row>
    <row r="481">
      <c r="A481" s="75"/>
      <c r="B481" s="69"/>
      <c r="C481" s="60"/>
      <c r="D481" s="61"/>
      <c r="E481" s="69"/>
      <c r="F481" s="60"/>
      <c r="G481" s="60"/>
      <c r="H481" s="60"/>
      <c r="I481" s="60"/>
      <c r="J481" s="60"/>
      <c r="K481" s="56"/>
      <c r="L481" s="56"/>
      <c r="M481" s="56"/>
      <c r="N481" s="56"/>
      <c r="O481" s="56"/>
      <c r="P481" s="56"/>
      <c r="Q481" s="56"/>
      <c r="R481" s="56"/>
      <c r="S481" s="56"/>
      <c r="T481" s="56"/>
      <c r="U481" s="56"/>
      <c r="V481" s="56"/>
      <c r="W481" s="56"/>
      <c r="X481" s="56"/>
      <c r="Y481" s="56"/>
      <c r="Z481" s="56"/>
      <c r="AA481" s="56"/>
      <c r="AB481" s="56"/>
    </row>
    <row r="482">
      <c r="A482" s="75"/>
      <c r="B482" s="69"/>
      <c r="C482" s="60"/>
      <c r="D482" s="61"/>
      <c r="E482" s="69"/>
      <c r="F482" s="60"/>
      <c r="G482" s="60"/>
      <c r="H482" s="60"/>
      <c r="I482" s="60"/>
      <c r="J482" s="60"/>
      <c r="K482" s="56"/>
      <c r="L482" s="56"/>
      <c r="M482" s="56"/>
      <c r="N482" s="56"/>
      <c r="O482" s="56"/>
      <c r="P482" s="56"/>
      <c r="Q482" s="56"/>
      <c r="R482" s="56"/>
      <c r="S482" s="56"/>
      <c r="T482" s="56"/>
      <c r="U482" s="56"/>
      <c r="V482" s="56"/>
      <c r="W482" s="56"/>
      <c r="X482" s="56"/>
      <c r="Y482" s="56"/>
      <c r="Z482" s="56"/>
      <c r="AA482" s="56"/>
      <c r="AB482" s="56"/>
    </row>
    <row r="483">
      <c r="A483" s="75"/>
      <c r="B483" s="69"/>
      <c r="C483" s="60"/>
      <c r="D483" s="61"/>
      <c r="E483" s="69"/>
      <c r="F483" s="60"/>
      <c r="G483" s="60"/>
      <c r="H483" s="60"/>
      <c r="I483" s="60"/>
      <c r="J483" s="60"/>
      <c r="K483" s="56"/>
      <c r="L483" s="56"/>
      <c r="M483" s="56"/>
      <c r="N483" s="56"/>
      <c r="O483" s="56"/>
      <c r="P483" s="56"/>
      <c r="Q483" s="56"/>
      <c r="R483" s="56"/>
      <c r="S483" s="56"/>
      <c r="T483" s="56"/>
      <c r="U483" s="56"/>
      <c r="V483" s="56"/>
      <c r="W483" s="56"/>
      <c r="X483" s="56"/>
      <c r="Y483" s="56"/>
      <c r="Z483" s="56"/>
      <c r="AA483" s="56"/>
      <c r="AB483" s="56"/>
    </row>
    <row r="484">
      <c r="A484" s="75"/>
      <c r="B484" s="69"/>
      <c r="C484" s="60"/>
      <c r="D484" s="61"/>
      <c r="E484" s="69"/>
      <c r="F484" s="60"/>
      <c r="G484" s="60"/>
      <c r="H484" s="60"/>
      <c r="I484" s="60"/>
      <c r="J484" s="60"/>
      <c r="K484" s="56"/>
      <c r="L484" s="56"/>
      <c r="M484" s="56"/>
      <c r="N484" s="56"/>
      <c r="O484" s="56"/>
      <c r="P484" s="56"/>
      <c r="Q484" s="56"/>
      <c r="R484" s="56"/>
      <c r="S484" s="56"/>
      <c r="T484" s="56"/>
      <c r="U484" s="56"/>
      <c r="V484" s="56"/>
      <c r="W484" s="56"/>
      <c r="X484" s="56"/>
      <c r="Y484" s="56"/>
      <c r="Z484" s="56"/>
      <c r="AA484" s="56"/>
      <c r="AB484" s="56"/>
    </row>
    <row r="485">
      <c r="A485" s="75"/>
      <c r="B485" s="69"/>
      <c r="C485" s="60"/>
      <c r="D485" s="61"/>
      <c r="E485" s="69"/>
      <c r="F485" s="60"/>
      <c r="G485" s="60"/>
      <c r="H485" s="60"/>
      <c r="I485" s="60"/>
      <c r="J485" s="60"/>
      <c r="K485" s="56"/>
      <c r="L485" s="56"/>
      <c r="M485" s="56"/>
      <c r="N485" s="56"/>
      <c r="O485" s="56"/>
      <c r="P485" s="56"/>
      <c r="Q485" s="56"/>
      <c r="R485" s="56"/>
      <c r="S485" s="56"/>
      <c r="T485" s="56"/>
      <c r="U485" s="56"/>
      <c r="V485" s="56"/>
      <c r="W485" s="56"/>
      <c r="X485" s="56"/>
      <c r="Y485" s="56"/>
      <c r="Z485" s="56"/>
      <c r="AA485" s="56"/>
      <c r="AB485" s="56"/>
    </row>
    <row r="486">
      <c r="A486" s="75"/>
      <c r="B486" s="69"/>
      <c r="C486" s="60"/>
      <c r="D486" s="61"/>
      <c r="E486" s="69"/>
      <c r="F486" s="60"/>
      <c r="G486" s="60"/>
      <c r="H486" s="60"/>
      <c r="I486" s="60"/>
      <c r="J486" s="60"/>
      <c r="K486" s="56"/>
      <c r="L486" s="56"/>
      <c r="M486" s="56"/>
      <c r="N486" s="56"/>
      <c r="O486" s="56"/>
      <c r="P486" s="56"/>
      <c r="Q486" s="56"/>
      <c r="R486" s="56"/>
      <c r="S486" s="56"/>
      <c r="T486" s="56"/>
      <c r="U486" s="56"/>
      <c r="V486" s="56"/>
      <c r="W486" s="56"/>
      <c r="X486" s="56"/>
      <c r="Y486" s="56"/>
      <c r="Z486" s="56"/>
      <c r="AA486" s="56"/>
      <c r="AB486" s="56"/>
    </row>
    <row r="487">
      <c r="A487" s="75"/>
      <c r="B487" s="69"/>
      <c r="C487" s="60"/>
      <c r="D487" s="61"/>
      <c r="E487" s="69"/>
      <c r="F487" s="60"/>
      <c r="G487" s="60"/>
      <c r="H487" s="60"/>
      <c r="I487" s="60"/>
      <c r="J487" s="60"/>
      <c r="K487" s="56"/>
      <c r="L487" s="56"/>
      <c r="M487" s="56"/>
      <c r="N487" s="56"/>
      <c r="O487" s="56"/>
      <c r="P487" s="56"/>
      <c r="Q487" s="56"/>
      <c r="R487" s="56"/>
      <c r="S487" s="56"/>
      <c r="T487" s="56"/>
      <c r="U487" s="56"/>
      <c r="V487" s="56"/>
      <c r="W487" s="56"/>
      <c r="X487" s="56"/>
      <c r="Y487" s="56"/>
      <c r="Z487" s="56"/>
      <c r="AA487" s="56"/>
      <c r="AB487" s="56"/>
    </row>
    <row r="488">
      <c r="A488" s="75"/>
      <c r="B488" s="69"/>
      <c r="C488" s="60"/>
      <c r="D488" s="61"/>
      <c r="E488" s="69"/>
      <c r="F488" s="60"/>
      <c r="G488" s="60"/>
      <c r="H488" s="60"/>
      <c r="I488" s="60"/>
      <c r="J488" s="60"/>
      <c r="K488" s="56"/>
      <c r="L488" s="56"/>
      <c r="M488" s="56"/>
      <c r="N488" s="56"/>
      <c r="O488" s="56"/>
      <c r="P488" s="56"/>
      <c r="Q488" s="56"/>
      <c r="R488" s="56"/>
      <c r="S488" s="56"/>
      <c r="T488" s="56"/>
      <c r="U488" s="56"/>
      <c r="V488" s="56"/>
      <c r="W488" s="56"/>
      <c r="X488" s="56"/>
      <c r="Y488" s="56"/>
      <c r="Z488" s="56"/>
      <c r="AA488" s="56"/>
      <c r="AB488" s="56"/>
    </row>
    <row r="489">
      <c r="A489" s="75"/>
      <c r="B489" s="69"/>
      <c r="C489" s="60"/>
      <c r="D489" s="61"/>
      <c r="E489" s="69"/>
      <c r="F489" s="60"/>
      <c r="G489" s="60"/>
      <c r="H489" s="60"/>
      <c r="I489" s="60"/>
      <c r="J489" s="60"/>
      <c r="K489" s="56"/>
      <c r="L489" s="56"/>
      <c r="M489" s="56"/>
      <c r="N489" s="56"/>
      <c r="O489" s="56"/>
      <c r="P489" s="56"/>
      <c r="Q489" s="56"/>
      <c r="R489" s="56"/>
      <c r="S489" s="56"/>
      <c r="T489" s="56"/>
      <c r="U489" s="56"/>
      <c r="V489" s="56"/>
      <c r="W489" s="56"/>
      <c r="X489" s="56"/>
      <c r="Y489" s="56"/>
      <c r="Z489" s="56"/>
      <c r="AA489" s="56"/>
      <c r="AB489" s="56"/>
    </row>
    <row r="490">
      <c r="A490" s="75"/>
      <c r="B490" s="69"/>
      <c r="C490" s="60"/>
      <c r="D490" s="61"/>
      <c r="E490" s="69"/>
      <c r="F490" s="60"/>
      <c r="G490" s="60"/>
      <c r="H490" s="60"/>
      <c r="I490" s="60"/>
      <c r="J490" s="60"/>
      <c r="K490" s="56"/>
      <c r="L490" s="56"/>
      <c r="M490" s="56"/>
      <c r="N490" s="56"/>
      <c r="O490" s="56"/>
      <c r="P490" s="56"/>
      <c r="Q490" s="56"/>
      <c r="R490" s="56"/>
      <c r="S490" s="56"/>
      <c r="T490" s="56"/>
      <c r="U490" s="56"/>
      <c r="V490" s="56"/>
      <c r="W490" s="56"/>
      <c r="X490" s="56"/>
      <c r="Y490" s="56"/>
      <c r="Z490" s="56"/>
      <c r="AA490" s="56"/>
      <c r="AB490" s="56"/>
    </row>
    <row r="491">
      <c r="A491" s="75"/>
      <c r="B491" s="69"/>
      <c r="C491" s="60"/>
      <c r="D491" s="61"/>
      <c r="E491" s="69"/>
      <c r="F491" s="60"/>
      <c r="G491" s="60"/>
      <c r="H491" s="60"/>
      <c r="I491" s="60"/>
      <c r="J491" s="60"/>
      <c r="K491" s="56"/>
      <c r="L491" s="56"/>
      <c r="M491" s="56"/>
      <c r="N491" s="56"/>
      <c r="O491" s="56"/>
      <c r="P491" s="56"/>
      <c r="Q491" s="56"/>
      <c r="R491" s="56"/>
      <c r="S491" s="56"/>
      <c r="T491" s="56"/>
      <c r="U491" s="56"/>
      <c r="V491" s="56"/>
      <c r="W491" s="56"/>
      <c r="X491" s="56"/>
      <c r="Y491" s="56"/>
      <c r="Z491" s="56"/>
      <c r="AA491" s="56"/>
      <c r="AB491" s="56"/>
    </row>
    <row r="492">
      <c r="A492" s="75"/>
      <c r="B492" s="69"/>
      <c r="C492" s="60"/>
      <c r="D492" s="61"/>
      <c r="E492" s="69"/>
      <c r="F492" s="60"/>
      <c r="G492" s="60"/>
      <c r="H492" s="60"/>
      <c r="I492" s="60"/>
      <c r="J492" s="60"/>
      <c r="K492" s="56"/>
      <c r="L492" s="56"/>
      <c r="M492" s="56"/>
      <c r="N492" s="56"/>
      <c r="O492" s="56"/>
      <c r="P492" s="56"/>
      <c r="Q492" s="56"/>
      <c r="R492" s="56"/>
      <c r="S492" s="56"/>
      <c r="T492" s="56"/>
      <c r="U492" s="56"/>
      <c r="V492" s="56"/>
      <c r="W492" s="56"/>
      <c r="X492" s="56"/>
      <c r="Y492" s="56"/>
      <c r="Z492" s="56"/>
      <c r="AA492" s="56"/>
      <c r="AB492" s="56"/>
    </row>
    <row r="493">
      <c r="A493" s="75"/>
      <c r="B493" s="69"/>
      <c r="C493" s="60"/>
      <c r="D493" s="61"/>
      <c r="E493" s="69"/>
      <c r="F493" s="60"/>
      <c r="G493" s="60"/>
      <c r="H493" s="60"/>
      <c r="I493" s="60"/>
      <c r="J493" s="60"/>
      <c r="K493" s="56"/>
      <c r="L493" s="56"/>
      <c r="M493" s="56"/>
      <c r="N493" s="56"/>
      <c r="O493" s="56"/>
      <c r="P493" s="56"/>
      <c r="Q493" s="56"/>
      <c r="R493" s="56"/>
      <c r="S493" s="56"/>
      <c r="T493" s="56"/>
      <c r="U493" s="56"/>
      <c r="V493" s="56"/>
      <c r="W493" s="56"/>
      <c r="X493" s="56"/>
      <c r="Y493" s="56"/>
      <c r="Z493" s="56"/>
      <c r="AA493" s="56"/>
      <c r="AB493" s="56"/>
    </row>
    <row r="494">
      <c r="A494" s="75"/>
      <c r="B494" s="69"/>
      <c r="C494" s="60"/>
      <c r="D494" s="61"/>
      <c r="E494" s="69"/>
      <c r="F494" s="60"/>
      <c r="G494" s="60"/>
      <c r="H494" s="60"/>
      <c r="I494" s="60"/>
      <c r="J494" s="60"/>
      <c r="K494" s="56"/>
      <c r="L494" s="56"/>
      <c r="M494" s="56"/>
      <c r="N494" s="56"/>
      <c r="O494" s="56"/>
      <c r="P494" s="56"/>
      <c r="Q494" s="56"/>
      <c r="R494" s="56"/>
      <c r="S494" s="56"/>
      <c r="T494" s="56"/>
      <c r="U494" s="56"/>
      <c r="V494" s="56"/>
      <c r="W494" s="56"/>
      <c r="X494" s="56"/>
      <c r="Y494" s="56"/>
      <c r="Z494" s="56"/>
      <c r="AA494" s="56"/>
      <c r="AB494" s="56"/>
    </row>
    <row r="495">
      <c r="A495" s="75"/>
      <c r="B495" s="69"/>
      <c r="C495" s="60"/>
      <c r="D495" s="61"/>
      <c r="E495" s="69"/>
      <c r="F495" s="60"/>
      <c r="G495" s="60"/>
      <c r="H495" s="60"/>
      <c r="I495" s="60"/>
      <c r="J495" s="60"/>
      <c r="K495" s="56"/>
      <c r="L495" s="56"/>
      <c r="M495" s="56"/>
      <c r="N495" s="56"/>
      <c r="O495" s="56"/>
      <c r="P495" s="56"/>
      <c r="Q495" s="56"/>
      <c r="R495" s="56"/>
      <c r="S495" s="56"/>
      <c r="T495" s="56"/>
      <c r="U495" s="56"/>
      <c r="V495" s="56"/>
      <c r="W495" s="56"/>
      <c r="X495" s="56"/>
      <c r="Y495" s="56"/>
      <c r="Z495" s="56"/>
      <c r="AA495" s="56"/>
      <c r="AB495" s="56"/>
    </row>
    <row r="496">
      <c r="A496" s="75"/>
      <c r="B496" s="69"/>
      <c r="C496" s="60"/>
      <c r="D496" s="61"/>
      <c r="E496" s="69"/>
      <c r="F496" s="60"/>
      <c r="G496" s="60"/>
      <c r="H496" s="60"/>
      <c r="I496" s="60"/>
      <c r="J496" s="60"/>
      <c r="K496" s="56"/>
      <c r="L496" s="56"/>
      <c r="M496" s="56"/>
      <c r="N496" s="56"/>
      <c r="O496" s="56"/>
      <c r="P496" s="56"/>
      <c r="Q496" s="56"/>
      <c r="R496" s="56"/>
      <c r="S496" s="56"/>
      <c r="T496" s="56"/>
      <c r="U496" s="56"/>
      <c r="V496" s="56"/>
      <c r="W496" s="56"/>
      <c r="X496" s="56"/>
      <c r="Y496" s="56"/>
      <c r="Z496" s="56"/>
      <c r="AA496" s="56"/>
      <c r="AB496" s="56"/>
    </row>
    <row r="497">
      <c r="A497" s="75"/>
      <c r="B497" s="69"/>
      <c r="C497" s="60"/>
      <c r="D497" s="61"/>
      <c r="E497" s="69"/>
      <c r="F497" s="60"/>
      <c r="G497" s="60"/>
      <c r="H497" s="60"/>
      <c r="I497" s="60"/>
      <c r="J497" s="60"/>
      <c r="K497" s="56"/>
      <c r="L497" s="56"/>
      <c r="M497" s="56"/>
      <c r="N497" s="56"/>
      <c r="O497" s="56"/>
      <c r="P497" s="56"/>
      <c r="Q497" s="56"/>
      <c r="R497" s="56"/>
      <c r="S497" s="56"/>
      <c r="T497" s="56"/>
      <c r="U497" s="56"/>
      <c r="V497" s="56"/>
      <c r="W497" s="56"/>
      <c r="X497" s="56"/>
      <c r="Y497" s="56"/>
      <c r="Z497" s="56"/>
      <c r="AA497" s="56"/>
      <c r="AB497" s="56"/>
    </row>
    <row r="498">
      <c r="A498" s="75"/>
      <c r="B498" s="69"/>
      <c r="C498" s="60"/>
      <c r="D498" s="61"/>
      <c r="E498" s="69"/>
      <c r="F498" s="60"/>
      <c r="G498" s="60"/>
      <c r="H498" s="60"/>
      <c r="I498" s="60"/>
      <c r="J498" s="60"/>
      <c r="K498" s="56"/>
      <c r="L498" s="56"/>
      <c r="M498" s="56"/>
      <c r="N498" s="56"/>
      <c r="O498" s="56"/>
      <c r="P498" s="56"/>
      <c r="Q498" s="56"/>
      <c r="R498" s="56"/>
      <c r="S498" s="56"/>
      <c r="T498" s="56"/>
      <c r="U498" s="56"/>
      <c r="V498" s="56"/>
      <c r="W498" s="56"/>
      <c r="X498" s="56"/>
      <c r="Y498" s="56"/>
      <c r="Z498" s="56"/>
      <c r="AA498" s="56"/>
      <c r="AB498" s="56"/>
    </row>
    <row r="499">
      <c r="A499" s="75"/>
      <c r="B499" s="69"/>
      <c r="C499" s="60"/>
      <c r="D499" s="61"/>
      <c r="E499" s="69"/>
      <c r="F499" s="60"/>
      <c r="G499" s="60"/>
      <c r="H499" s="60"/>
      <c r="I499" s="60"/>
      <c r="J499" s="60"/>
      <c r="K499" s="56"/>
      <c r="L499" s="56"/>
      <c r="M499" s="56"/>
      <c r="N499" s="56"/>
      <c r="O499" s="56"/>
      <c r="P499" s="56"/>
      <c r="Q499" s="56"/>
      <c r="R499" s="56"/>
      <c r="S499" s="56"/>
      <c r="T499" s="56"/>
      <c r="U499" s="56"/>
      <c r="V499" s="56"/>
      <c r="W499" s="56"/>
      <c r="X499" s="56"/>
      <c r="Y499" s="56"/>
      <c r="Z499" s="56"/>
      <c r="AA499" s="56"/>
      <c r="AB499" s="56"/>
    </row>
    <row r="500">
      <c r="A500" s="75"/>
      <c r="B500" s="69"/>
      <c r="C500" s="60"/>
      <c r="D500" s="61"/>
      <c r="E500" s="69"/>
      <c r="F500" s="60"/>
      <c r="G500" s="60"/>
      <c r="H500" s="60"/>
      <c r="I500" s="60"/>
      <c r="J500" s="60"/>
      <c r="K500" s="56"/>
      <c r="L500" s="56"/>
      <c r="M500" s="56"/>
      <c r="N500" s="56"/>
      <c r="O500" s="56"/>
      <c r="P500" s="56"/>
      <c r="Q500" s="56"/>
      <c r="R500" s="56"/>
      <c r="S500" s="56"/>
      <c r="T500" s="56"/>
      <c r="U500" s="56"/>
      <c r="V500" s="56"/>
      <c r="W500" s="56"/>
      <c r="X500" s="56"/>
      <c r="Y500" s="56"/>
      <c r="Z500" s="56"/>
      <c r="AA500" s="56"/>
      <c r="AB500" s="56"/>
    </row>
    <row r="501">
      <c r="A501" s="75"/>
      <c r="B501" s="69"/>
      <c r="C501" s="60"/>
      <c r="D501" s="61"/>
      <c r="E501" s="69"/>
      <c r="F501" s="60"/>
      <c r="G501" s="60"/>
      <c r="H501" s="60"/>
      <c r="I501" s="60"/>
      <c r="J501" s="60"/>
      <c r="K501" s="56"/>
      <c r="L501" s="56"/>
      <c r="M501" s="56"/>
      <c r="N501" s="56"/>
      <c r="O501" s="56"/>
      <c r="P501" s="56"/>
      <c r="Q501" s="56"/>
      <c r="R501" s="56"/>
      <c r="S501" s="56"/>
      <c r="T501" s="56"/>
      <c r="U501" s="56"/>
      <c r="V501" s="56"/>
      <c r="W501" s="56"/>
      <c r="X501" s="56"/>
      <c r="Y501" s="56"/>
      <c r="Z501" s="56"/>
      <c r="AA501" s="56"/>
      <c r="AB501" s="56"/>
    </row>
    <row r="502">
      <c r="A502" s="75"/>
      <c r="B502" s="69"/>
      <c r="C502" s="60"/>
      <c r="D502" s="61"/>
      <c r="E502" s="69"/>
      <c r="F502" s="60"/>
      <c r="G502" s="60"/>
      <c r="H502" s="60"/>
      <c r="I502" s="60"/>
      <c r="J502" s="60"/>
      <c r="K502" s="56"/>
      <c r="L502" s="56"/>
      <c r="M502" s="56"/>
      <c r="N502" s="56"/>
      <c r="O502" s="56"/>
      <c r="P502" s="56"/>
      <c r="Q502" s="56"/>
      <c r="R502" s="56"/>
      <c r="S502" s="56"/>
      <c r="T502" s="56"/>
      <c r="U502" s="56"/>
      <c r="V502" s="56"/>
      <c r="W502" s="56"/>
      <c r="X502" s="56"/>
      <c r="Y502" s="56"/>
      <c r="Z502" s="56"/>
      <c r="AA502" s="56"/>
      <c r="AB502" s="56"/>
    </row>
    <row r="503">
      <c r="A503" s="75"/>
      <c r="B503" s="69"/>
      <c r="C503" s="60"/>
      <c r="D503" s="61"/>
      <c r="E503" s="69"/>
      <c r="F503" s="60"/>
      <c r="G503" s="60"/>
      <c r="H503" s="60"/>
      <c r="I503" s="60"/>
      <c r="J503" s="60"/>
      <c r="K503" s="56"/>
      <c r="L503" s="56"/>
      <c r="M503" s="56"/>
      <c r="N503" s="56"/>
      <c r="O503" s="56"/>
      <c r="P503" s="56"/>
      <c r="Q503" s="56"/>
      <c r="R503" s="56"/>
      <c r="S503" s="56"/>
      <c r="T503" s="56"/>
      <c r="U503" s="56"/>
      <c r="V503" s="56"/>
      <c r="W503" s="56"/>
      <c r="X503" s="56"/>
      <c r="Y503" s="56"/>
      <c r="Z503" s="56"/>
      <c r="AA503" s="56"/>
      <c r="AB503" s="56"/>
    </row>
    <row r="504">
      <c r="A504" s="75"/>
      <c r="B504" s="69"/>
      <c r="C504" s="60"/>
      <c r="D504" s="61"/>
      <c r="E504" s="69"/>
      <c r="F504" s="60"/>
      <c r="G504" s="60"/>
      <c r="H504" s="60"/>
      <c r="I504" s="60"/>
      <c r="J504" s="60"/>
      <c r="K504" s="56"/>
      <c r="L504" s="56"/>
      <c r="M504" s="56"/>
      <c r="N504" s="56"/>
      <c r="O504" s="56"/>
      <c r="P504" s="56"/>
      <c r="Q504" s="56"/>
      <c r="R504" s="56"/>
      <c r="S504" s="56"/>
      <c r="T504" s="56"/>
      <c r="U504" s="56"/>
      <c r="V504" s="56"/>
      <c r="W504" s="56"/>
      <c r="X504" s="56"/>
      <c r="Y504" s="56"/>
      <c r="Z504" s="56"/>
      <c r="AA504" s="56"/>
      <c r="AB504" s="56"/>
    </row>
    <row r="505">
      <c r="A505" s="75"/>
      <c r="B505" s="69"/>
      <c r="C505" s="60"/>
      <c r="D505" s="61"/>
      <c r="E505" s="69"/>
      <c r="F505" s="60"/>
      <c r="G505" s="60"/>
      <c r="H505" s="60"/>
      <c r="I505" s="60"/>
      <c r="J505" s="60"/>
      <c r="K505" s="56"/>
      <c r="L505" s="56"/>
      <c r="M505" s="56"/>
      <c r="N505" s="56"/>
      <c r="O505" s="56"/>
      <c r="P505" s="56"/>
      <c r="Q505" s="56"/>
      <c r="R505" s="56"/>
      <c r="S505" s="56"/>
      <c r="T505" s="56"/>
      <c r="U505" s="56"/>
      <c r="V505" s="56"/>
      <c r="W505" s="56"/>
      <c r="X505" s="56"/>
      <c r="Y505" s="56"/>
      <c r="Z505" s="56"/>
      <c r="AA505" s="56"/>
      <c r="AB505" s="56"/>
    </row>
    <row r="506">
      <c r="A506" s="75"/>
      <c r="B506" s="69"/>
      <c r="C506" s="60"/>
      <c r="D506" s="61"/>
      <c r="E506" s="69"/>
      <c r="F506" s="60"/>
      <c r="G506" s="60"/>
      <c r="H506" s="60"/>
      <c r="I506" s="60"/>
      <c r="J506" s="60"/>
      <c r="K506" s="56"/>
      <c r="L506" s="56"/>
      <c r="M506" s="56"/>
      <c r="N506" s="56"/>
      <c r="O506" s="56"/>
      <c r="P506" s="56"/>
      <c r="Q506" s="56"/>
      <c r="R506" s="56"/>
      <c r="S506" s="56"/>
      <c r="T506" s="56"/>
      <c r="U506" s="56"/>
      <c r="V506" s="56"/>
      <c r="W506" s="56"/>
      <c r="X506" s="56"/>
      <c r="Y506" s="56"/>
      <c r="Z506" s="56"/>
      <c r="AA506" s="56"/>
      <c r="AB506" s="56"/>
    </row>
    <row r="507">
      <c r="A507" s="75"/>
      <c r="B507" s="69"/>
      <c r="C507" s="60"/>
      <c r="D507" s="61"/>
      <c r="E507" s="69"/>
      <c r="F507" s="60"/>
      <c r="G507" s="60"/>
      <c r="H507" s="60"/>
      <c r="I507" s="60"/>
      <c r="J507" s="60"/>
      <c r="K507" s="56"/>
      <c r="L507" s="56"/>
      <c r="M507" s="56"/>
      <c r="N507" s="56"/>
      <c r="O507" s="56"/>
      <c r="P507" s="56"/>
      <c r="Q507" s="56"/>
      <c r="R507" s="56"/>
      <c r="S507" s="56"/>
      <c r="T507" s="56"/>
      <c r="U507" s="56"/>
      <c r="V507" s="56"/>
      <c r="W507" s="56"/>
      <c r="X507" s="56"/>
      <c r="Y507" s="56"/>
      <c r="Z507" s="56"/>
      <c r="AA507" s="56"/>
      <c r="AB507" s="56"/>
    </row>
    <row r="508">
      <c r="A508" s="75"/>
      <c r="B508" s="69"/>
      <c r="C508" s="60"/>
      <c r="D508" s="61"/>
      <c r="E508" s="69"/>
      <c r="F508" s="60"/>
      <c r="G508" s="60"/>
      <c r="H508" s="60"/>
      <c r="I508" s="60"/>
      <c r="J508" s="60"/>
      <c r="K508" s="56"/>
      <c r="L508" s="56"/>
      <c r="M508" s="56"/>
      <c r="N508" s="56"/>
      <c r="O508" s="56"/>
      <c r="P508" s="56"/>
      <c r="Q508" s="56"/>
      <c r="R508" s="56"/>
      <c r="S508" s="56"/>
      <c r="T508" s="56"/>
      <c r="U508" s="56"/>
      <c r="V508" s="56"/>
      <c r="W508" s="56"/>
      <c r="X508" s="56"/>
      <c r="Y508" s="56"/>
      <c r="Z508" s="56"/>
      <c r="AA508" s="56"/>
      <c r="AB508" s="56"/>
    </row>
    <row r="509">
      <c r="A509" s="75"/>
      <c r="B509" s="69"/>
      <c r="C509" s="60"/>
      <c r="D509" s="61"/>
      <c r="E509" s="69"/>
      <c r="F509" s="60"/>
      <c r="G509" s="60"/>
      <c r="H509" s="60"/>
      <c r="I509" s="60"/>
      <c r="J509" s="60"/>
      <c r="K509" s="56"/>
      <c r="L509" s="56"/>
      <c r="M509" s="56"/>
      <c r="N509" s="56"/>
      <c r="O509" s="56"/>
      <c r="P509" s="56"/>
      <c r="Q509" s="56"/>
      <c r="R509" s="56"/>
      <c r="S509" s="56"/>
      <c r="T509" s="56"/>
      <c r="U509" s="56"/>
      <c r="V509" s="56"/>
      <c r="W509" s="56"/>
      <c r="X509" s="56"/>
      <c r="Y509" s="56"/>
      <c r="Z509" s="56"/>
      <c r="AA509" s="56"/>
      <c r="AB509" s="56"/>
    </row>
    <row r="510">
      <c r="A510" s="75"/>
      <c r="B510" s="69"/>
      <c r="C510" s="60"/>
      <c r="D510" s="61"/>
      <c r="E510" s="69"/>
      <c r="F510" s="60"/>
      <c r="G510" s="60"/>
      <c r="H510" s="60"/>
      <c r="I510" s="60"/>
      <c r="J510" s="60"/>
      <c r="K510" s="56"/>
      <c r="L510" s="56"/>
      <c r="M510" s="56"/>
      <c r="N510" s="56"/>
      <c r="O510" s="56"/>
      <c r="P510" s="56"/>
      <c r="Q510" s="56"/>
      <c r="R510" s="56"/>
      <c r="S510" s="56"/>
      <c r="T510" s="56"/>
      <c r="U510" s="56"/>
      <c r="V510" s="56"/>
      <c r="W510" s="56"/>
      <c r="X510" s="56"/>
      <c r="Y510" s="56"/>
      <c r="Z510" s="56"/>
      <c r="AA510" s="56"/>
      <c r="AB510" s="56"/>
    </row>
    <row r="511">
      <c r="A511" s="75"/>
      <c r="B511" s="69"/>
      <c r="C511" s="60"/>
      <c r="D511" s="61"/>
      <c r="E511" s="69"/>
      <c r="F511" s="60"/>
      <c r="G511" s="60"/>
      <c r="H511" s="60"/>
      <c r="I511" s="60"/>
      <c r="J511" s="60"/>
      <c r="K511" s="56"/>
      <c r="L511" s="56"/>
      <c r="M511" s="56"/>
      <c r="N511" s="56"/>
      <c r="O511" s="56"/>
      <c r="P511" s="56"/>
      <c r="Q511" s="56"/>
      <c r="R511" s="56"/>
      <c r="S511" s="56"/>
      <c r="T511" s="56"/>
      <c r="U511" s="56"/>
      <c r="V511" s="56"/>
      <c r="W511" s="56"/>
      <c r="X511" s="56"/>
      <c r="Y511" s="56"/>
      <c r="Z511" s="56"/>
      <c r="AA511" s="56"/>
      <c r="AB511" s="56"/>
    </row>
    <row r="512">
      <c r="A512" s="75"/>
      <c r="B512" s="69"/>
      <c r="C512" s="60"/>
      <c r="D512" s="61"/>
      <c r="E512" s="69"/>
      <c r="F512" s="60"/>
      <c r="G512" s="60"/>
      <c r="H512" s="60"/>
      <c r="I512" s="60"/>
      <c r="J512" s="60"/>
      <c r="K512" s="56"/>
      <c r="L512" s="56"/>
      <c r="M512" s="56"/>
      <c r="N512" s="56"/>
      <c r="O512" s="56"/>
      <c r="P512" s="56"/>
      <c r="Q512" s="56"/>
      <c r="R512" s="56"/>
      <c r="S512" s="56"/>
      <c r="T512" s="56"/>
      <c r="U512" s="56"/>
      <c r="V512" s="56"/>
      <c r="W512" s="56"/>
      <c r="X512" s="56"/>
      <c r="Y512" s="56"/>
      <c r="Z512" s="56"/>
      <c r="AA512" s="56"/>
      <c r="AB512" s="56"/>
    </row>
    <row r="513">
      <c r="A513" s="75"/>
      <c r="B513" s="69"/>
      <c r="C513" s="60"/>
      <c r="D513" s="61"/>
      <c r="E513" s="69"/>
      <c r="F513" s="60"/>
      <c r="G513" s="60"/>
      <c r="H513" s="60"/>
      <c r="I513" s="60"/>
      <c r="J513" s="60"/>
      <c r="K513" s="56"/>
      <c r="L513" s="56"/>
      <c r="M513" s="56"/>
      <c r="N513" s="56"/>
      <c r="O513" s="56"/>
      <c r="P513" s="56"/>
      <c r="Q513" s="56"/>
      <c r="R513" s="56"/>
      <c r="S513" s="56"/>
      <c r="T513" s="56"/>
      <c r="U513" s="56"/>
      <c r="V513" s="56"/>
      <c r="W513" s="56"/>
      <c r="X513" s="56"/>
      <c r="Y513" s="56"/>
      <c r="Z513" s="56"/>
      <c r="AA513" s="56"/>
      <c r="AB513" s="56"/>
    </row>
    <row r="514">
      <c r="A514" s="75"/>
      <c r="B514" s="69"/>
      <c r="C514" s="60"/>
      <c r="D514" s="61"/>
      <c r="E514" s="69"/>
      <c r="F514" s="60"/>
      <c r="G514" s="60"/>
      <c r="H514" s="60"/>
      <c r="I514" s="60"/>
      <c r="J514" s="60"/>
      <c r="K514" s="56"/>
      <c r="L514" s="56"/>
      <c r="M514" s="56"/>
      <c r="N514" s="56"/>
      <c r="O514" s="56"/>
      <c r="P514" s="56"/>
      <c r="Q514" s="56"/>
      <c r="R514" s="56"/>
      <c r="S514" s="56"/>
      <c r="T514" s="56"/>
      <c r="U514" s="56"/>
      <c r="V514" s="56"/>
      <c r="W514" s="56"/>
      <c r="X514" s="56"/>
      <c r="Y514" s="56"/>
      <c r="Z514" s="56"/>
      <c r="AA514" s="56"/>
      <c r="AB514" s="56"/>
    </row>
    <row r="515">
      <c r="A515" s="75"/>
      <c r="B515" s="69"/>
      <c r="C515" s="60"/>
      <c r="D515" s="61"/>
      <c r="E515" s="69"/>
      <c r="F515" s="60"/>
      <c r="G515" s="60"/>
      <c r="H515" s="60"/>
      <c r="I515" s="60"/>
      <c r="J515" s="60"/>
      <c r="K515" s="56"/>
      <c r="L515" s="56"/>
      <c r="M515" s="56"/>
      <c r="N515" s="56"/>
      <c r="O515" s="56"/>
      <c r="P515" s="56"/>
      <c r="Q515" s="56"/>
      <c r="R515" s="56"/>
      <c r="S515" s="56"/>
      <c r="T515" s="56"/>
      <c r="U515" s="56"/>
      <c r="V515" s="56"/>
      <c r="W515" s="56"/>
      <c r="X515" s="56"/>
      <c r="Y515" s="56"/>
      <c r="Z515" s="56"/>
      <c r="AA515" s="56"/>
      <c r="AB515" s="56"/>
    </row>
    <row r="516">
      <c r="A516" s="75"/>
      <c r="B516" s="69"/>
      <c r="C516" s="60"/>
      <c r="D516" s="61"/>
      <c r="E516" s="69"/>
      <c r="F516" s="60"/>
      <c r="G516" s="60"/>
      <c r="H516" s="60"/>
      <c r="I516" s="60"/>
      <c r="J516" s="60"/>
      <c r="K516" s="56"/>
      <c r="L516" s="56"/>
      <c r="M516" s="56"/>
      <c r="N516" s="56"/>
      <c r="O516" s="56"/>
      <c r="P516" s="56"/>
      <c r="Q516" s="56"/>
      <c r="R516" s="56"/>
      <c r="S516" s="56"/>
      <c r="T516" s="56"/>
      <c r="U516" s="56"/>
      <c r="V516" s="56"/>
      <c r="W516" s="56"/>
      <c r="X516" s="56"/>
      <c r="Y516" s="56"/>
      <c r="Z516" s="56"/>
      <c r="AA516" s="56"/>
      <c r="AB516" s="56"/>
    </row>
    <row r="517">
      <c r="A517" s="75"/>
      <c r="B517" s="69"/>
      <c r="C517" s="60"/>
      <c r="D517" s="61"/>
      <c r="E517" s="69"/>
      <c r="F517" s="60"/>
      <c r="G517" s="60"/>
      <c r="H517" s="60"/>
      <c r="I517" s="60"/>
      <c r="J517" s="60"/>
      <c r="K517" s="56"/>
      <c r="L517" s="56"/>
      <c r="M517" s="56"/>
      <c r="N517" s="56"/>
      <c r="O517" s="56"/>
      <c r="P517" s="56"/>
      <c r="Q517" s="56"/>
      <c r="R517" s="56"/>
      <c r="S517" s="56"/>
      <c r="T517" s="56"/>
      <c r="U517" s="56"/>
      <c r="V517" s="56"/>
      <c r="W517" s="56"/>
      <c r="X517" s="56"/>
      <c r="Y517" s="56"/>
      <c r="Z517" s="56"/>
      <c r="AA517" s="56"/>
      <c r="AB517" s="56"/>
    </row>
    <row r="518">
      <c r="A518" s="75"/>
      <c r="B518" s="69"/>
      <c r="C518" s="60"/>
      <c r="D518" s="61"/>
      <c r="E518" s="69"/>
      <c r="F518" s="60"/>
      <c r="G518" s="60"/>
      <c r="H518" s="60"/>
      <c r="I518" s="60"/>
      <c r="J518" s="60"/>
      <c r="K518" s="56"/>
      <c r="L518" s="56"/>
      <c r="M518" s="56"/>
      <c r="N518" s="56"/>
      <c r="O518" s="56"/>
      <c r="P518" s="56"/>
      <c r="Q518" s="56"/>
      <c r="R518" s="56"/>
      <c r="S518" s="56"/>
      <c r="T518" s="56"/>
      <c r="U518" s="56"/>
      <c r="V518" s="56"/>
      <c r="W518" s="56"/>
      <c r="X518" s="56"/>
      <c r="Y518" s="56"/>
      <c r="Z518" s="56"/>
      <c r="AA518" s="56"/>
      <c r="AB518" s="56"/>
    </row>
    <row r="519">
      <c r="A519" s="75"/>
      <c r="B519" s="69"/>
      <c r="C519" s="60"/>
      <c r="D519" s="61"/>
      <c r="E519" s="69"/>
      <c r="F519" s="60"/>
      <c r="G519" s="60"/>
      <c r="H519" s="60"/>
      <c r="I519" s="60"/>
      <c r="J519" s="60"/>
      <c r="K519" s="56"/>
      <c r="L519" s="56"/>
      <c r="M519" s="56"/>
      <c r="N519" s="56"/>
      <c r="O519" s="56"/>
      <c r="P519" s="56"/>
      <c r="Q519" s="56"/>
      <c r="R519" s="56"/>
      <c r="S519" s="56"/>
      <c r="T519" s="56"/>
      <c r="U519" s="56"/>
      <c r="V519" s="56"/>
      <c r="W519" s="56"/>
      <c r="X519" s="56"/>
      <c r="Y519" s="56"/>
      <c r="Z519" s="56"/>
      <c r="AA519" s="56"/>
      <c r="AB519" s="56"/>
    </row>
    <row r="520">
      <c r="A520" s="75"/>
      <c r="B520" s="69"/>
      <c r="C520" s="60"/>
      <c r="D520" s="61"/>
      <c r="E520" s="69"/>
      <c r="F520" s="60"/>
      <c r="G520" s="60"/>
      <c r="H520" s="60"/>
      <c r="I520" s="60"/>
      <c r="J520" s="60"/>
      <c r="K520" s="56"/>
      <c r="L520" s="56"/>
      <c r="M520" s="56"/>
      <c r="N520" s="56"/>
      <c r="O520" s="56"/>
      <c r="P520" s="56"/>
      <c r="Q520" s="56"/>
      <c r="R520" s="56"/>
      <c r="S520" s="56"/>
      <c r="T520" s="56"/>
      <c r="U520" s="56"/>
      <c r="V520" s="56"/>
      <c r="W520" s="56"/>
      <c r="X520" s="56"/>
      <c r="Y520" s="56"/>
      <c r="Z520" s="56"/>
      <c r="AA520" s="56"/>
      <c r="AB520" s="56"/>
    </row>
    <row r="521">
      <c r="A521" s="75"/>
      <c r="B521" s="69"/>
      <c r="C521" s="60"/>
      <c r="D521" s="61"/>
      <c r="E521" s="69"/>
      <c r="F521" s="60"/>
      <c r="G521" s="60"/>
      <c r="H521" s="60"/>
      <c r="I521" s="60"/>
      <c r="J521" s="60"/>
      <c r="K521" s="56"/>
      <c r="L521" s="56"/>
      <c r="M521" s="56"/>
      <c r="N521" s="56"/>
      <c r="O521" s="56"/>
      <c r="P521" s="56"/>
      <c r="Q521" s="56"/>
      <c r="R521" s="56"/>
      <c r="S521" s="56"/>
      <c r="T521" s="56"/>
      <c r="U521" s="56"/>
      <c r="V521" s="56"/>
      <c r="W521" s="56"/>
      <c r="X521" s="56"/>
      <c r="Y521" s="56"/>
      <c r="Z521" s="56"/>
      <c r="AA521" s="56"/>
      <c r="AB521" s="56"/>
    </row>
    <row r="522">
      <c r="A522" s="75"/>
      <c r="B522" s="69"/>
      <c r="C522" s="60"/>
      <c r="D522" s="61"/>
      <c r="E522" s="69"/>
      <c r="F522" s="60"/>
      <c r="G522" s="60"/>
      <c r="H522" s="60"/>
      <c r="I522" s="60"/>
      <c r="J522" s="60"/>
      <c r="K522" s="56"/>
      <c r="L522" s="56"/>
      <c r="M522" s="56"/>
      <c r="N522" s="56"/>
      <c r="O522" s="56"/>
      <c r="P522" s="56"/>
      <c r="Q522" s="56"/>
      <c r="R522" s="56"/>
      <c r="S522" s="56"/>
      <c r="T522" s="56"/>
      <c r="U522" s="56"/>
      <c r="V522" s="56"/>
      <c r="W522" s="56"/>
      <c r="X522" s="56"/>
      <c r="Y522" s="56"/>
      <c r="Z522" s="56"/>
      <c r="AA522" s="56"/>
      <c r="AB522" s="56"/>
    </row>
    <row r="523">
      <c r="A523" s="75"/>
      <c r="B523" s="69"/>
      <c r="C523" s="60"/>
      <c r="D523" s="61"/>
      <c r="E523" s="69"/>
      <c r="F523" s="60"/>
      <c r="G523" s="60"/>
      <c r="H523" s="60"/>
      <c r="I523" s="60"/>
      <c r="J523" s="60"/>
      <c r="K523" s="56"/>
      <c r="L523" s="56"/>
      <c r="M523" s="56"/>
      <c r="N523" s="56"/>
      <c r="O523" s="56"/>
      <c r="P523" s="56"/>
      <c r="Q523" s="56"/>
      <c r="R523" s="56"/>
      <c r="S523" s="56"/>
      <c r="T523" s="56"/>
      <c r="U523" s="56"/>
      <c r="V523" s="56"/>
      <c r="W523" s="56"/>
      <c r="X523" s="56"/>
      <c r="Y523" s="56"/>
      <c r="Z523" s="56"/>
      <c r="AA523" s="56"/>
      <c r="AB523" s="56"/>
    </row>
    <row r="524">
      <c r="A524" s="75"/>
      <c r="B524" s="69"/>
      <c r="C524" s="60"/>
      <c r="D524" s="61"/>
      <c r="E524" s="69"/>
      <c r="F524" s="60"/>
      <c r="G524" s="60"/>
      <c r="H524" s="60"/>
      <c r="I524" s="60"/>
      <c r="J524" s="60"/>
      <c r="K524" s="56"/>
      <c r="L524" s="56"/>
      <c r="M524" s="56"/>
      <c r="N524" s="56"/>
      <c r="O524" s="56"/>
      <c r="P524" s="56"/>
      <c r="Q524" s="56"/>
      <c r="R524" s="56"/>
      <c r="S524" s="56"/>
      <c r="T524" s="56"/>
      <c r="U524" s="56"/>
      <c r="V524" s="56"/>
      <c r="W524" s="56"/>
      <c r="X524" s="56"/>
      <c r="Y524" s="56"/>
      <c r="Z524" s="56"/>
      <c r="AA524" s="56"/>
      <c r="AB524" s="56"/>
    </row>
    <row r="525">
      <c r="A525" s="75"/>
      <c r="B525" s="69"/>
      <c r="C525" s="60"/>
      <c r="D525" s="61"/>
      <c r="E525" s="69"/>
      <c r="F525" s="60"/>
      <c r="G525" s="60"/>
      <c r="H525" s="60"/>
      <c r="I525" s="60"/>
      <c r="J525" s="60"/>
      <c r="K525" s="56"/>
      <c r="L525" s="56"/>
      <c r="M525" s="56"/>
      <c r="N525" s="56"/>
      <c r="O525" s="56"/>
      <c r="P525" s="56"/>
      <c r="Q525" s="56"/>
      <c r="R525" s="56"/>
      <c r="S525" s="56"/>
      <c r="T525" s="56"/>
      <c r="U525" s="56"/>
      <c r="V525" s="56"/>
      <c r="W525" s="56"/>
      <c r="X525" s="56"/>
      <c r="Y525" s="56"/>
      <c r="Z525" s="56"/>
      <c r="AA525" s="56"/>
      <c r="AB525" s="56"/>
    </row>
    <row r="526">
      <c r="A526" s="75"/>
      <c r="B526" s="69"/>
      <c r="C526" s="60"/>
      <c r="D526" s="61"/>
      <c r="E526" s="69"/>
      <c r="F526" s="60"/>
      <c r="G526" s="60"/>
      <c r="H526" s="60"/>
      <c r="I526" s="60"/>
      <c r="J526" s="60"/>
      <c r="K526" s="56"/>
      <c r="L526" s="56"/>
      <c r="M526" s="56"/>
      <c r="N526" s="56"/>
      <c r="O526" s="56"/>
      <c r="P526" s="56"/>
      <c r="Q526" s="56"/>
      <c r="R526" s="56"/>
      <c r="S526" s="56"/>
      <c r="T526" s="56"/>
      <c r="U526" s="56"/>
      <c r="V526" s="56"/>
      <c r="W526" s="56"/>
      <c r="X526" s="56"/>
      <c r="Y526" s="56"/>
      <c r="Z526" s="56"/>
      <c r="AA526" s="56"/>
      <c r="AB526" s="56"/>
    </row>
    <row r="527">
      <c r="A527" s="75"/>
      <c r="B527" s="69"/>
      <c r="C527" s="60"/>
      <c r="D527" s="61"/>
      <c r="E527" s="69"/>
      <c r="F527" s="60"/>
      <c r="G527" s="60"/>
      <c r="H527" s="60"/>
      <c r="I527" s="60"/>
      <c r="J527" s="60"/>
      <c r="K527" s="56"/>
      <c r="L527" s="56"/>
      <c r="M527" s="56"/>
      <c r="N527" s="56"/>
      <c r="O527" s="56"/>
      <c r="P527" s="56"/>
      <c r="Q527" s="56"/>
      <c r="R527" s="56"/>
      <c r="S527" s="56"/>
      <c r="T527" s="56"/>
      <c r="U527" s="56"/>
      <c r="V527" s="56"/>
      <c r="W527" s="56"/>
      <c r="X527" s="56"/>
      <c r="Y527" s="56"/>
      <c r="Z527" s="56"/>
      <c r="AA527" s="56"/>
      <c r="AB527" s="56"/>
    </row>
    <row r="528">
      <c r="A528" s="75"/>
      <c r="B528" s="69"/>
      <c r="C528" s="60"/>
      <c r="D528" s="61"/>
      <c r="E528" s="69"/>
      <c r="F528" s="60"/>
      <c r="G528" s="60"/>
      <c r="H528" s="60"/>
      <c r="I528" s="60"/>
      <c r="J528" s="60"/>
      <c r="K528" s="56"/>
      <c r="L528" s="56"/>
      <c r="M528" s="56"/>
      <c r="N528" s="56"/>
      <c r="O528" s="56"/>
      <c r="P528" s="56"/>
      <c r="Q528" s="56"/>
      <c r="R528" s="56"/>
      <c r="S528" s="56"/>
      <c r="T528" s="56"/>
      <c r="U528" s="56"/>
      <c r="V528" s="56"/>
      <c r="W528" s="56"/>
      <c r="X528" s="56"/>
      <c r="Y528" s="56"/>
      <c r="Z528" s="56"/>
      <c r="AA528" s="56"/>
      <c r="AB528" s="56"/>
    </row>
    <row r="529">
      <c r="A529" s="75"/>
      <c r="B529" s="69"/>
      <c r="C529" s="60"/>
      <c r="D529" s="61"/>
      <c r="E529" s="69"/>
      <c r="F529" s="60"/>
      <c r="G529" s="60"/>
      <c r="H529" s="60"/>
      <c r="I529" s="60"/>
      <c r="J529" s="60"/>
      <c r="K529" s="56"/>
      <c r="L529" s="56"/>
      <c r="M529" s="56"/>
      <c r="N529" s="56"/>
      <c r="O529" s="56"/>
      <c r="P529" s="56"/>
      <c r="Q529" s="56"/>
      <c r="R529" s="56"/>
      <c r="S529" s="56"/>
      <c r="T529" s="56"/>
      <c r="U529" s="56"/>
      <c r="V529" s="56"/>
      <c r="W529" s="56"/>
      <c r="X529" s="56"/>
      <c r="Y529" s="56"/>
      <c r="Z529" s="56"/>
      <c r="AA529" s="56"/>
      <c r="AB529" s="56"/>
    </row>
    <row r="530">
      <c r="A530" s="75"/>
      <c r="B530" s="69"/>
      <c r="C530" s="60"/>
      <c r="D530" s="61"/>
      <c r="E530" s="69"/>
      <c r="F530" s="60"/>
      <c r="G530" s="60"/>
      <c r="H530" s="60"/>
      <c r="I530" s="60"/>
      <c r="J530" s="60"/>
      <c r="K530" s="56"/>
      <c r="L530" s="56"/>
      <c r="M530" s="56"/>
      <c r="N530" s="56"/>
      <c r="O530" s="56"/>
      <c r="P530" s="56"/>
      <c r="Q530" s="56"/>
      <c r="R530" s="56"/>
      <c r="S530" s="56"/>
      <c r="T530" s="56"/>
      <c r="U530" s="56"/>
      <c r="V530" s="56"/>
      <c r="W530" s="56"/>
      <c r="X530" s="56"/>
      <c r="Y530" s="56"/>
      <c r="Z530" s="56"/>
      <c r="AA530" s="56"/>
      <c r="AB530" s="56"/>
    </row>
    <row r="531">
      <c r="A531" s="75"/>
      <c r="B531" s="69"/>
      <c r="C531" s="60"/>
      <c r="D531" s="61"/>
      <c r="E531" s="69"/>
      <c r="F531" s="60"/>
      <c r="G531" s="60"/>
      <c r="H531" s="60"/>
      <c r="I531" s="60"/>
      <c r="J531" s="60"/>
      <c r="K531" s="56"/>
      <c r="L531" s="56"/>
      <c r="M531" s="56"/>
      <c r="N531" s="56"/>
      <c r="O531" s="56"/>
      <c r="P531" s="56"/>
      <c r="Q531" s="56"/>
      <c r="R531" s="56"/>
      <c r="S531" s="56"/>
      <c r="T531" s="56"/>
      <c r="U531" s="56"/>
      <c r="V531" s="56"/>
      <c r="W531" s="56"/>
      <c r="X531" s="56"/>
      <c r="Y531" s="56"/>
      <c r="Z531" s="56"/>
      <c r="AA531" s="56"/>
      <c r="AB531" s="56"/>
    </row>
    <row r="532">
      <c r="A532" s="75"/>
      <c r="B532" s="69"/>
      <c r="C532" s="60"/>
      <c r="D532" s="61"/>
      <c r="E532" s="69"/>
      <c r="F532" s="60"/>
      <c r="G532" s="60"/>
      <c r="H532" s="60"/>
      <c r="I532" s="60"/>
      <c r="J532" s="60"/>
      <c r="K532" s="56"/>
      <c r="L532" s="56"/>
      <c r="M532" s="56"/>
      <c r="N532" s="56"/>
      <c r="O532" s="56"/>
      <c r="P532" s="56"/>
      <c r="Q532" s="56"/>
      <c r="R532" s="56"/>
      <c r="S532" s="56"/>
      <c r="T532" s="56"/>
      <c r="U532" s="56"/>
      <c r="V532" s="56"/>
      <c r="W532" s="56"/>
      <c r="X532" s="56"/>
      <c r="Y532" s="56"/>
      <c r="Z532" s="56"/>
      <c r="AA532" s="56"/>
      <c r="AB532" s="56"/>
    </row>
    <row r="533">
      <c r="A533" s="75"/>
      <c r="B533" s="69"/>
      <c r="C533" s="60"/>
      <c r="D533" s="61"/>
      <c r="E533" s="69"/>
      <c r="F533" s="60"/>
      <c r="G533" s="60"/>
      <c r="H533" s="60"/>
      <c r="I533" s="60"/>
      <c r="J533" s="60"/>
      <c r="K533" s="56"/>
      <c r="L533" s="56"/>
      <c r="M533" s="56"/>
      <c r="N533" s="56"/>
      <c r="O533" s="56"/>
      <c r="P533" s="56"/>
      <c r="Q533" s="56"/>
      <c r="R533" s="56"/>
      <c r="S533" s="56"/>
      <c r="T533" s="56"/>
      <c r="U533" s="56"/>
      <c r="V533" s="56"/>
      <c r="W533" s="56"/>
      <c r="X533" s="56"/>
      <c r="Y533" s="56"/>
      <c r="Z533" s="56"/>
      <c r="AA533" s="56"/>
      <c r="AB533" s="56"/>
    </row>
    <row r="534">
      <c r="A534" s="75"/>
      <c r="B534" s="69"/>
      <c r="C534" s="60"/>
      <c r="D534" s="61"/>
      <c r="E534" s="69"/>
      <c r="F534" s="60"/>
      <c r="G534" s="60"/>
      <c r="H534" s="60"/>
      <c r="I534" s="60"/>
      <c r="J534" s="60"/>
      <c r="K534" s="56"/>
      <c r="L534" s="56"/>
      <c r="M534" s="56"/>
      <c r="N534" s="56"/>
      <c r="O534" s="56"/>
      <c r="P534" s="56"/>
      <c r="Q534" s="56"/>
      <c r="R534" s="56"/>
      <c r="S534" s="56"/>
      <c r="T534" s="56"/>
      <c r="U534" s="56"/>
      <c r="V534" s="56"/>
      <c r="W534" s="56"/>
      <c r="X534" s="56"/>
      <c r="Y534" s="56"/>
      <c r="Z534" s="56"/>
      <c r="AA534" s="56"/>
      <c r="AB534" s="56"/>
    </row>
    <row r="535">
      <c r="A535" s="75"/>
      <c r="B535" s="69"/>
      <c r="C535" s="60"/>
      <c r="D535" s="61"/>
      <c r="E535" s="69"/>
      <c r="F535" s="60"/>
      <c r="G535" s="60"/>
      <c r="H535" s="60"/>
      <c r="I535" s="60"/>
      <c r="J535" s="60"/>
      <c r="K535" s="56"/>
      <c r="L535" s="56"/>
      <c r="M535" s="56"/>
      <c r="N535" s="56"/>
      <c r="O535" s="56"/>
      <c r="P535" s="56"/>
      <c r="Q535" s="56"/>
      <c r="R535" s="56"/>
      <c r="S535" s="56"/>
      <c r="T535" s="56"/>
      <c r="U535" s="56"/>
      <c r="V535" s="56"/>
      <c r="W535" s="56"/>
      <c r="X535" s="56"/>
      <c r="Y535" s="56"/>
      <c r="Z535" s="56"/>
      <c r="AA535" s="56"/>
      <c r="AB535" s="56"/>
    </row>
    <row r="536">
      <c r="A536" s="75"/>
      <c r="B536" s="69"/>
      <c r="C536" s="60"/>
      <c r="D536" s="61"/>
      <c r="E536" s="69"/>
      <c r="F536" s="60"/>
      <c r="G536" s="60"/>
      <c r="H536" s="60"/>
      <c r="I536" s="60"/>
      <c r="J536" s="60"/>
      <c r="K536" s="56"/>
      <c r="L536" s="56"/>
      <c r="M536" s="56"/>
      <c r="N536" s="56"/>
      <c r="O536" s="56"/>
      <c r="P536" s="56"/>
      <c r="Q536" s="56"/>
      <c r="R536" s="56"/>
      <c r="S536" s="56"/>
      <c r="T536" s="56"/>
      <c r="U536" s="56"/>
      <c r="V536" s="56"/>
      <c r="W536" s="56"/>
      <c r="X536" s="56"/>
      <c r="Y536" s="56"/>
      <c r="Z536" s="56"/>
      <c r="AA536" s="56"/>
      <c r="AB536" s="56"/>
    </row>
    <row r="537">
      <c r="A537" s="75"/>
      <c r="B537" s="69"/>
      <c r="C537" s="60"/>
      <c r="D537" s="61"/>
      <c r="E537" s="69"/>
      <c r="F537" s="60"/>
      <c r="G537" s="60"/>
      <c r="H537" s="60"/>
      <c r="I537" s="60"/>
      <c r="J537" s="60"/>
      <c r="K537" s="56"/>
      <c r="L537" s="56"/>
      <c r="M537" s="56"/>
      <c r="N537" s="56"/>
      <c r="O537" s="56"/>
      <c r="P537" s="56"/>
      <c r="Q537" s="56"/>
      <c r="R537" s="56"/>
      <c r="S537" s="56"/>
      <c r="T537" s="56"/>
      <c r="U537" s="56"/>
      <c r="V537" s="56"/>
      <c r="W537" s="56"/>
      <c r="X537" s="56"/>
      <c r="Y537" s="56"/>
      <c r="Z537" s="56"/>
      <c r="AA537" s="56"/>
      <c r="AB537" s="56"/>
    </row>
    <row r="538">
      <c r="A538" s="75"/>
      <c r="B538" s="69"/>
      <c r="C538" s="60"/>
      <c r="D538" s="61"/>
      <c r="E538" s="69"/>
      <c r="F538" s="60"/>
      <c r="G538" s="60"/>
      <c r="H538" s="60"/>
      <c r="I538" s="60"/>
      <c r="J538" s="60"/>
      <c r="K538" s="56"/>
      <c r="L538" s="56"/>
      <c r="M538" s="56"/>
      <c r="N538" s="56"/>
      <c r="O538" s="56"/>
      <c r="P538" s="56"/>
      <c r="Q538" s="56"/>
      <c r="R538" s="56"/>
      <c r="S538" s="56"/>
      <c r="T538" s="56"/>
      <c r="U538" s="56"/>
      <c r="V538" s="56"/>
      <c r="W538" s="56"/>
      <c r="X538" s="56"/>
      <c r="Y538" s="56"/>
      <c r="Z538" s="56"/>
      <c r="AA538" s="56"/>
      <c r="AB538" s="56"/>
    </row>
    <row r="539">
      <c r="A539" s="75"/>
      <c r="B539" s="69"/>
      <c r="C539" s="60"/>
      <c r="D539" s="61"/>
      <c r="E539" s="69"/>
      <c r="F539" s="60"/>
      <c r="G539" s="60"/>
      <c r="H539" s="60"/>
      <c r="I539" s="60"/>
      <c r="J539" s="60"/>
      <c r="K539" s="56"/>
      <c r="L539" s="56"/>
      <c r="M539" s="56"/>
      <c r="N539" s="56"/>
      <c r="O539" s="56"/>
      <c r="P539" s="56"/>
      <c r="Q539" s="56"/>
      <c r="R539" s="56"/>
      <c r="S539" s="56"/>
      <c r="T539" s="56"/>
      <c r="U539" s="56"/>
      <c r="V539" s="56"/>
      <c r="W539" s="56"/>
      <c r="X539" s="56"/>
      <c r="Y539" s="56"/>
      <c r="Z539" s="56"/>
      <c r="AA539" s="56"/>
      <c r="AB539" s="56"/>
    </row>
    <row r="540">
      <c r="A540" s="75"/>
      <c r="B540" s="69"/>
      <c r="C540" s="60"/>
      <c r="D540" s="61"/>
      <c r="E540" s="69"/>
      <c r="F540" s="60"/>
      <c r="G540" s="60"/>
      <c r="H540" s="60"/>
      <c r="I540" s="60"/>
      <c r="J540" s="60"/>
      <c r="K540" s="56"/>
      <c r="L540" s="56"/>
      <c r="M540" s="56"/>
      <c r="N540" s="56"/>
      <c r="O540" s="56"/>
      <c r="P540" s="56"/>
      <c r="Q540" s="56"/>
      <c r="R540" s="56"/>
      <c r="S540" s="56"/>
      <c r="T540" s="56"/>
      <c r="U540" s="56"/>
      <c r="V540" s="56"/>
      <c r="W540" s="56"/>
      <c r="X540" s="56"/>
      <c r="Y540" s="56"/>
      <c r="Z540" s="56"/>
      <c r="AA540" s="56"/>
      <c r="AB540" s="56"/>
    </row>
    <row r="541">
      <c r="A541" s="75"/>
      <c r="B541" s="69"/>
      <c r="C541" s="60"/>
      <c r="D541" s="61"/>
      <c r="E541" s="69"/>
      <c r="F541" s="60"/>
      <c r="G541" s="60"/>
      <c r="H541" s="60"/>
      <c r="I541" s="60"/>
      <c r="J541" s="60"/>
      <c r="K541" s="56"/>
      <c r="L541" s="56"/>
      <c r="M541" s="56"/>
      <c r="N541" s="56"/>
      <c r="O541" s="56"/>
      <c r="P541" s="56"/>
      <c r="Q541" s="56"/>
      <c r="R541" s="56"/>
      <c r="S541" s="56"/>
      <c r="T541" s="56"/>
      <c r="U541" s="56"/>
      <c r="V541" s="56"/>
      <c r="W541" s="56"/>
      <c r="X541" s="56"/>
      <c r="Y541" s="56"/>
      <c r="Z541" s="56"/>
      <c r="AA541" s="56"/>
      <c r="AB541" s="56"/>
    </row>
    <row r="542">
      <c r="A542" s="75"/>
      <c r="B542" s="69"/>
      <c r="C542" s="60"/>
      <c r="D542" s="61"/>
      <c r="E542" s="69"/>
      <c r="F542" s="60"/>
      <c r="G542" s="60"/>
      <c r="H542" s="60"/>
      <c r="I542" s="60"/>
      <c r="J542" s="60"/>
      <c r="K542" s="56"/>
      <c r="L542" s="56"/>
      <c r="M542" s="56"/>
      <c r="N542" s="56"/>
      <c r="O542" s="56"/>
      <c r="P542" s="56"/>
      <c r="Q542" s="56"/>
      <c r="R542" s="56"/>
      <c r="S542" s="56"/>
      <c r="T542" s="56"/>
      <c r="U542" s="56"/>
      <c r="V542" s="56"/>
      <c r="W542" s="56"/>
      <c r="X542" s="56"/>
      <c r="Y542" s="56"/>
      <c r="Z542" s="56"/>
      <c r="AA542" s="56"/>
      <c r="AB542" s="56"/>
    </row>
    <row r="543">
      <c r="A543" s="75"/>
      <c r="B543" s="69"/>
      <c r="C543" s="60"/>
      <c r="D543" s="61"/>
      <c r="E543" s="69"/>
      <c r="F543" s="60"/>
      <c r="G543" s="60"/>
      <c r="H543" s="60"/>
      <c r="I543" s="60"/>
      <c r="J543" s="60"/>
      <c r="K543" s="56"/>
      <c r="L543" s="56"/>
      <c r="M543" s="56"/>
      <c r="N543" s="56"/>
      <c r="O543" s="56"/>
      <c r="P543" s="56"/>
      <c r="Q543" s="56"/>
      <c r="R543" s="56"/>
      <c r="S543" s="56"/>
      <c r="T543" s="56"/>
      <c r="U543" s="56"/>
      <c r="V543" s="56"/>
      <c r="W543" s="56"/>
      <c r="X543" s="56"/>
      <c r="Y543" s="56"/>
      <c r="Z543" s="56"/>
      <c r="AA543" s="56"/>
      <c r="AB543" s="56"/>
    </row>
    <row r="544">
      <c r="A544" s="75"/>
      <c r="B544" s="69"/>
      <c r="C544" s="60"/>
      <c r="D544" s="61"/>
      <c r="E544" s="69"/>
      <c r="F544" s="60"/>
      <c r="G544" s="60"/>
      <c r="H544" s="60"/>
      <c r="I544" s="60"/>
      <c r="J544" s="60"/>
      <c r="K544" s="56"/>
      <c r="L544" s="56"/>
      <c r="M544" s="56"/>
      <c r="N544" s="56"/>
      <c r="O544" s="56"/>
      <c r="P544" s="56"/>
      <c r="Q544" s="56"/>
      <c r="R544" s="56"/>
      <c r="S544" s="56"/>
      <c r="T544" s="56"/>
      <c r="U544" s="56"/>
      <c r="V544" s="56"/>
      <c r="W544" s="56"/>
      <c r="X544" s="56"/>
      <c r="Y544" s="56"/>
      <c r="Z544" s="56"/>
      <c r="AA544" s="56"/>
      <c r="AB544" s="56"/>
    </row>
    <row r="545">
      <c r="A545" s="75"/>
      <c r="B545" s="69"/>
      <c r="C545" s="60"/>
      <c r="D545" s="61"/>
      <c r="E545" s="69"/>
      <c r="F545" s="60"/>
      <c r="G545" s="60"/>
      <c r="H545" s="60"/>
      <c r="I545" s="60"/>
      <c r="J545" s="60"/>
      <c r="K545" s="56"/>
      <c r="L545" s="56"/>
      <c r="M545" s="56"/>
      <c r="N545" s="56"/>
      <c r="O545" s="56"/>
      <c r="P545" s="56"/>
      <c r="Q545" s="56"/>
      <c r="R545" s="56"/>
      <c r="S545" s="56"/>
      <c r="T545" s="56"/>
      <c r="U545" s="56"/>
      <c r="V545" s="56"/>
      <c r="W545" s="56"/>
      <c r="X545" s="56"/>
      <c r="Y545" s="56"/>
      <c r="Z545" s="56"/>
      <c r="AA545" s="56"/>
      <c r="AB545" s="56"/>
    </row>
    <row r="546">
      <c r="A546" s="75"/>
      <c r="B546" s="69"/>
      <c r="C546" s="60"/>
      <c r="D546" s="61"/>
      <c r="E546" s="69"/>
      <c r="F546" s="60"/>
      <c r="G546" s="60"/>
      <c r="H546" s="60"/>
      <c r="I546" s="60"/>
      <c r="J546" s="60"/>
      <c r="K546" s="56"/>
      <c r="L546" s="56"/>
      <c r="M546" s="56"/>
      <c r="N546" s="56"/>
      <c r="O546" s="56"/>
      <c r="P546" s="56"/>
      <c r="Q546" s="56"/>
      <c r="R546" s="56"/>
      <c r="S546" s="56"/>
      <c r="T546" s="56"/>
      <c r="U546" s="56"/>
      <c r="V546" s="56"/>
      <c r="W546" s="56"/>
      <c r="X546" s="56"/>
      <c r="Y546" s="56"/>
      <c r="Z546" s="56"/>
      <c r="AA546" s="56"/>
      <c r="AB546" s="56"/>
    </row>
    <row r="547">
      <c r="A547" s="75"/>
      <c r="B547" s="69"/>
      <c r="C547" s="60"/>
      <c r="D547" s="61"/>
      <c r="E547" s="69"/>
      <c r="F547" s="60"/>
      <c r="G547" s="60"/>
      <c r="H547" s="60"/>
      <c r="I547" s="60"/>
      <c r="J547" s="60"/>
      <c r="K547" s="56"/>
      <c r="L547" s="56"/>
      <c r="M547" s="56"/>
      <c r="N547" s="56"/>
      <c r="O547" s="56"/>
      <c r="P547" s="56"/>
      <c r="Q547" s="56"/>
      <c r="R547" s="56"/>
      <c r="S547" s="56"/>
      <c r="T547" s="56"/>
      <c r="U547" s="56"/>
      <c r="V547" s="56"/>
      <c r="W547" s="56"/>
      <c r="X547" s="56"/>
      <c r="Y547" s="56"/>
      <c r="Z547" s="56"/>
      <c r="AA547" s="56"/>
      <c r="AB547" s="56"/>
    </row>
    <row r="548">
      <c r="A548" s="75"/>
      <c r="B548" s="69"/>
      <c r="C548" s="60"/>
      <c r="D548" s="61"/>
      <c r="E548" s="69"/>
      <c r="F548" s="60"/>
      <c r="G548" s="60"/>
      <c r="H548" s="60"/>
      <c r="I548" s="60"/>
      <c r="J548" s="60"/>
      <c r="K548" s="56"/>
      <c r="L548" s="56"/>
      <c r="M548" s="56"/>
      <c r="N548" s="56"/>
      <c r="O548" s="56"/>
      <c r="P548" s="56"/>
      <c r="Q548" s="56"/>
      <c r="R548" s="56"/>
      <c r="S548" s="56"/>
      <c r="T548" s="56"/>
      <c r="U548" s="56"/>
      <c r="V548" s="56"/>
      <c r="W548" s="56"/>
      <c r="X548" s="56"/>
      <c r="Y548" s="56"/>
      <c r="Z548" s="56"/>
      <c r="AA548" s="56"/>
      <c r="AB548" s="56"/>
    </row>
    <row r="549">
      <c r="A549" s="75"/>
      <c r="B549" s="69"/>
      <c r="C549" s="60"/>
      <c r="D549" s="61"/>
      <c r="E549" s="69"/>
      <c r="F549" s="60"/>
      <c r="G549" s="60"/>
      <c r="H549" s="60"/>
      <c r="I549" s="60"/>
      <c r="J549" s="60"/>
      <c r="K549" s="56"/>
      <c r="L549" s="56"/>
      <c r="M549" s="56"/>
      <c r="N549" s="56"/>
      <c r="O549" s="56"/>
      <c r="P549" s="56"/>
      <c r="Q549" s="56"/>
      <c r="R549" s="56"/>
      <c r="S549" s="56"/>
      <c r="T549" s="56"/>
      <c r="U549" s="56"/>
      <c r="V549" s="56"/>
      <c r="W549" s="56"/>
      <c r="X549" s="56"/>
      <c r="Y549" s="56"/>
      <c r="Z549" s="56"/>
      <c r="AA549" s="56"/>
      <c r="AB549" s="56"/>
    </row>
    <row r="550">
      <c r="A550" s="75"/>
      <c r="B550" s="69"/>
      <c r="C550" s="60"/>
      <c r="D550" s="61"/>
      <c r="E550" s="69"/>
      <c r="F550" s="60"/>
      <c r="G550" s="60"/>
      <c r="H550" s="60"/>
      <c r="I550" s="60"/>
      <c r="J550" s="60"/>
      <c r="K550" s="56"/>
      <c r="L550" s="56"/>
      <c r="M550" s="56"/>
      <c r="N550" s="56"/>
      <c r="O550" s="56"/>
      <c r="P550" s="56"/>
      <c r="Q550" s="56"/>
      <c r="R550" s="56"/>
      <c r="S550" s="56"/>
      <c r="T550" s="56"/>
      <c r="U550" s="56"/>
      <c r="V550" s="56"/>
      <c r="W550" s="56"/>
      <c r="X550" s="56"/>
      <c r="Y550" s="56"/>
      <c r="Z550" s="56"/>
      <c r="AA550" s="56"/>
      <c r="AB550" s="56"/>
    </row>
    <row r="551">
      <c r="A551" s="75"/>
      <c r="B551" s="69"/>
      <c r="C551" s="60"/>
      <c r="D551" s="61"/>
      <c r="E551" s="69"/>
      <c r="F551" s="60"/>
      <c r="G551" s="60"/>
      <c r="H551" s="60"/>
      <c r="I551" s="60"/>
      <c r="J551" s="60"/>
      <c r="K551" s="56"/>
      <c r="L551" s="56"/>
      <c r="M551" s="56"/>
      <c r="N551" s="56"/>
      <c r="O551" s="56"/>
      <c r="P551" s="56"/>
      <c r="Q551" s="56"/>
      <c r="R551" s="56"/>
      <c r="S551" s="56"/>
      <c r="T551" s="56"/>
      <c r="U551" s="56"/>
      <c r="V551" s="56"/>
      <c r="W551" s="56"/>
      <c r="X551" s="56"/>
      <c r="Y551" s="56"/>
      <c r="Z551" s="56"/>
      <c r="AA551" s="56"/>
      <c r="AB551" s="56"/>
    </row>
    <row r="552">
      <c r="A552" s="75"/>
      <c r="B552" s="69"/>
      <c r="C552" s="60"/>
      <c r="D552" s="61"/>
      <c r="E552" s="69"/>
      <c r="F552" s="60"/>
      <c r="G552" s="60"/>
      <c r="H552" s="60"/>
      <c r="I552" s="60"/>
      <c r="J552" s="60"/>
      <c r="K552" s="56"/>
      <c r="L552" s="56"/>
      <c r="M552" s="56"/>
      <c r="N552" s="56"/>
      <c r="O552" s="56"/>
      <c r="P552" s="56"/>
      <c r="Q552" s="56"/>
      <c r="R552" s="56"/>
      <c r="S552" s="56"/>
      <c r="T552" s="56"/>
      <c r="U552" s="56"/>
      <c r="V552" s="56"/>
      <c r="W552" s="56"/>
      <c r="X552" s="56"/>
      <c r="Y552" s="56"/>
      <c r="Z552" s="56"/>
      <c r="AA552" s="56"/>
      <c r="AB552" s="56"/>
    </row>
    <row r="553">
      <c r="A553" s="75"/>
      <c r="B553" s="69"/>
      <c r="C553" s="60"/>
      <c r="D553" s="61"/>
      <c r="E553" s="69"/>
      <c r="F553" s="60"/>
      <c r="G553" s="60"/>
      <c r="H553" s="60"/>
      <c r="I553" s="60"/>
      <c r="J553" s="60"/>
      <c r="K553" s="56"/>
      <c r="L553" s="56"/>
      <c r="M553" s="56"/>
      <c r="N553" s="56"/>
      <c r="O553" s="56"/>
      <c r="P553" s="56"/>
      <c r="Q553" s="56"/>
      <c r="R553" s="56"/>
      <c r="S553" s="56"/>
      <c r="T553" s="56"/>
      <c r="U553" s="56"/>
      <c r="V553" s="56"/>
      <c r="W553" s="56"/>
      <c r="X553" s="56"/>
      <c r="Y553" s="56"/>
      <c r="Z553" s="56"/>
      <c r="AA553" s="56"/>
      <c r="AB553" s="56"/>
    </row>
    <row r="554">
      <c r="A554" s="75"/>
      <c r="B554" s="69"/>
      <c r="C554" s="60"/>
      <c r="D554" s="61"/>
      <c r="E554" s="69"/>
      <c r="F554" s="60"/>
      <c r="G554" s="60"/>
      <c r="H554" s="60"/>
      <c r="I554" s="60"/>
      <c r="J554" s="60"/>
      <c r="K554" s="56"/>
      <c r="L554" s="56"/>
      <c r="M554" s="56"/>
      <c r="N554" s="56"/>
      <c r="O554" s="56"/>
      <c r="P554" s="56"/>
      <c r="Q554" s="56"/>
      <c r="R554" s="56"/>
      <c r="S554" s="56"/>
      <c r="T554" s="56"/>
      <c r="U554" s="56"/>
      <c r="V554" s="56"/>
      <c r="W554" s="56"/>
      <c r="X554" s="56"/>
      <c r="Y554" s="56"/>
      <c r="Z554" s="56"/>
      <c r="AA554" s="56"/>
      <c r="AB554" s="56"/>
    </row>
    <row r="555">
      <c r="A555" s="75"/>
      <c r="B555" s="69"/>
      <c r="C555" s="60"/>
      <c r="D555" s="61"/>
      <c r="E555" s="69"/>
      <c r="F555" s="60"/>
      <c r="G555" s="60"/>
      <c r="H555" s="60"/>
      <c r="I555" s="60"/>
      <c r="J555" s="60"/>
      <c r="K555" s="56"/>
      <c r="L555" s="56"/>
      <c r="M555" s="56"/>
      <c r="N555" s="56"/>
      <c r="O555" s="56"/>
      <c r="P555" s="56"/>
      <c r="Q555" s="56"/>
      <c r="R555" s="56"/>
      <c r="S555" s="56"/>
      <c r="T555" s="56"/>
      <c r="U555" s="56"/>
      <c r="V555" s="56"/>
      <c r="W555" s="56"/>
      <c r="X555" s="56"/>
      <c r="Y555" s="56"/>
      <c r="Z555" s="56"/>
      <c r="AA555" s="56"/>
      <c r="AB555" s="56"/>
    </row>
    <row r="556">
      <c r="A556" s="75"/>
      <c r="B556" s="69"/>
      <c r="C556" s="60"/>
      <c r="D556" s="61"/>
      <c r="E556" s="69"/>
      <c r="F556" s="60"/>
      <c r="G556" s="60"/>
      <c r="H556" s="60"/>
      <c r="I556" s="60"/>
      <c r="J556" s="60"/>
      <c r="K556" s="56"/>
      <c r="L556" s="56"/>
      <c r="M556" s="56"/>
      <c r="N556" s="56"/>
      <c r="O556" s="56"/>
      <c r="P556" s="56"/>
      <c r="Q556" s="56"/>
      <c r="R556" s="56"/>
      <c r="S556" s="56"/>
      <c r="T556" s="56"/>
      <c r="U556" s="56"/>
      <c r="V556" s="56"/>
      <c r="W556" s="56"/>
      <c r="X556" s="56"/>
      <c r="Y556" s="56"/>
      <c r="Z556" s="56"/>
      <c r="AA556" s="56"/>
      <c r="AB556" s="56"/>
    </row>
    <row r="557">
      <c r="A557" s="75"/>
      <c r="B557" s="69"/>
      <c r="C557" s="60"/>
      <c r="D557" s="61"/>
      <c r="E557" s="69"/>
      <c r="F557" s="60"/>
      <c r="G557" s="60"/>
      <c r="H557" s="60"/>
      <c r="I557" s="60"/>
      <c r="J557" s="60"/>
      <c r="K557" s="56"/>
      <c r="L557" s="56"/>
      <c r="M557" s="56"/>
      <c r="N557" s="56"/>
      <c r="O557" s="56"/>
      <c r="P557" s="56"/>
      <c r="Q557" s="56"/>
      <c r="R557" s="56"/>
      <c r="S557" s="56"/>
      <c r="T557" s="56"/>
      <c r="U557" s="56"/>
      <c r="V557" s="56"/>
      <c r="W557" s="56"/>
      <c r="X557" s="56"/>
      <c r="Y557" s="56"/>
      <c r="Z557" s="56"/>
      <c r="AA557" s="56"/>
      <c r="AB557" s="56"/>
    </row>
    <row r="558">
      <c r="A558" s="75"/>
      <c r="B558" s="69"/>
      <c r="C558" s="60"/>
      <c r="D558" s="61"/>
      <c r="E558" s="69"/>
      <c r="F558" s="60"/>
      <c r="G558" s="60"/>
      <c r="H558" s="60"/>
      <c r="I558" s="60"/>
      <c r="J558" s="60"/>
      <c r="K558" s="56"/>
      <c r="L558" s="56"/>
      <c r="M558" s="56"/>
      <c r="N558" s="56"/>
      <c r="O558" s="56"/>
      <c r="P558" s="56"/>
      <c r="Q558" s="56"/>
      <c r="R558" s="56"/>
      <c r="S558" s="56"/>
      <c r="T558" s="56"/>
      <c r="U558" s="56"/>
      <c r="V558" s="56"/>
      <c r="W558" s="56"/>
      <c r="X558" s="56"/>
      <c r="Y558" s="56"/>
      <c r="Z558" s="56"/>
      <c r="AA558" s="56"/>
      <c r="AB558" s="56"/>
    </row>
    <row r="559">
      <c r="A559" s="75"/>
      <c r="B559" s="69"/>
      <c r="C559" s="60"/>
      <c r="D559" s="61"/>
      <c r="E559" s="69"/>
      <c r="F559" s="60"/>
      <c r="G559" s="60"/>
      <c r="H559" s="60"/>
      <c r="I559" s="60"/>
      <c r="J559" s="60"/>
      <c r="K559" s="56"/>
      <c r="L559" s="56"/>
      <c r="M559" s="56"/>
      <c r="N559" s="56"/>
      <c r="O559" s="56"/>
      <c r="P559" s="56"/>
      <c r="Q559" s="56"/>
      <c r="R559" s="56"/>
      <c r="S559" s="56"/>
      <c r="T559" s="56"/>
      <c r="U559" s="56"/>
      <c r="V559" s="56"/>
      <c r="W559" s="56"/>
      <c r="X559" s="56"/>
      <c r="Y559" s="56"/>
      <c r="Z559" s="56"/>
      <c r="AA559" s="56"/>
      <c r="AB559" s="56"/>
    </row>
    <row r="560">
      <c r="A560" s="75"/>
      <c r="B560" s="69"/>
      <c r="C560" s="60"/>
      <c r="D560" s="61"/>
      <c r="E560" s="69"/>
      <c r="F560" s="60"/>
      <c r="G560" s="60"/>
      <c r="H560" s="60"/>
      <c r="I560" s="60"/>
      <c r="J560" s="60"/>
      <c r="K560" s="56"/>
      <c r="L560" s="56"/>
      <c r="M560" s="56"/>
      <c r="N560" s="56"/>
      <c r="O560" s="56"/>
      <c r="P560" s="56"/>
      <c r="Q560" s="56"/>
      <c r="R560" s="56"/>
      <c r="S560" s="56"/>
      <c r="T560" s="56"/>
      <c r="U560" s="56"/>
      <c r="V560" s="56"/>
      <c r="W560" s="56"/>
      <c r="X560" s="56"/>
      <c r="Y560" s="56"/>
      <c r="Z560" s="56"/>
      <c r="AA560" s="56"/>
      <c r="AB560" s="56"/>
    </row>
    <row r="561">
      <c r="A561" s="75"/>
      <c r="B561" s="69"/>
      <c r="C561" s="60"/>
      <c r="D561" s="61"/>
      <c r="E561" s="69"/>
      <c r="F561" s="60"/>
      <c r="G561" s="60"/>
      <c r="H561" s="60"/>
      <c r="I561" s="60"/>
      <c r="J561" s="60"/>
      <c r="K561" s="56"/>
      <c r="L561" s="56"/>
      <c r="M561" s="56"/>
      <c r="N561" s="56"/>
      <c r="O561" s="56"/>
      <c r="P561" s="56"/>
      <c r="Q561" s="56"/>
      <c r="R561" s="56"/>
      <c r="S561" s="56"/>
      <c r="T561" s="56"/>
      <c r="U561" s="56"/>
      <c r="V561" s="56"/>
      <c r="W561" s="56"/>
      <c r="X561" s="56"/>
      <c r="Y561" s="56"/>
      <c r="Z561" s="56"/>
      <c r="AA561" s="56"/>
      <c r="AB561" s="56"/>
    </row>
    <row r="562">
      <c r="A562" s="75"/>
      <c r="B562" s="69"/>
      <c r="C562" s="60"/>
      <c r="D562" s="61"/>
      <c r="E562" s="69"/>
      <c r="F562" s="60"/>
      <c r="G562" s="60"/>
      <c r="H562" s="60"/>
      <c r="I562" s="60"/>
      <c r="J562" s="60"/>
      <c r="K562" s="56"/>
      <c r="L562" s="56"/>
      <c r="M562" s="56"/>
      <c r="N562" s="56"/>
      <c r="O562" s="56"/>
      <c r="P562" s="56"/>
      <c r="Q562" s="56"/>
      <c r="R562" s="56"/>
      <c r="S562" s="56"/>
      <c r="T562" s="56"/>
      <c r="U562" s="56"/>
      <c r="V562" s="56"/>
      <c r="W562" s="56"/>
      <c r="X562" s="56"/>
      <c r="Y562" s="56"/>
      <c r="Z562" s="56"/>
      <c r="AA562" s="56"/>
      <c r="AB562" s="56"/>
    </row>
    <row r="563">
      <c r="A563" s="75"/>
      <c r="B563" s="69"/>
      <c r="C563" s="60"/>
      <c r="D563" s="61"/>
      <c r="E563" s="69"/>
      <c r="F563" s="60"/>
      <c r="G563" s="60"/>
      <c r="H563" s="60"/>
      <c r="I563" s="60"/>
      <c r="J563" s="60"/>
      <c r="K563" s="56"/>
      <c r="L563" s="56"/>
      <c r="M563" s="56"/>
      <c r="N563" s="56"/>
      <c r="O563" s="56"/>
      <c r="P563" s="56"/>
      <c r="Q563" s="56"/>
      <c r="R563" s="56"/>
      <c r="S563" s="56"/>
      <c r="T563" s="56"/>
      <c r="U563" s="56"/>
      <c r="V563" s="56"/>
      <c r="W563" s="56"/>
      <c r="X563" s="56"/>
      <c r="Y563" s="56"/>
      <c r="Z563" s="56"/>
      <c r="AA563" s="56"/>
      <c r="AB563" s="56"/>
    </row>
    <row r="564">
      <c r="A564" s="75"/>
      <c r="B564" s="69"/>
      <c r="C564" s="60"/>
      <c r="D564" s="61"/>
      <c r="E564" s="69"/>
      <c r="F564" s="60"/>
      <c r="G564" s="60"/>
      <c r="H564" s="60"/>
      <c r="I564" s="60"/>
      <c r="J564" s="60"/>
      <c r="K564" s="56"/>
      <c r="L564" s="56"/>
      <c r="M564" s="56"/>
      <c r="N564" s="56"/>
      <c r="O564" s="56"/>
      <c r="P564" s="56"/>
      <c r="Q564" s="56"/>
      <c r="R564" s="56"/>
      <c r="S564" s="56"/>
      <c r="T564" s="56"/>
      <c r="U564" s="56"/>
      <c r="V564" s="56"/>
      <c r="W564" s="56"/>
      <c r="X564" s="56"/>
      <c r="Y564" s="56"/>
      <c r="Z564" s="56"/>
      <c r="AA564" s="56"/>
      <c r="AB564" s="56"/>
    </row>
    <row r="565">
      <c r="A565" s="75"/>
      <c r="B565" s="69"/>
      <c r="C565" s="60"/>
      <c r="D565" s="61"/>
      <c r="E565" s="69"/>
      <c r="F565" s="60"/>
      <c r="G565" s="60"/>
      <c r="H565" s="60"/>
      <c r="I565" s="60"/>
      <c r="J565" s="60"/>
      <c r="K565" s="56"/>
      <c r="L565" s="56"/>
      <c r="M565" s="56"/>
      <c r="N565" s="56"/>
      <c r="O565" s="56"/>
      <c r="P565" s="56"/>
      <c r="Q565" s="56"/>
      <c r="R565" s="56"/>
      <c r="S565" s="56"/>
      <c r="T565" s="56"/>
      <c r="U565" s="56"/>
      <c r="V565" s="56"/>
      <c r="W565" s="56"/>
      <c r="X565" s="56"/>
      <c r="Y565" s="56"/>
      <c r="Z565" s="56"/>
      <c r="AA565" s="56"/>
      <c r="AB565" s="56"/>
    </row>
    <row r="566">
      <c r="A566" s="75"/>
      <c r="B566" s="69"/>
      <c r="C566" s="60"/>
      <c r="D566" s="61"/>
      <c r="E566" s="69"/>
      <c r="F566" s="60"/>
      <c r="G566" s="60"/>
      <c r="H566" s="60"/>
      <c r="I566" s="60"/>
      <c r="J566" s="60"/>
      <c r="K566" s="56"/>
      <c r="L566" s="56"/>
      <c r="M566" s="56"/>
      <c r="N566" s="56"/>
      <c r="O566" s="56"/>
      <c r="P566" s="56"/>
      <c r="Q566" s="56"/>
      <c r="R566" s="56"/>
      <c r="S566" s="56"/>
      <c r="T566" s="56"/>
      <c r="U566" s="56"/>
      <c r="V566" s="56"/>
      <c r="W566" s="56"/>
      <c r="X566" s="56"/>
      <c r="Y566" s="56"/>
      <c r="Z566" s="56"/>
      <c r="AA566" s="56"/>
      <c r="AB566" s="56"/>
    </row>
    <row r="567">
      <c r="A567" s="75"/>
      <c r="B567" s="69"/>
      <c r="C567" s="60"/>
      <c r="D567" s="61"/>
      <c r="E567" s="69"/>
      <c r="F567" s="60"/>
      <c r="G567" s="60"/>
      <c r="H567" s="60"/>
      <c r="I567" s="60"/>
      <c r="J567" s="60"/>
      <c r="K567" s="56"/>
      <c r="L567" s="56"/>
      <c r="M567" s="56"/>
      <c r="N567" s="56"/>
      <c r="O567" s="56"/>
      <c r="P567" s="56"/>
      <c r="Q567" s="56"/>
      <c r="R567" s="56"/>
      <c r="S567" s="56"/>
      <c r="T567" s="56"/>
      <c r="U567" s="56"/>
      <c r="V567" s="56"/>
      <c r="W567" s="56"/>
      <c r="X567" s="56"/>
      <c r="Y567" s="56"/>
      <c r="Z567" s="56"/>
      <c r="AA567" s="56"/>
      <c r="AB567" s="56"/>
    </row>
    <row r="568">
      <c r="A568" s="75"/>
      <c r="B568" s="69"/>
      <c r="C568" s="60"/>
      <c r="D568" s="61"/>
      <c r="E568" s="69"/>
      <c r="F568" s="60"/>
      <c r="G568" s="60"/>
      <c r="H568" s="60"/>
      <c r="I568" s="60"/>
      <c r="J568" s="60"/>
      <c r="K568" s="56"/>
      <c r="L568" s="56"/>
      <c r="M568" s="56"/>
      <c r="N568" s="56"/>
      <c r="O568" s="56"/>
      <c r="P568" s="56"/>
      <c r="Q568" s="56"/>
      <c r="R568" s="56"/>
      <c r="S568" s="56"/>
      <c r="T568" s="56"/>
      <c r="U568" s="56"/>
      <c r="V568" s="56"/>
      <c r="W568" s="56"/>
      <c r="X568" s="56"/>
      <c r="Y568" s="56"/>
      <c r="Z568" s="56"/>
      <c r="AA568" s="56"/>
      <c r="AB568" s="56"/>
    </row>
    <row r="569">
      <c r="A569" s="75"/>
      <c r="B569" s="69"/>
      <c r="C569" s="60"/>
      <c r="D569" s="61"/>
      <c r="E569" s="69"/>
      <c r="F569" s="60"/>
      <c r="G569" s="60"/>
      <c r="H569" s="60"/>
      <c r="I569" s="60"/>
      <c r="J569" s="60"/>
      <c r="K569" s="56"/>
      <c r="L569" s="56"/>
      <c r="M569" s="56"/>
      <c r="N569" s="56"/>
      <c r="O569" s="56"/>
      <c r="P569" s="56"/>
      <c r="Q569" s="56"/>
      <c r="R569" s="56"/>
      <c r="S569" s="56"/>
      <c r="T569" s="56"/>
      <c r="U569" s="56"/>
      <c r="V569" s="56"/>
      <c r="W569" s="56"/>
      <c r="X569" s="56"/>
      <c r="Y569" s="56"/>
      <c r="Z569" s="56"/>
      <c r="AA569" s="56"/>
      <c r="AB569" s="56"/>
    </row>
    <row r="570">
      <c r="A570" s="75"/>
      <c r="B570" s="69"/>
      <c r="C570" s="60"/>
      <c r="D570" s="61"/>
      <c r="E570" s="69"/>
      <c r="F570" s="60"/>
      <c r="G570" s="60"/>
      <c r="H570" s="60"/>
      <c r="I570" s="60"/>
      <c r="J570" s="60"/>
      <c r="K570" s="56"/>
      <c r="L570" s="56"/>
      <c r="M570" s="56"/>
      <c r="N570" s="56"/>
      <c r="O570" s="56"/>
      <c r="P570" s="56"/>
      <c r="Q570" s="56"/>
      <c r="R570" s="56"/>
      <c r="S570" s="56"/>
      <c r="T570" s="56"/>
      <c r="U570" s="56"/>
      <c r="V570" s="56"/>
      <c r="W570" s="56"/>
      <c r="X570" s="56"/>
      <c r="Y570" s="56"/>
      <c r="Z570" s="56"/>
      <c r="AA570" s="56"/>
      <c r="AB570" s="56"/>
    </row>
    <row r="571">
      <c r="A571" s="75"/>
      <c r="B571" s="69"/>
      <c r="C571" s="60"/>
      <c r="D571" s="61"/>
      <c r="E571" s="69"/>
      <c r="F571" s="60"/>
      <c r="G571" s="60"/>
      <c r="H571" s="60"/>
      <c r="I571" s="60"/>
      <c r="J571" s="60"/>
      <c r="K571" s="56"/>
      <c r="L571" s="56"/>
      <c r="M571" s="56"/>
      <c r="N571" s="56"/>
      <c r="O571" s="56"/>
      <c r="P571" s="56"/>
      <c r="Q571" s="56"/>
      <c r="R571" s="56"/>
      <c r="S571" s="56"/>
      <c r="T571" s="56"/>
      <c r="U571" s="56"/>
      <c r="V571" s="56"/>
      <c r="W571" s="56"/>
      <c r="X571" s="56"/>
      <c r="Y571" s="56"/>
      <c r="Z571" s="56"/>
      <c r="AA571" s="56"/>
      <c r="AB571" s="56"/>
    </row>
    <row r="572">
      <c r="A572" s="75"/>
      <c r="B572" s="69"/>
      <c r="C572" s="60"/>
      <c r="D572" s="61"/>
      <c r="E572" s="69"/>
      <c r="F572" s="60"/>
      <c r="G572" s="60"/>
      <c r="H572" s="60"/>
      <c r="I572" s="60"/>
      <c r="J572" s="60"/>
      <c r="K572" s="56"/>
      <c r="L572" s="56"/>
      <c r="M572" s="56"/>
      <c r="N572" s="56"/>
      <c r="O572" s="56"/>
      <c r="P572" s="56"/>
      <c r="Q572" s="56"/>
      <c r="R572" s="56"/>
      <c r="S572" s="56"/>
      <c r="T572" s="56"/>
      <c r="U572" s="56"/>
      <c r="V572" s="56"/>
      <c r="W572" s="56"/>
      <c r="X572" s="56"/>
      <c r="Y572" s="56"/>
      <c r="Z572" s="56"/>
      <c r="AA572" s="56"/>
      <c r="AB572" s="56"/>
    </row>
    <row r="573">
      <c r="A573" s="75"/>
      <c r="B573" s="69"/>
      <c r="C573" s="60"/>
      <c r="D573" s="61"/>
      <c r="E573" s="69"/>
      <c r="F573" s="60"/>
      <c r="G573" s="60"/>
      <c r="H573" s="60"/>
      <c r="I573" s="60"/>
      <c r="J573" s="60"/>
      <c r="K573" s="56"/>
      <c r="L573" s="56"/>
      <c r="M573" s="56"/>
      <c r="N573" s="56"/>
      <c r="O573" s="56"/>
      <c r="P573" s="56"/>
      <c r="Q573" s="56"/>
      <c r="R573" s="56"/>
      <c r="S573" s="56"/>
      <c r="T573" s="56"/>
      <c r="U573" s="56"/>
      <c r="V573" s="56"/>
      <c r="W573" s="56"/>
      <c r="X573" s="56"/>
      <c r="Y573" s="56"/>
      <c r="Z573" s="56"/>
      <c r="AA573" s="56"/>
      <c r="AB573" s="56"/>
    </row>
    <row r="574">
      <c r="A574" s="75"/>
      <c r="B574" s="69"/>
      <c r="C574" s="60"/>
      <c r="D574" s="61"/>
      <c r="E574" s="69"/>
      <c r="F574" s="60"/>
      <c r="G574" s="60"/>
      <c r="H574" s="60"/>
      <c r="I574" s="60"/>
      <c r="J574" s="60"/>
      <c r="K574" s="56"/>
      <c r="L574" s="56"/>
      <c r="M574" s="56"/>
      <c r="N574" s="56"/>
      <c r="O574" s="56"/>
      <c r="P574" s="56"/>
      <c r="Q574" s="56"/>
      <c r="R574" s="56"/>
      <c r="S574" s="56"/>
      <c r="T574" s="56"/>
      <c r="U574" s="56"/>
      <c r="V574" s="56"/>
      <c r="W574" s="56"/>
      <c r="X574" s="56"/>
      <c r="Y574" s="56"/>
      <c r="Z574" s="56"/>
      <c r="AA574" s="56"/>
      <c r="AB574" s="56"/>
    </row>
    <row r="575">
      <c r="A575" s="75"/>
      <c r="B575" s="69"/>
      <c r="C575" s="60"/>
      <c r="D575" s="61"/>
      <c r="E575" s="69"/>
      <c r="F575" s="60"/>
      <c r="G575" s="60"/>
      <c r="H575" s="60"/>
      <c r="I575" s="60"/>
      <c r="J575" s="60"/>
      <c r="K575" s="56"/>
      <c r="L575" s="56"/>
      <c r="M575" s="56"/>
      <c r="N575" s="56"/>
      <c r="O575" s="56"/>
      <c r="P575" s="56"/>
      <c r="Q575" s="56"/>
      <c r="R575" s="56"/>
      <c r="S575" s="56"/>
      <c r="T575" s="56"/>
      <c r="U575" s="56"/>
      <c r="V575" s="56"/>
      <c r="W575" s="56"/>
      <c r="X575" s="56"/>
      <c r="Y575" s="56"/>
      <c r="Z575" s="56"/>
      <c r="AA575" s="56"/>
      <c r="AB575" s="56"/>
    </row>
    <row r="576">
      <c r="A576" s="75"/>
      <c r="B576" s="69"/>
      <c r="C576" s="60"/>
      <c r="D576" s="61"/>
      <c r="E576" s="69"/>
      <c r="F576" s="60"/>
      <c r="G576" s="60"/>
      <c r="H576" s="60"/>
      <c r="I576" s="60"/>
      <c r="J576" s="60"/>
      <c r="K576" s="56"/>
      <c r="L576" s="56"/>
      <c r="M576" s="56"/>
      <c r="N576" s="56"/>
      <c r="O576" s="56"/>
      <c r="P576" s="56"/>
      <c r="Q576" s="56"/>
      <c r="R576" s="56"/>
      <c r="S576" s="56"/>
      <c r="T576" s="56"/>
      <c r="U576" s="56"/>
      <c r="V576" s="56"/>
      <c r="W576" s="56"/>
      <c r="X576" s="56"/>
      <c r="Y576" s="56"/>
      <c r="Z576" s="56"/>
      <c r="AA576" s="56"/>
      <c r="AB576" s="56"/>
    </row>
    <row r="577">
      <c r="A577" s="75"/>
      <c r="B577" s="69"/>
      <c r="C577" s="60"/>
      <c r="D577" s="61"/>
      <c r="E577" s="69"/>
      <c r="F577" s="60"/>
      <c r="G577" s="60"/>
      <c r="H577" s="60"/>
      <c r="I577" s="60"/>
      <c r="J577" s="60"/>
      <c r="K577" s="56"/>
      <c r="L577" s="56"/>
      <c r="M577" s="56"/>
      <c r="N577" s="56"/>
      <c r="O577" s="56"/>
      <c r="P577" s="56"/>
      <c r="Q577" s="56"/>
      <c r="R577" s="56"/>
      <c r="S577" s="56"/>
      <c r="T577" s="56"/>
      <c r="U577" s="56"/>
      <c r="V577" s="56"/>
      <c r="W577" s="56"/>
      <c r="X577" s="56"/>
      <c r="Y577" s="56"/>
      <c r="Z577" s="56"/>
      <c r="AA577" s="56"/>
      <c r="AB577" s="56"/>
    </row>
    <row r="578">
      <c r="A578" s="75"/>
      <c r="B578" s="69"/>
      <c r="C578" s="60"/>
      <c r="D578" s="61"/>
      <c r="E578" s="69"/>
      <c r="F578" s="60"/>
      <c r="G578" s="60"/>
      <c r="H578" s="60"/>
      <c r="I578" s="60"/>
      <c r="J578" s="60"/>
      <c r="K578" s="56"/>
      <c r="L578" s="56"/>
      <c r="M578" s="56"/>
      <c r="N578" s="56"/>
      <c r="O578" s="56"/>
      <c r="P578" s="56"/>
      <c r="Q578" s="56"/>
      <c r="R578" s="56"/>
      <c r="S578" s="56"/>
      <c r="T578" s="56"/>
      <c r="U578" s="56"/>
      <c r="V578" s="56"/>
      <c r="W578" s="56"/>
      <c r="X578" s="56"/>
      <c r="Y578" s="56"/>
      <c r="Z578" s="56"/>
      <c r="AA578" s="56"/>
      <c r="AB578" s="56"/>
    </row>
    <row r="579">
      <c r="A579" s="75"/>
      <c r="B579" s="69"/>
      <c r="C579" s="60"/>
      <c r="D579" s="61"/>
      <c r="E579" s="69"/>
      <c r="F579" s="60"/>
      <c r="G579" s="60"/>
      <c r="H579" s="60"/>
      <c r="I579" s="60"/>
      <c r="J579" s="60"/>
      <c r="K579" s="56"/>
      <c r="L579" s="56"/>
      <c r="M579" s="56"/>
      <c r="N579" s="56"/>
      <c r="O579" s="56"/>
      <c r="P579" s="56"/>
      <c r="Q579" s="56"/>
      <c r="R579" s="56"/>
      <c r="S579" s="56"/>
      <c r="T579" s="56"/>
      <c r="U579" s="56"/>
      <c r="V579" s="56"/>
      <c r="W579" s="56"/>
      <c r="X579" s="56"/>
      <c r="Y579" s="56"/>
      <c r="Z579" s="56"/>
      <c r="AA579" s="56"/>
      <c r="AB579" s="56"/>
    </row>
    <row r="580">
      <c r="A580" s="75"/>
      <c r="B580" s="69"/>
      <c r="C580" s="60"/>
      <c r="D580" s="61"/>
      <c r="E580" s="69"/>
      <c r="F580" s="60"/>
      <c r="G580" s="60"/>
      <c r="H580" s="60"/>
      <c r="I580" s="60"/>
      <c r="J580" s="60"/>
      <c r="K580" s="56"/>
      <c r="L580" s="56"/>
      <c r="M580" s="56"/>
      <c r="N580" s="56"/>
      <c r="O580" s="56"/>
      <c r="P580" s="56"/>
      <c r="Q580" s="56"/>
      <c r="R580" s="56"/>
      <c r="S580" s="56"/>
      <c r="T580" s="56"/>
      <c r="U580" s="56"/>
      <c r="V580" s="56"/>
      <c r="W580" s="56"/>
      <c r="X580" s="56"/>
      <c r="Y580" s="56"/>
      <c r="Z580" s="56"/>
      <c r="AA580" s="56"/>
      <c r="AB580" s="56"/>
    </row>
    <row r="581">
      <c r="A581" s="75"/>
      <c r="B581" s="69"/>
      <c r="C581" s="60"/>
      <c r="D581" s="61"/>
      <c r="E581" s="69"/>
      <c r="F581" s="60"/>
      <c r="G581" s="60"/>
      <c r="H581" s="60"/>
      <c r="I581" s="60"/>
      <c r="J581" s="60"/>
      <c r="K581" s="56"/>
      <c r="L581" s="56"/>
      <c r="M581" s="56"/>
      <c r="N581" s="56"/>
      <c r="O581" s="56"/>
      <c r="P581" s="56"/>
      <c r="Q581" s="56"/>
      <c r="R581" s="56"/>
      <c r="S581" s="56"/>
      <c r="T581" s="56"/>
      <c r="U581" s="56"/>
      <c r="V581" s="56"/>
      <c r="W581" s="56"/>
      <c r="X581" s="56"/>
      <c r="Y581" s="56"/>
      <c r="Z581" s="56"/>
      <c r="AA581" s="56"/>
      <c r="AB581" s="56"/>
    </row>
    <row r="582">
      <c r="A582" s="75"/>
      <c r="B582" s="69"/>
      <c r="C582" s="60"/>
      <c r="D582" s="61"/>
      <c r="E582" s="69"/>
      <c r="F582" s="60"/>
      <c r="G582" s="60"/>
      <c r="H582" s="60"/>
      <c r="I582" s="60"/>
      <c r="J582" s="60"/>
      <c r="K582" s="56"/>
      <c r="L582" s="56"/>
      <c r="M582" s="56"/>
      <c r="N582" s="56"/>
      <c r="O582" s="56"/>
      <c r="P582" s="56"/>
      <c r="Q582" s="56"/>
      <c r="R582" s="56"/>
      <c r="S582" s="56"/>
      <c r="T582" s="56"/>
      <c r="U582" s="56"/>
      <c r="V582" s="56"/>
      <c r="W582" s="56"/>
      <c r="X582" s="56"/>
      <c r="Y582" s="56"/>
      <c r="Z582" s="56"/>
      <c r="AA582" s="56"/>
      <c r="AB582" s="56"/>
    </row>
    <row r="583">
      <c r="A583" s="75"/>
      <c r="B583" s="69"/>
      <c r="C583" s="60"/>
      <c r="D583" s="61"/>
      <c r="E583" s="69"/>
      <c r="F583" s="60"/>
      <c r="G583" s="60"/>
      <c r="H583" s="60"/>
      <c r="I583" s="60"/>
      <c r="J583" s="60"/>
      <c r="K583" s="56"/>
      <c r="L583" s="56"/>
      <c r="M583" s="56"/>
      <c r="N583" s="56"/>
      <c r="O583" s="56"/>
      <c r="P583" s="56"/>
      <c r="Q583" s="56"/>
      <c r="R583" s="56"/>
      <c r="S583" s="56"/>
      <c r="T583" s="56"/>
      <c r="U583" s="56"/>
      <c r="V583" s="56"/>
      <c r="W583" s="56"/>
      <c r="X583" s="56"/>
      <c r="Y583" s="56"/>
      <c r="Z583" s="56"/>
      <c r="AA583" s="56"/>
      <c r="AB583" s="56"/>
    </row>
    <row r="584">
      <c r="A584" s="75"/>
      <c r="B584" s="69"/>
      <c r="C584" s="60"/>
      <c r="D584" s="61"/>
      <c r="E584" s="69"/>
      <c r="F584" s="60"/>
      <c r="G584" s="60"/>
      <c r="H584" s="60"/>
      <c r="I584" s="60"/>
      <c r="J584" s="60"/>
      <c r="K584" s="56"/>
      <c r="L584" s="56"/>
      <c r="M584" s="56"/>
      <c r="N584" s="56"/>
      <c r="O584" s="56"/>
      <c r="P584" s="56"/>
      <c r="Q584" s="56"/>
      <c r="R584" s="56"/>
      <c r="S584" s="56"/>
      <c r="T584" s="56"/>
      <c r="U584" s="56"/>
      <c r="V584" s="56"/>
      <c r="W584" s="56"/>
      <c r="X584" s="56"/>
      <c r="Y584" s="56"/>
      <c r="Z584" s="56"/>
      <c r="AA584" s="56"/>
      <c r="AB584" s="56"/>
    </row>
    <row r="585">
      <c r="A585" s="75"/>
      <c r="B585" s="69"/>
      <c r="C585" s="60"/>
      <c r="D585" s="61"/>
      <c r="E585" s="69"/>
      <c r="F585" s="60"/>
      <c r="G585" s="60"/>
      <c r="H585" s="60"/>
      <c r="I585" s="60"/>
      <c r="J585" s="60"/>
      <c r="K585" s="56"/>
      <c r="L585" s="56"/>
      <c r="M585" s="56"/>
      <c r="N585" s="56"/>
      <c r="O585" s="56"/>
      <c r="P585" s="56"/>
      <c r="Q585" s="56"/>
      <c r="R585" s="56"/>
      <c r="S585" s="56"/>
      <c r="T585" s="56"/>
      <c r="U585" s="56"/>
      <c r="V585" s="56"/>
      <c r="W585" s="56"/>
      <c r="X585" s="56"/>
      <c r="Y585" s="56"/>
      <c r="Z585" s="56"/>
      <c r="AA585" s="56"/>
      <c r="AB585" s="56"/>
    </row>
    <row r="586">
      <c r="A586" s="75"/>
      <c r="B586" s="69"/>
      <c r="C586" s="60"/>
      <c r="D586" s="61"/>
      <c r="E586" s="69"/>
      <c r="F586" s="60"/>
      <c r="G586" s="60"/>
      <c r="H586" s="60"/>
      <c r="I586" s="60"/>
      <c r="J586" s="60"/>
      <c r="K586" s="56"/>
      <c r="L586" s="56"/>
      <c r="M586" s="56"/>
      <c r="N586" s="56"/>
      <c r="O586" s="56"/>
      <c r="P586" s="56"/>
      <c r="Q586" s="56"/>
      <c r="R586" s="56"/>
      <c r="S586" s="56"/>
      <c r="T586" s="56"/>
      <c r="U586" s="56"/>
      <c r="V586" s="56"/>
      <c r="W586" s="56"/>
      <c r="X586" s="56"/>
      <c r="Y586" s="56"/>
      <c r="Z586" s="56"/>
      <c r="AA586" s="56"/>
      <c r="AB586" s="56"/>
    </row>
    <row r="587">
      <c r="A587" s="75"/>
      <c r="B587" s="69"/>
      <c r="C587" s="60"/>
      <c r="D587" s="61"/>
      <c r="E587" s="69"/>
      <c r="F587" s="60"/>
      <c r="G587" s="60"/>
      <c r="H587" s="60"/>
      <c r="I587" s="60"/>
      <c r="J587" s="60"/>
      <c r="K587" s="56"/>
      <c r="L587" s="56"/>
      <c r="M587" s="56"/>
      <c r="N587" s="56"/>
      <c r="O587" s="56"/>
      <c r="P587" s="56"/>
      <c r="Q587" s="56"/>
      <c r="R587" s="56"/>
      <c r="S587" s="56"/>
      <c r="T587" s="56"/>
      <c r="U587" s="56"/>
      <c r="V587" s="56"/>
      <c r="W587" s="56"/>
      <c r="X587" s="56"/>
      <c r="Y587" s="56"/>
      <c r="Z587" s="56"/>
      <c r="AA587" s="56"/>
      <c r="AB587" s="56"/>
    </row>
    <row r="588">
      <c r="A588" s="75"/>
      <c r="B588" s="69"/>
      <c r="C588" s="60"/>
      <c r="D588" s="61"/>
      <c r="E588" s="69"/>
      <c r="F588" s="60"/>
      <c r="G588" s="60"/>
      <c r="H588" s="60"/>
      <c r="I588" s="60"/>
      <c r="J588" s="60"/>
      <c r="K588" s="56"/>
      <c r="L588" s="56"/>
      <c r="M588" s="56"/>
      <c r="N588" s="56"/>
      <c r="O588" s="56"/>
      <c r="P588" s="56"/>
      <c r="Q588" s="56"/>
      <c r="R588" s="56"/>
      <c r="S588" s="56"/>
      <c r="T588" s="56"/>
      <c r="U588" s="56"/>
      <c r="V588" s="56"/>
      <c r="W588" s="56"/>
      <c r="X588" s="56"/>
      <c r="Y588" s="56"/>
      <c r="Z588" s="56"/>
      <c r="AA588" s="56"/>
      <c r="AB588" s="56"/>
    </row>
    <row r="589">
      <c r="A589" s="75"/>
      <c r="B589" s="69"/>
      <c r="C589" s="60"/>
      <c r="D589" s="61"/>
      <c r="E589" s="69"/>
      <c r="F589" s="60"/>
      <c r="G589" s="60"/>
      <c r="H589" s="60"/>
      <c r="I589" s="60"/>
      <c r="J589" s="60"/>
      <c r="K589" s="56"/>
      <c r="L589" s="56"/>
      <c r="M589" s="56"/>
      <c r="N589" s="56"/>
      <c r="O589" s="56"/>
      <c r="P589" s="56"/>
      <c r="Q589" s="56"/>
      <c r="R589" s="56"/>
      <c r="S589" s="56"/>
      <c r="T589" s="56"/>
      <c r="U589" s="56"/>
      <c r="V589" s="56"/>
      <c r="W589" s="56"/>
      <c r="X589" s="56"/>
      <c r="Y589" s="56"/>
      <c r="Z589" s="56"/>
      <c r="AA589" s="56"/>
      <c r="AB589" s="56"/>
    </row>
    <row r="590">
      <c r="A590" s="75"/>
      <c r="B590" s="69"/>
      <c r="C590" s="60"/>
      <c r="D590" s="61"/>
      <c r="E590" s="69"/>
      <c r="F590" s="60"/>
      <c r="G590" s="60"/>
      <c r="H590" s="60"/>
      <c r="I590" s="60"/>
      <c r="J590" s="60"/>
      <c r="K590" s="56"/>
      <c r="L590" s="56"/>
      <c r="M590" s="56"/>
      <c r="N590" s="56"/>
      <c r="O590" s="56"/>
      <c r="P590" s="56"/>
      <c r="Q590" s="56"/>
      <c r="R590" s="56"/>
      <c r="S590" s="56"/>
      <c r="T590" s="56"/>
      <c r="U590" s="56"/>
      <c r="V590" s="56"/>
      <c r="W590" s="56"/>
      <c r="X590" s="56"/>
      <c r="Y590" s="56"/>
      <c r="Z590" s="56"/>
      <c r="AA590" s="56"/>
      <c r="AB590" s="56"/>
    </row>
    <row r="591">
      <c r="A591" s="75"/>
      <c r="B591" s="69"/>
      <c r="C591" s="60"/>
      <c r="D591" s="61"/>
      <c r="E591" s="69"/>
      <c r="F591" s="60"/>
      <c r="G591" s="60"/>
      <c r="H591" s="60"/>
      <c r="I591" s="60"/>
      <c r="J591" s="60"/>
      <c r="K591" s="56"/>
      <c r="L591" s="56"/>
      <c r="M591" s="56"/>
      <c r="N591" s="56"/>
      <c r="O591" s="56"/>
      <c r="P591" s="56"/>
      <c r="Q591" s="56"/>
      <c r="R591" s="56"/>
      <c r="S591" s="56"/>
      <c r="T591" s="56"/>
      <c r="U591" s="56"/>
      <c r="V591" s="56"/>
      <c r="W591" s="56"/>
      <c r="X591" s="56"/>
      <c r="Y591" s="56"/>
      <c r="Z591" s="56"/>
      <c r="AA591" s="56"/>
      <c r="AB591" s="56"/>
    </row>
    <row r="592">
      <c r="A592" s="75"/>
      <c r="B592" s="69"/>
      <c r="C592" s="60"/>
      <c r="D592" s="61"/>
      <c r="E592" s="69"/>
      <c r="F592" s="60"/>
      <c r="G592" s="60"/>
      <c r="H592" s="60"/>
      <c r="I592" s="60"/>
      <c r="J592" s="60"/>
      <c r="K592" s="56"/>
      <c r="L592" s="56"/>
      <c r="M592" s="56"/>
      <c r="N592" s="56"/>
      <c r="O592" s="56"/>
      <c r="P592" s="56"/>
      <c r="Q592" s="56"/>
      <c r="R592" s="56"/>
      <c r="S592" s="56"/>
      <c r="T592" s="56"/>
      <c r="U592" s="56"/>
      <c r="V592" s="56"/>
      <c r="W592" s="56"/>
      <c r="X592" s="56"/>
      <c r="Y592" s="56"/>
      <c r="Z592" s="56"/>
      <c r="AA592" s="56"/>
      <c r="AB592" s="56"/>
    </row>
    <row r="593">
      <c r="A593" s="75"/>
      <c r="B593" s="69"/>
      <c r="C593" s="60"/>
      <c r="D593" s="61"/>
      <c r="E593" s="69"/>
      <c r="F593" s="60"/>
      <c r="G593" s="60"/>
      <c r="H593" s="60"/>
      <c r="I593" s="60"/>
      <c r="J593" s="60"/>
      <c r="K593" s="56"/>
      <c r="L593" s="56"/>
      <c r="M593" s="56"/>
      <c r="N593" s="56"/>
      <c r="O593" s="56"/>
      <c r="P593" s="56"/>
      <c r="Q593" s="56"/>
      <c r="R593" s="56"/>
      <c r="S593" s="56"/>
      <c r="T593" s="56"/>
      <c r="U593" s="56"/>
      <c r="V593" s="56"/>
      <c r="W593" s="56"/>
      <c r="X593" s="56"/>
      <c r="Y593" s="56"/>
      <c r="Z593" s="56"/>
      <c r="AA593" s="56"/>
      <c r="AB593" s="56"/>
    </row>
    <row r="594">
      <c r="A594" s="75"/>
      <c r="B594" s="69"/>
      <c r="C594" s="60"/>
      <c r="D594" s="61"/>
      <c r="E594" s="69"/>
      <c r="F594" s="60"/>
      <c r="G594" s="60"/>
      <c r="H594" s="60"/>
      <c r="I594" s="60"/>
      <c r="J594" s="60"/>
      <c r="K594" s="56"/>
      <c r="L594" s="56"/>
      <c r="M594" s="56"/>
      <c r="N594" s="56"/>
      <c r="O594" s="56"/>
      <c r="P594" s="56"/>
      <c r="Q594" s="56"/>
      <c r="R594" s="56"/>
      <c r="S594" s="56"/>
      <c r="T594" s="56"/>
      <c r="U594" s="56"/>
      <c r="V594" s="56"/>
      <c r="W594" s="56"/>
      <c r="X594" s="56"/>
      <c r="Y594" s="56"/>
      <c r="Z594" s="56"/>
      <c r="AA594" s="56"/>
      <c r="AB594" s="56"/>
    </row>
    <row r="595">
      <c r="A595" s="75"/>
      <c r="B595" s="69"/>
      <c r="C595" s="60"/>
      <c r="D595" s="61"/>
      <c r="E595" s="69"/>
      <c r="F595" s="60"/>
      <c r="G595" s="60"/>
      <c r="H595" s="60"/>
      <c r="I595" s="60"/>
      <c r="J595" s="60"/>
      <c r="K595" s="56"/>
      <c r="L595" s="56"/>
      <c r="M595" s="56"/>
      <c r="N595" s="56"/>
      <c r="O595" s="56"/>
      <c r="P595" s="56"/>
      <c r="Q595" s="56"/>
      <c r="R595" s="56"/>
      <c r="S595" s="56"/>
      <c r="T595" s="56"/>
      <c r="U595" s="56"/>
      <c r="V595" s="56"/>
      <c r="W595" s="56"/>
      <c r="X595" s="56"/>
      <c r="Y595" s="56"/>
      <c r="Z595" s="56"/>
      <c r="AA595" s="56"/>
      <c r="AB595" s="56"/>
    </row>
    <row r="596">
      <c r="A596" s="75"/>
      <c r="B596" s="69"/>
      <c r="C596" s="60"/>
      <c r="D596" s="61"/>
      <c r="E596" s="69"/>
      <c r="F596" s="60"/>
      <c r="G596" s="60"/>
      <c r="H596" s="60"/>
      <c r="I596" s="60"/>
      <c r="J596" s="60"/>
      <c r="K596" s="56"/>
      <c r="L596" s="56"/>
      <c r="M596" s="56"/>
      <c r="N596" s="56"/>
      <c r="O596" s="56"/>
      <c r="P596" s="56"/>
      <c r="Q596" s="56"/>
      <c r="R596" s="56"/>
      <c r="S596" s="56"/>
      <c r="T596" s="56"/>
      <c r="U596" s="56"/>
      <c r="V596" s="56"/>
      <c r="W596" s="56"/>
      <c r="X596" s="56"/>
      <c r="Y596" s="56"/>
      <c r="Z596" s="56"/>
      <c r="AA596" s="56"/>
      <c r="AB596" s="56"/>
    </row>
    <row r="597">
      <c r="A597" s="75"/>
      <c r="B597" s="69"/>
      <c r="C597" s="60"/>
      <c r="D597" s="61"/>
      <c r="E597" s="69"/>
      <c r="F597" s="60"/>
      <c r="G597" s="60"/>
      <c r="H597" s="60"/>
      <c r="I597" s="60"/>
      <c r="J597" s="60"/>
      <c r="K597" s="56"/>
      <c r="L597" s="56"/>
      <c r="M597" s="56"/>
      <c r="N597" s="56"/>
      <c r="O597" s="56"/>
      <c r="P597" s="56"/>
      <c r="Q597" s="56"/>
      <c r="R597" s="56"/>
      <c r="S597" s="56"/>
      <c r="T597" s="56"/>
      <c r="U597" s="56"/>
      <c r="V597" s="56"/>
      <c r="W597" s="56"/>
      <c r="X597" s="56"/>
      <c r="Y597" s="56"/>
      <c r="Z597" s="56"/>
      <c r="AA597" s="56"/>
      <c r="AB597" s="56"/>
    </row>
    <row r="598">
      <c r="A598" s="75"/>
      <c r="B598" s="69"/>
      <c r="C598" s="60"/>
      <c r="D598" s="61"/>
      <c r="E598" s="69"/>
      <c r="F598" s="60"/>
      <c r="G598" s="60"/>
      <c r="H598" s="60"/>
      <c r="I598" s="60"/>
      <c r="J598" s="60"/>
      <c r="K598" s="56"/>
      <c r="L598" s="56"/>
      <c r="M598" s="56"/>
      <c r="N598" s="56"/>
      <c r="O598" s="56"/>
      <c r="P598" s="56"/>
      <c r="Q598" s="56"/>
      <c r="R598" s="56"/>
      <c r="S598" s="56"/>
      <c r="T598" s="56"/>
      <c r="U598" s="56"/>
      <c r="V598" s="56"/>
      <c r="W598" s="56"/>
      <c r="X598" s="56"/>
      <c r="Y598" s="56"/>
      <c r="Z598" s="56"/>
      <c r="AA598" s="56"/>
      <c r="AB598" s="56"/>
    </row>
    <row r="599">
      <c r="A599" s="75"/>
      <c r="B599" s="69"/>
      <c r="C599" s="60"/>
      <c r="D599" s="61"/>
      <c r="E599" s="69"/>
      <c r="F599" s="60"/>
      <c r="G599" s="60"/>
      <c r="H599" s="60"/>
      <c r="I599" s="60"/>
      <c r="J599" s="60"/>
      <c r="K599" s="56"/>
      <c r="L599" s="56"/>
      <c r="M599" s="56"/>
      <c r="N599" s="56"/>
      <c r="O599" s="56"/>
      <c r="P599" s="56"/>
      <c r="Q599" s="56"/>
      <c r="R599" s="56"/>
      <c r="S599" s="56"/>
      <c r="T599" s="56"/>
      <c r="U599" s="56"/>
      <c r="V599" s="56"/>
      <c r="W599" s="56"/>
      <c r="X599" s="56"/>
      <c r="Y599" s="56"/>
      <c r="Z599" s="56"/>
      <c r="AA599" s="56"/>
      <c r="AB599" s="56"/>
    </row>
    <row r="600">
      <c r="A600" s="75"/>
      <c r="B600" s="69"/>
      <c r="C600" s="60"/>
      <c r="D600" s="61"/>
      <c r="E600" s="69"/>
      <c r="F600" s="60"/>
      <c r="G600" s="60"/>
      <c r="H600" s="60"/>
      <c r="I600" s="60"/>
      <c r="J600" s="60"/>
      <c r="K600" s="56"/>
      <c r="L600" s="56"/>
      <c r="M600" s="56"/>
      <c r="N600" s="56"/>
      <c r="O600" s="56"/>
      <c r="P600" s="56"/>
      <c r="Q600" s="56"/>
      <c r="R600" s="56"/>
      <c r="S600" s="56"/>
      <c r="T600" s="56"/>
      <c r="U600" s="56"/>
      <c r="V600" s="56"/>
      <c r="W600" s="56"/>
      <c r="X600" s="56"/>
      <c r="Y600" s="56"/>
      <c r="Z600" s="56"/>
      <c r="AA600" s="56"/>
      <c r="AB600" s="56"/>
    </row>
    <row r="601">
      <c r="A601" s="75"/>
      <c r="B601" s="69"/>
      <c r="C601" s="60"/>
      <c r="D601" s="61"/>
      <c r="E601" s="69"/>
      <c r="F601" s="60"/>
      <c r="G601" s="60"/>
      <c r="H601" s="60"/>
      <c r="I601" s="60"/>
      <c r="J601" s="60"/>
      <c r="K601" s="56"/>
      <c r="L601" s="56"/>
      <c r="M601" s="56"/>
      <c r="N601" s="56"/>
      <c r="O601" s="56"/>
      <c r="P601" s="56"/>
      <c r="Q601" s="56"/>
      <c r="R601" s="56"/>
      <c r="S601" s="56"/>
      <c r="T601" s="56"/>
      <c r="U601" s="56"/>
      <c r="V601" s="56"/>
      <c r="W601" s="56"/>
      <c r="X601" s="56"/>
      <c r="Y601" s="56"/>
      <c r="Z601" s="56"/>
      <c r="AA601" s="56"/>
      <c r="AB601" s="56"/>
    </row>
    <row r="602">
      <c r="A602" s="75"/>
      <c r="B602" s="69"/>
      <c r="C602" s="60"/>
      <c r="D602" s="61"/>
      <c r="E602" s="69"/>
      <c r="F602" s="60"/>
      <c r="G602" s="60"/>
      <c r="H602" s="60"/>
      <c r="I602" s="60"/>
      <c r="J602" s="60"/>
      <c r="K602" s="56"/>
      <c r="L602" s="56"/>
      <c r="M602" s="56"/>
      <c r="N602" s="56"/>
      <c r="O602" s="56"/>
      <c r="P602" s="56"/>
      <c r="Q602" s="56"/>
      <c r="R602" s="56"/>
      <c r="S602" s="56"/>
      <c r="T602" s="56"/>
      <c r="U602" s="56"/>
      <c r="V602" s="56"/>
      <c r="W602" s="56"/>
      <c r="X602" s="56"/>
      <c r="Y602" s="56"/>
      <c r="Z602" s="56"/>
      <c r="AA602" s="56"/>
      <c r="AB602" s="56"/>
    </row>
    <row r="603">
      <c r="A603" s="75"/>
      <c r="B603" s="69"/>
      <c r="C603" s="60"/>
      <c r="D603" s="61"/>
      <c r="E603" s="69"/>
      <c r="F603" s="60"/>
      <c r="G603" s="60"/>
      <c r="H603" s="60"/>
      <c r="I603" s="60"/>
      <c r="J603" s="60"/>
      <c r="K603" s="56"/>
      <c r="L603" s="56"/>
      <c r="M603" s="56"/>
      <c r="N603" s="56"/>
      <c r="O603" s="56"/>
      <c r="P603" s="56"/>
      <c r="Q603" s="56"/>
      <c r="R603" s="56"/>
      <c r="S603" s="56"/>
      <c r="T603" s="56"/>
      <c r="U603" s="56"/>
      <c r="V603" s="56"/>
      <c r="W603" s="56"/>
      <c r="X603" s="56"/>
      <c r="Y603" s="56"/>
      <c r="Z603" s="56"/>
      <c r="AA603" s="56"/>
      <c r="AB603" s="56"/>
    </row>
    <row r="604">
      <c r="A604" s="75"/>
      <c r="B604" s="69"/>
      <c r="C604" s="60"/>
      <c r="D604" s="61"/>
      <c r="E604" s="69"/>
      <c r="F604" s="60"/>
      <c r="G604" s="60"/>
      <c r="H604" s="60"/>
      <c r="I604" s="60"/>
      <c r="J604" s="60"/>
      <c r="K604" s="56"/>
      <c r="L604" s="56"/>
      <c r="M604" s="56"/>
      <c r="N604" s="56"/>
      <c r="O604" s="56"/>
      <c r="P604" s="56"/>
      <c r="Q604" s="56"/>
      <c r="R604" s="56"/>
      <c r="S604" s="56"/>
      <c r="T604" s="56"/>
      <c r="U604" s="56"/>
      <c r="V604" s="56"/>
      <c r="W604" s="56"/>
      <c r="X604" s="56"/>
      <c r="Y604" s="56"/>
      <c r="Z604" s="56"/>
      <c r="AA604" s="56"/>
      <c r="AB604" s="56"/>
    </row>
    <row r="605">
      <c r="A605" s="75"/>
      <c r="B605" s="69"/>
      <c r="C605" s="60"/>
      <c r="D605" s="61"/>
      <c r="E605" s="69"/>
      <c r="F605" s="60"/>
      <c r="G605" s="60"/>
      <c r="H605" s="60"/>
      <c r="I605" s="60"/>
      <c r="J605" s="60"/>
      <c r="K605" s="56"/>
      <c r="L605" s="56"/>
      <c r="M605" s="56"/>
      <c r="N605" s="56"/>
      <c r="O605" s="56"/>
      <c r="P605" s="56"/>
      <c r="Q605" s="56"/>
      <c r="R605" s="56"/>
      <c r="S605" s="56"/>
      <c r="T605" s="56"/>
      <c r="U605" s="56"/>
      <c r="V605" s="56"/>
      <c r="W605" s="56"/>
      <c r="X605" s="56"/>
      <c r="Y605" s="56"/>
      <c r="Z605" s="56"/>
      <c r="AA605" s="56"/>
      <c r="AB605" s="56"/>
    </row>
    <row r="606">
      <c r="A606" s="75"/>
      <c r="B606" s="69"/>
      <c r="C606" s="60"/>
      <c r="D606" s="61"/>
      <c r="E606" s="69"/>
      <c r="F606" s="60"/>
      <c r="G606" s="60"/>
      <c r="H606" s="60"/>
      <c r="I606" s="60"/>
      <c r="J606" s="60"/>
      <c r="K606" s="56"/>
      <c r="L606" s="56"/>
      <c r="M606" s="56"/>
      <c r="N606" s="56"/>
      <c r="O606" s="56"/>
      <c r="P606" s="56"/>
      <c r="Q606" s="56"/>
      <c r="R606" s="56"/>
      <c r="S606" s="56"/>
      <c r="T606" s="56"/>
      <c r="U606" s="56"/>
      <c r="V606" s="56"/>
      <c r="W606" s="56"/>
      <c r="X606" s="56"/>
      <c r="Y606" s="56"/>
      <c r="Z606" s="56"/>
      <c r="AA606" s="56"/>
      <c r="AB606" s="56"/>
    </row>
    <row r="607">
      <c r="A607" s="75"/>
      <c r="B607" s="69"/>
      <c r="C607" s="60"/>
      <c r="D607" s="61"/>
      <c r="E607" s="69"/>
      <c r="F607" s="60"/>
      <c r="G607" s="60"/>
      <c r="H607" s="60"/>
      <c r="I607" s="60"/>
      <c r="J607" s="60"/>
      <c r="K607" s="56"/>
      <c r="L607" s="56"/>
      <c r="M607" s="56"/>
      <c r="N607" s="56"/>
      <c r="O607" s="56"/>
      <c r="P607" s="56"/>
      <c r="Q607" s="56"/>
      <c r="R607" s="56"/>
      <c r="S607" s="56"/>
      <c r="T607" s="56"/>
      <c r="U607" s="56"/>
      <c r="V607" s="56"/>
      <c r="W607" s="56"/>
      <c r="X607" s="56"/>
      <c r="Y607" s="56"/>
      <c r="Z607" s="56"/>
      <c r="AA607" s="56"/>
      <c r="AB607" s="56"/>
    </row>
    <row r="608">
      <c r="A608" s="75"/>
      <c r="B608" s="69"/>
      <c r="C608" s="60"/>
      <c r="D608" s="61"/>
      <c r="E608" s="69"/>
      <c r="F608" s="60"/>
      <c r="G608" s="60"/>
      <c r="H608" s="60"/>
      <c r="I608" s="60"/>
      <c r="J608" s="60"/>
      <c r="K608" s="56"/>
      <c r="L608" s="56"/>
      <c r="M608" s="56"/>
      <c r="N608" s="56"/>
      <c r="O608" s="56"/>
      <c r="P608" s="56"/>
      <c r="Q608" s="56"/>
      <c r="R608" s="56"/>
      <c r="S608" s="56"/>
      <c r="T608" s="56"/>
      <c r="U608" s="56"/>
      <c r="V608" s="56"/>
      <c r="W608" s="56"/>
      <c r="X608" s="56"/>
      <c r="Y608" s="56"/>
      <c r="Z608" s="56"/>
      <c r="AA608" s="56"/>
      <c r="AB608" s="56"/>
    </row>
    <row r="609">
      <c r="A609" s="75"/>
      <c r="B609" s="69"/>
      <c r="C609" s="60"/>
      <c r="D609" s="61"/>
      <c r="E609" s="69"/>
      <c r="F609" s="60"/>
      <c r="G609" s="60"/>
      <c r="H609" s="60"/>
      <c r="I609" s="60"/>
      <c r="J609" s="60"/>
      <c r="K609" s="56"/>
      <c r="L609" s="56"/>
      <c r="M609" s="56"/>
      <c r="N609" s="56"/>
      <c r="O609" s="56"/>
      <c r="P609" s="56"/>
      <c r="Q609" s="56"/>
      <c r="R609" s="56"/>
      <c r="S609" s="56"/>
      <c r="T609" s="56"/>
      <c r="U609" s="56"/>
      <c r="V609" s="56"/>
      <c r="W609" s="56"/>
      <c r="X609" s="56"/>
      <c r="Y609" s="56"/>
      <c r="Z609" s="56"/>
      <c r="AA609" s="56"/>
      <c r="AB609" s="56"/>
    </row>
    <row r="610">
      <c r="A610" s="75"/>
      <c r="B610" s="69"/>
      <c r="C610" s="60"/>
      <c r="D610" s="61"/>
      <c r="E610" s="69"/>
      <c r="F610" s="60"/>
      <c r="G610" s="60"/>
      <c r="H610" s="60"/>
      <c r="I610" s="60"/>
      <c r="J610" s="60"/>
      <c r="K610" s="56"/>
      <c r="L610" s="56"/>
      <c r="M610" s="56"/>
      <c r="N610" s="56"/>
      <c r="O610" s="56"/>
      <c r="P610" s="56"/>
      <c r="Q610" s="56"/>
      <c r="R610" s="56"/>
      <c r="S610" s="56"/>
      <c r="T610" s="56"/>
      <c r="U610" s="56"/>
      <c r="V610" s="56"/>
      <c r="W610" s="56"/>
      <c r="X610" s="56"/>
      <c r="Y610" s="56"/>
      <c r="Z610" s="56"/>
      <c r="AA610" s="56"/>
      <c r="AB610" s="56"/>
    </row>
    <row r="611">
      <c r="A611" s="75"/>
      <c r="B611" s="69"/>
      <c r="C611" s="60"/>
      <c r="D611" s="61"/>
      <c r="E611" s="69"/>
      <c r="F611" s="60"/>
      <c r="G611" s="60"/>
      <c r="H611" s="60"/>
      <c r="I611" s="60"/>
      <c r="J611" s="60"/>
      <c r="K611" s="56"/>
      <c r="L611" s="56"/>
      <c r="M611" s="56"/>
      <c r="N611" s="56"/>
      <c r="O611" s="56"/>
      <c r="P611" s="56"/>
      <c r="Q611" s="56"/>
      <c r="R611" s="56"/>
      <c r="S611" s="56"/>
      <c r="T611" s="56"/>
      <c r="U611" s="56"/>
      <c r="V611" s="56"/>
      <c r="W611" s="56"/>
      <c r="X611" s="56"/>
      <c r="Y611" s="56"/>
      <c r="Z611" s="56"/>
      <c r="AA611" s="56"/>
      <c r="AB611" s="56"/>
    </row>
    <row r="612">
      <c r="A612" s="75"/>
      <c r="B612" s="69"/>
      <c r="C612" s="60"/>
      <c r="D612" s="61"/>
      <c r="E612" s="69"/>
      <c r="F612" s="60"/>
      <c r="G612" s="60"/>
      <c r="H612" s="60"/>
      <c r="I612" s="60"/>
      <c r="J612" s="60"/>
      <c r="K612" s="56"/>
      <c r="L612" s="56"/>
      <c r="M612" s="56"/>
      <c r="N612" s="56"/>
      <c r="O612" s="56"/>
      <c r="P612" s="56"/>
      <c r="Q612" s="56"/>
      <c r="R612" s="56"/>
      <c r="S612" s="56"/>
      <c r="T612" s="56"/>
      <c r="U612" s="56"/>
      <c r="V612" s="56"/>
      <c r="W612" s="56"/>
      <c r="X612" s="56"/>
      <c r="Y612" s="56"/>
      <c r="Z612" s="56"/>
      <c r="AA612" s="56"/>
      <c r="AB612" s="56"/>
    </row>
    <row r="613">
      <c r="A613" s="75"/>
      <c r="B613" s="69"/>
      <c r="C613" s="60"/>
      <c r="D613" s="61"/>
      <c r="E613" s="69"/>
      <c r="F613" s="60"/>
      <c r="G613" s="60"/>
      <c r="H613" s="60"/>
      <c r="I613" s="60"/>
      <c r="J613" s="60"/>
      <c r="K613" s="56"/>
      <c r="L613" s="56"/>
      <c r="M613" s="56"/>
      <c r="N613" s="56"/>
      <c r="O613" s="56"/>
      <c r="P613" s="56"/>
      <c r="Q613" s="56"/>
      <c r="R613" s="56"/>
      <c r="S613" s="56"/>
      <c r="T613" s="56"/>
      <c r="U613" s="56"/>
      <c r="V613" s="56"/>
      <c r="W613" s="56"/>
      <c r="X613" s="56"/>
      <c r="Y613" s="56"/>
      <c r="Z613" s="56"/>
      <c r="AA613" s="56"/>
      <c r="AB613" s="56"/>
    </row>
    <row r="614">
      <c r="A614" s="75"/>
      <c r="B614" s="69"/>
      <c r="C614" s="60"/>
      <c r="D614" s="61"/>
      <c r="E614" s="69"/>
      <c r="F614" s="60"/>
      <c r="G614" s="60"/>
      <c r="H614" s="60"/>
      <c r="I614" s="60"/>
      <c r="J614" s="60"/>
      <c r="K614" s="56"/>
      <c r="L614" s="56"/>
      <c r="M614" s="56"/>
      <c r="N614" s="56"/>
      <c r="O614" s="56"/>
      <c r="P614" s="56"/>
      <c r="Q614" s="56"/>
      <c r="R614" s="56"/>
      <c r="S614" s="56"/>
      <c r="T614" s="56"/>
      <c r="U614" s="56"/>
      <c r="V614" s="56"/>
      <c r="W614" s="56"/>
      <c r="X614" s="56"/>
      <c r="Y614" s="56"/>
      <c r="Z614" s="56"/>
      <c r="AA614" s="56"/>
      <c r="AB614" s="56"/>
    </row>
    <row r="615">
      <c r="A615" s="75"/>
      <c r="B615" s="69"/>
      <c r="C615" s="60"/>
      <c r="D615" s="61"/>
      <c r="E615" s="69"/>
      <c r="F615" s="60"/>
      <c r="G615" s="60"/>
      <c r="H615" s="60"/>
      <c r="I615" s="60"/>
      <c r="J615" s="60"/>
      <c r="K615" s="56"/>
      <c r="L615" s="56"/>
      <c r="M615" s="56"/>
      <c r="N615" s="56"/>
      <c r="O615" s="56"/>
      <c r="P615" s="56"/>
      <c r="Q615" s="56"/>
      <c r="R615" s="56"/>
      <c r="S615" s="56"/>
      <c r="T615" s="56"/>
      <c r="U615" s="56"/>
      <c r="V615" s="56"/>
      <c r="W615" s="56"/>
      <c r="X615" s="56"/>
      <c r="Y615" s="56"/>
      <c r="Z615" s="56"/>
      <c r="AA615" s="56"/>
      <c r="AB615" s="56"/>
    </row>
    <row r="616">
      <c r="A616" s="75"/>
      <c r="B616" s="69"/>
      <c r="C616" s="60"/>
      <c r="D616" s="61"/>
      <c r="E616" s="69"/>
      <c r="F616" s="60"/>
      <c r="G616" s="60"/>
      <c r="H616" s="60"/>
      <c r="I616" s="60"/>
      <c r="J616" s="60"/>
      <c r="K616" s="56"/>
      <c r="L616" s="56"/>
      <c r="M616" s="56"/>
      <c r="N616" s="56"/>
      <c r="O616" s="56"/>
      <c r="P616" s="56"/>
      <c r="Q616" s="56"/>
      <c r="R616" s="56"/>
      <c r="S616" s="56"/>
      <c r="T616" s="56"/>
      <c r="U616" s="56"/>
      <c r="V616" s="56"/>
      <c r="W616" s="56"/>
      <c r="X616" s="56"/>
      <c r="Y616" s="56"/>
      <c r="Z616" s="56"/>
      <c r="AA616" s="56"/>
      <c r="AB616" s="56"/>
    </row>
    <row r="617">
      <c r="A617" s="75"/>
      <c r="B617" s="69"/>
      <c r="C617" s="60"/>
      <c r="D617" s="61"/>
      <c r="E617" s="69"/>
      <c r="F617" s="60"/>
      <c r="G617" s="60"/>
      <c r="H617" s="60"/>
      <c r="I617" s="60"/>
      <c r="J617" s="60"/>
      <c r="K617" s="56"/>
      <c r="L617" s="56"/>
      <c r="M617" s="56"/>
      <c r="N617" s="56"/>
      <c r="O617" s="56"/>
      <c r="P617" s="56"/>
      <c r="Q617" s="56"/>
      <c r="R617" s="56"/>
      <c r="S617" s="56"/>
      <c r="T617" s="56"/>
      <c r="U617" s="56"/>
      <c r="V617" s="56"/>
      <c r="W617" s="56"/>
      <c r="X617" s="56"/>
      <c r="Y617" s="56"/>
      <c r="Z617" s="56"/>
      <c r="AA617" s="56"/>
      <c r="AB617" s="56"/>
    </row>
    <row r="618">
      <c r="A618" s="75"/>
      <c r="B618" s="69"/>
      <c r="C618" s="60"/>
      <c r="D618" s="61"/>
      <c r="E618" s="69"/>
      <c r="F618" s="60"/>
      <c r="G618" s="60"/>
      <c r="H618" s="60"/>
      <c r="I618" s="60"/>
      <c r="J618" s="60"/>
      <c r="K618" s="56"/>
      <c r="L618" s="56"/>
      <c r="M618" s="56"/>
      <c r="N618" s="56"/>
      <c r="O618" s="56"/>
      <c r="P618" s="56"/>
      <c r="Q618" s="56"/>
      <c r="R618" s="56"/>
      <c r="S618" s="56"/>
      <c r="T618" s="56"/>
      <c r="U618" s="56"/>
      <c r="V618" s="56"/>
      <c r="W618" s="56"/>
      <c r="X618" s="56"/>
      <c r="Y618" s="56"/>
      <c r="Z618" s="56"/>
      <c r="AA618" s="56"/>
      <c r="AB618" s="56"/>
    </row>
    <row r="619">
      <c r="A619" s="75"/>
      <c r="B619" s="69"/>
      <c r="C619" s="60"/>
      <c r="D619" s="61"/>
      <c r="E619" s="69"/>
      <c r="F619" s="60"/>
      <c r="G619" s="60"/>
      <c r="H619" s="60"/>
      <c r="I619" s="60"/>
      <c r="J619" s="60"/>
      <c r="K619" s="56"/>
      <c r="L619" s="56"/>
      <c r="M619" s="56"/>
      <c r="N619" s="56"/>
      <c r="O619" s="56"/>
      <c r="P619" s="56"/>
      <c r="Q619" s="56"/>
      <c r="R619" s="56"/>
      <c r="S619" s="56"/>
      <c r="T619" s="56"/>
      <c r="U619" s="56"/>
      <c r="V619" s="56"/>
      <c r="W619" s="56"/>
      <c r="X619" s="56"/>
      <c r="Y619" s="56"/>
      <c r="Z619" s="56"/>
      <c r="AA619" s="56"/>
      <c r="AB619" s="56"/>
    </row>
    <row r="620">
      <c r="A620" s="75"/>
      <c r="B620" s="69"/>
      <c r="C620" s="60"/>
      <c r="D620" s="61"/>
      <c r="E620" s="69"/>
      <c r="F620" s="60"/>
      <c r="G620" s="60"/>
      <c r="H620" s="60"/>
      <c r="I620" s="60"/>
      <c r="J620" s="60"/>
      <c r="K620" s="56"/>
      <c r="L620" s="56"/>
      <c r="M620" s="56"/>
      <c r="N620" s="56"/>
      <c r="O620" s="56"/>
      <c r="P620" s="56"/>
      <c r="Q620" s="56"/>
      <c r="R620" s="56"/>
      <c r="S620" s="56"/>
      <c r="T620" s="56"/>
      <c r="U620" s="56"/>
      <c r="V620" s="56"/>
      <c r="W620" s="56"/>
      <c r="X620" s="56"/>
      <c r="Y620" s="56"/>
      <c r="Z620" s="56"/>
      <c r="AA620" s="56"/>
      <c r="AB620" s="56"/>
    </row>
    <row r="621">
      <c r="A621" s="75"/>
      <c r="B621" s="69"/>
      <c r="C621" s="60"/>
      <c r="D621" s="61"/>
      <c r="E621" s="69"/>
      <c r="F621" s="60"/>
      <c r="G621" s="60"/>
      <c r="H621" s="60"/>
      <c r="I621" s="60"/>
      <c r="J621" s="60"/>
      <c r="K621" s="56"/>
      <c r="L621" s="56"/>
      <c r="M621" s="56"/>
      <c r="N621" s="56"/>
      <c r="O621" s="56"/>
      <c r="P621" s="56"/>
      <c r="Q621" s="56"/>
      <c r="R621" s="56"/>
      <c r="S621" s="56"/>
      <c r="T621" s="56"/>
      <c r="U621" s="56"/>
      <c r="V621" s="56"/>
      <c r="W621" s="56"/>
      <c r="X621" s="56"/>
      <c r="Y621" s="56"/>
      <c r="Z621" s="56"/>
      <c r="AA621" s="56"/>
      <c r="AB621" s="56"/>
    </row>
    <row r="622">
      <c r="A622" s="75"/>
      <c r="B622" s="69"/>
      <c r="C622" s="60"/>
      <c r="D622" s="61"/>
      <c r="E622" s="69"/>
      <c r="F622" s="60"/>
      <c r="G622" s="60"/>
      <c r="H622" s="60"/>
      <c r="I622" s="60"/>
      <c r="J622" s="60"/>
      <c r="K622" s="56"/>
      <c r="L622" s="56"/>
      <c r="M622" s="56"/>
      <c r="N622" s="56"/>
      <c r="O622" s="56"/>
      <c r="P622" s="56"/>
      <c r="Q622" s="56"/>
      <c r="R622" s="56"/>
      <c r="S622" s="56"/>
      <c r="T622" s="56"/>
      <c r="U622" s="56"/>
      <c r="V622" s="56"/>
      <c r="W622" s="56"/>
      <c r="X622" s="56"/>
      <c r="Y622" s="56"/>
      <c r="Z622" s="56"/>
      <c r="AA622" s="56"/>
      <c r="AB622" s="56"/>
    </row>
    <row r="623">
      <c r="A623" s="75"/>
      <c r="B623" s="69"/>
      <c r="C623" s="60"/>
      <c r="D623" s="61"/>
      <c r="E623" s="69"/>
      <c r="F623" s="60"/>
      <c r="G623" s="60"/>
      <c r="H623" s="60"/>
      <c r="I623" s="60"/>
      <c r="J623" s="60"/>
      <c r="K623" s="56"/>
      <c r="L623" s="56"/>
      <c r="M623" s="56"/>
      <c r="N623" s="56"/>
      <c r="O623" s="56"/>
      <c r="P623" s="56"/>
      <c r="Q623" s="56"/>
      <c r="R623" s="56"/>
      <c r="S623" s="56"/>
      <c r="T623" s="56"/>
      <c r="U623" s="56"/>
      <c r="V623" s="56"/>
      <c r="W623" s="56"/>
      <c r="X623" s="56"/>
      <c r="Y623" s="56"/>
      <c r="Z623" s="56"/>
      <c r="AA623" s="56"/>
      <c r="AB623" s="56"/>
    </row>
    <row r="624">
      <c r="A624" s="75"/>
      <c r="B624" s="69"/>
      <c r="C624" s="60"/>
      <c r="D624" s="61"/>
      <c r="E624" s="69"/>
      <c r="F624" s="60"/>
      <c r="G624" s="60"/>
      <c r="H624" s="60"/>
      <c r="I624" s="60"/>
      <c r="J624" s="60"/>
      <c r="K624" s="56"/>
      <c r="L624" s="56"/>
      <c r="M624" s="56"/>
      <c r="N624" s="56"/>
      <c r="O624" s="56"/>
      <c r="P624" s="56"/>
      <c r="Q624" s="56"/>
      <c r="R624" s="56"/>
      <c r="S624" s="56"/>
      <c r="T624" s="56"/>
      <c r="U624" s="56"/>
      <c r="V624" s="56"/>
      <c r="W624" s="56"/>
      <c r="X624" s="56"/>
      <c r="Y624" s="56"/>
      <c r="Z624" s="56"/>
      <c r="AA624" s="56"/>
      <c r="AB624" s="56"/>
    </row>
    <row r="625">
      <c r="A625" s="75"/>
      <c r="B625" s="69"/>
      <c r="C625" s="60"/>
      <c r="D625" s="61"/>
      <c r="E625" s="69"/>
      <c r="F625" s="60"/>
      <c r="G625" s="60"/>
      <c r="H625" s="60"/>
      <c r="I625" s="60"/>
      <c r="J625" s="60"/>
      <c r="K625" s="56"/>
      <c r="L625" s="56"/>
      <c r="M625" s="56"/>
      <c r="N625" s="56"/>
      <c r="O625" s="56"/>
      <c r="P625" s="56"/>
      <c r="Q625" s="56"/>
      <c r="R625" s="56"/>
      <c r="S625" s="56"/>
      <c r="T625" s="56"/>
      <c r="U625" s="56"/>
      <c r="V625" s="56"/>
      <c r="W625" s="56"/>
      <c r="X625" s="56"/>
      <c r="Y625" s="56"/>
      <c r="Z625" s="56"/>
      <c r="AA625" s="56"/>
      <c r="AB625" s="56"/>
    </row>
    <row r="626">
      <c r="A626" s="75"/>
      <c r="B626" s="69"/>
      <c r="C626" s="60"/>
      <c r="D626" s="61"/>
      <c r="E626" s="69"/>
      <c r="F626" s="60"/>
      <c r="G626" s="60"/>
      <c r="H626" s="60"/>
      <c r="I626" s="60"/>
      <c r="J626" s="60"/>
      <c r="K626" s="56"/>
      <c r="L626" s="56"/>
      <c r="M626" s="56"/>
      <c r="N626" s="56"/>
      <c r="O626" s="56"/>
      <c r="P626" s="56"/>
      <c r="Q626" s="56"/>
      <c r="R626" s="56"/>
      <c r="S626" s="56"/>
      <c r="T626" s="56"/>
      <c r="U626" s="56"/>
      <c r="V626" s="56"/>
      <c r="W626" s="56"/>
      <c r="X626" s="56"/>
      <c r="Y626" s="56"/>
      <c r="Z626" s="56"/>
      <c r="AA626" s="56"/>
      <c r="AB626" s="56"/>
    </row>
    <row r="627">
      <c r="A627" s="75"/>
      <c r="B627" s="69"/>
      <c r="C627" s="60"/>
      <c r="D627" s="61"/>
      <c r="E627" s="69"/>
      <c r="F627" s="60"/>
      <c r="G627" s="60"/>
      <c r="H627" s="60"/>
      <c r="I627" s="60"/>
      <c r="J627" s="60"/>
      <c r="K627" s="56"/>
      <c r="L627" s="56"/>
      <c r="M627" s="56"/>
      <c r="N627" s="56"/>
      <c r="O627" s="56"/>
      <c r="P627" s="56"/>
      <c r="Q627" s="56"/>
      <c r="R627" s="56"/>
      <c r="S627" s="56"/>
      <c r="T627" s="56"/>
      <c r="U627" s="56"/>
      <c r="V627" s="56"/>
      <c r="W627" s="56"/>
      <c r="X627" s="56"/>
      <c r="Y627" s="56"/>
      <c r="Z627" s="56"/>
      <c r="AA627" s="56"/>
      <c r="AB627" s="56"/>
    </row>
    <row r="628">
      <c r="A628" s="75"/>
      <c r="B628" s="69"/>
      <c r="C628" s="60"/>
      <c r="D628" s="61"/>
      <c r="E628" s="69"/>
      <c r="F628" s="60"/>
      <c r="G628" s="60"/>
      <c r="H628" s="60"/>
      <c r="I628" s="60"/>
      <c r="J628" s="60"/>
      <c r="K628" s="56"/>
      <c r="L628" s="56"/>
      <c r="M628" s="56"/>
      <c r="N628" s="56"/>
      <c r="O628" s="56"/>
      <c r="P628" s="56"/>
      <c r="Q628" s="56"/>
      <c r="R628" s="56"/>
      <c r="S628" s="56"/>
      <c r="T628" s="56"/>
      <c r="U628" s="56"/>
      <c r="V628" s="56"/>
      <c r="W628" s="56"/>
      <c r="X628" s="56"/>
      <c r="Y628" s="56"/>
      <c r="Z628" s="56"/>
      <c r="AA628" s="56"/>
      <c r="AB628" s="56"/>
    </row>
    <row r="629">
      <c r="A629" s="75"/>
      <c r="B629" s="69"/>
      <c r="C629" s="60"/>
      <c r="D629" s="61"/>
      <c r="E629" s="69"/>
      <c r="F629" s="60"/>
      <c r="G629" s="60"/>
      <c r="H629" s="60"/>
      <c r="I629" s="60"/>
      <c r="J629" s="60"/>
      <c r="K629" s="56"/>
      <c r="L629" s="56"/>
      <c r="M629" s="56"/>
      <c r="N629" s="56"/>
      <c r="O629" s="56"/>
      <c r="P629" s="56"/>
      <c r="Q629" s="56"/>
      <c r="R629" s="56"/>
      <c r="S629" s="56"/>
      <c r="T629" s="56"/>
      <c r="U629" s="56"/>
      <c r="V629" s="56"/>
      <c r="W629" s="56"/>
      <c r="X629" s="56"/>
      <c r="Y629" s="56"/>
      <c r="Z629" s="56"/>
      <c r="AA629" s="56"/>
      <c r="AB629" s="56"/>
    </row>
    <row r="630">
      <c r="A630" s="75"/>
      <c r="B630" s="69"/>
      <c r="C630" s="60"/>
      <c r="D630" s="61"/>
      <c r="E630" s="69"/>
      <c r="F630" s="60"/>
      <c r="G630" s="60"/>
      <c r="H630" s="60"/>
      <c r="I630" s="60"/>
      <c r="J630" s="60"/>
      <c r="K630" s="56"/>
      <c r="L630" s="56"/>
      <c r="M630" s="56"/>
      <c r="N630" s="56"/>
      <c r="O630" s="56"/>
      <c r="P630" s="56"/>
      <c r="Q630" s="56"/>
      <c r="R630" s="56"/>
      <c r="S630" s="56"/>
      <c r="T630" s="56"/>
      <c r="U630" s="56"/>
      <c r="V630" s="56"/>
      <c r="W630" s="56"/>
      <c r="X630" s="56"/>
      <c r="Y630" s="56"/>
      <c r="Z630" s="56"/>
      <c r="AA630" s="56"/>
      <c r="AB630" s="56"/>
    </row>
    <row r="631">
      <c r="A631" s="75"/>
      <c r="B631" s="69"/>
      <c r="C631" s="60"/>
      <c r="D631" s="61"/>
      <c r="E631" s="69"/>
      <c r="F631" s="60"/>
      <c r="G631" s="60"/>
      <c r="H631" s="60"/>
      <c r="I631" s="60"/>
      <c r="J631" s="60"/>
      <c r="K631" s="56"/>
      <c r="L631" s="56"/>
      <c r="M631" s="56"/>
      <c r="N631" s="56"/>
      <c r="O631" s="56"/>
      <c r="P631" s="56"/>
      <c r="Q631" s="56"/>
      <c r="R631" s="56"/>
      <c r="S631" s="56"/>
      <c r="T631" s="56"/>
      <c r="U631" s="56"/>
      <c r="V631" s="56"/>
      <c r="W631" s="56"/>
      <c r="X631" s="56"/>
      <c r="Y631" s="56"/>
      <c r="Z631" s="56"/>
      <c r="AA631" s="56"/>
      <c r="AB631" s="56"/>
    </row>
    <row r="632">
      <c r="A632" s="75"/>
      <c r="B632" s="69"/>
      <c r="C632" s="60"/>
      <c r="D632" s="61"/>
      <c r="E632" s="69"/>
      <c r="F632" s="60"/>
      <c r="G632" s="60"/>
      <c r="H632" s="60"/>
      <c r="I632" s="60"/>
      <c r="J632" s="60"/>
      <c r="K632" s="56"/>
      <c r="L632" s="56"/>
      <c r="M632" s="56"/>
      <c r="N632" s="56"/>
      <c r="O632" s="56"/>
      <c r="P632" s="56"/>
      <c r="Q632" s="56"/>
      <c r="R632" s="56"/>
      <c r="S632" s="56"/>
      <c r="T632" s="56"/>
      <c r="U632" s="56"/>
      <c r="V632" s="56"/>
      <c r="W632" s="56"/>
      <c r="X632" s="56"/>
      <c r="Y632" s="56"/>
      <c r="Z632" s="56"/>
      <c r="AA632" s="56"/>
      <c r="AB632" s="56"/>
    </row>
    <row r="633">
      <c r="A633" s="75"/>
      <c r="B633" s="69"/>
      <c r="C633" s="60"/>
      <c r="D633" s="61"/>
      <c r="E633" s="69"/>
      <c r="F633" s="60"/>
      <c r="G633" s="60"/>
      <c r="H633" s="60"/>
      <c r="I633" s="60"/>
      <c r="J633" s="60"/>
      <c r="K633" s="56"/>
      <c r="L633" s="56"/>
      <c r="M633" s="56"/>
      <c r="N633" s="56"/>
      <c r="O633" s="56"/>
      <c r="P633" s="56"/>
      <c r="Q633" s="56"/>
      <c r="R633" s="56"/>
      <c r="S633" s="56"/>
      <c r="T633" s="56"/>
      <c r="U633" s="56"/>
      <c r="V633" s="56"/>
      <c r="W633" s="56"/>
      <c r="X633" s="56"/>
      <c r="Y633" s="56"/>
      <c r="Z633" s="56"/>
      <c r="AA633" s="56"/>
      <c r="AB633" s="56"/>
    </row>
    <row r="634">
      <c r="A634" s="75"/>
      <c r="B634" s="69"/>
      <c r="C634" s="60"/>
      <c r="D634" s="61"/>
      <c r="E634" s="69"/>
      <c r="F634" s="60"/>
      <c r="G634" s="60"/>
      <c r="H634" s="60"/>
      <c r="I634" s="60"/>
      <c r="J634" s="60"/>
      <c r="K634" s="56"/>
      <c r="L634" s="56"/>
      <c r="M634" s="56"/>
      <c r="N634" s="56"/>
      <c r="O634" s="56"/>
      <c r="P634" s="56"/>
      <c r="Q634" s="56"/>
      <c r="R634" s="56"/>
      <c r="S634" s="56"/>
      <c r="T634" s="56"/>
      <c r="U634" s="56"/>
      <c r="V634" s="56"/>
      <c r="W634" s="56"/>
      <c r="X634" s="56"/>
      <c r="Y634" s="56"/>
      <c r="Z634" s="56"/>
      <c r="AA634" s="56"/>
      <c r="AB634" s="56"/>
    </row>
    <row r="635">
      <c r="A635" s="75"/>
      <c r="B635" s="69"/>
      <c r="C635" s="60"/>
      <c r="D635" s="61"/>
      <c r="E635" s="69"/>
      <c r="F635" s="60"/>
      <c r="G635" s="60"/>
      <c r="H635" s="60"/>
      <c r="I635" s="60"/>
      <c r="J635" s="60"/>
      <c r="K635" s="56"/>
      <c r="L635" s="56"/>
      <c r="M635" s="56"/>
      <c r="N635" s="56"/>
      <c r="O635" s="56"/>
      <c r="P635" s="56"/>
      <c r="Q635" s="56"/>
      <c r="R635" s="56"/>
      <c r="S635" s="56"/>
      <c r="T635" s="56"/>
      <c r="U635" s="56"/>
      <c r="V635" s="56"/>
      <c r="W635" s="56"/>
      <c r="X635" s="56"/>
      <c r="Y635" s="56"/>
      <c r="Z635" s="56"/>
      <c r="AA635" s="56"/>
      <c r="AB635" s="56"/>
    </row>
    <row r="636">
      <c r="A636" s="75"/>
      <c r="B636" s="69"/>
      <c r="C636" s="60"/>
      <c r="D636" s="61"/>
      <c r="E636" s="69"/>
      <c r="F636" s="60"/>
      <c r="G636" s="60"/>
      <c r="H636" s="60"/>
      <c r="I636" s="60"/>
      <c r="J636" s="60"/>
      <c r="K636" s="56"/>
      <c r="L636" s="56"/>
      <c r="M636" s="56"/>
      <c r="N636" s="56"/>
      <c r="O636" s="56"/>
      <c r="P636" s="56"/>
      <c r="Q636" s="56"/>
      <c r="R636" s="56"/>
      <c r="S636" s="56"/>
      <c r="T636" s="56"/>
      <c r="U636" s="56"/>
      <c r="V636" s="56"/>
      <c r="W636" s="56"/>
      <c r="X636" s="56"/>
      <c r="Y636" s="56"/>
      <c r="Z636" s="56"/>
      <c r="AA636" s="56"/>
      <c r="AB636" s="56"/>
    </row>
    <row r="637">
      <c r="A637" s="75"/>
      <c r="B637" s="69"/>
      <c r="C637" s="60"/>
      <c r="D637" s="61"/>
      <c r="E637" s="69"/>
      <c r="F637" s="60"/>
      <c r="G637" s="60"/>
      <c r="H637" s="60"/>
      <c r="I637" s="60"/>
      <c r="J637" s="60"/>
      <c r="K637" s="56"/>
      <c r="L637" s="56"/>
      <c r="M637" s="56"/>
      <c r="N637" s="56"/>
      <c r="O637" s="56"/>
      <c r="P637" s="56"/>
      <c r="Q637" s="56"/>
      <c r="R637" s="56"/>
      <c r="S637" s="56"/>
      <c r="T637" s="56"/>
      <c r="U637" s="56"/>
      <c r="V637" s="56"/>
      <c r="W637" s="56"/>
      <c r="X637" s="56"/>
      <c r="Y637" s="56"/>
      <c r="Z637" s="56"/>
      <c r="AA637" s="56"/>
      <c r="AB637" s="56"/>
    </row>
    <row r="638">
      <c r="A638" s="75"/>
      <c r="B638" s="69"/>
      <c r="C638" s="60"/>
      <c r="D638" s="61"/>
      <c r="E638" s="69"/>
      <c r="F638" s="60"/>
      <c r="G638" s="60"/>
      <c r="H638" s="60"/>
      <c r="I638" s="60"/>
      <c r="J638" s="60"/>
      <c r="K638" s="56"/>
      <c r="L638" s="56"/>
      <c r="M638" s="56"/>
      <c r="N638" s="56"/>
      <c r="O638" s="56"/>
      <c r="P638" s="56"/>
      <c r="Q638" s="56"/>
      <c r="R638" s="56"/>
      <c r="S638" s="56"/>
      <c r="T638" s="56"/>
      <c r="U638" s="56"/>
      <c r="V638" s="56"/>
      <c r="W638" s="56"/>
      <c r="X638" s="56"/>
      <c r="Y638" s="56"/>
      <c r="Z638" s="56"/>
      <c r="AA638" s="56"/>
      <c r="AB638" s="56"/>
    </row>
    <row r="639">
      <c r="A639" s="75"/>
      <c r="B639" s="69"/>
      <c r="C639" s="60"/>
      <c r="D639" s="61"/>
      <c r="E639" s="69"/>
      <c r="F639" s="60"/>
      <c r="G639" s="60"/>
      <c r="H639" s="60"/>
      <c r="I639" s="60"/>
      <c r="J639" s="60"/>
      <c r="K639" s="56"/>
      <c r="L639" s="56"/>
      <c r="M639" s="56"/>
      <c r="N639" s="56"/>
      <c r="O639" s="56"/>
      <c r="P639" s="56"/>
      <c r="Q639" s="56"/>
      <c r="R639" s="56"/>
      <c r="S639" s="56"/>
      <c r="T639" s="56"/>
      <c r="U639" s="56"/>
      <c r="V639" s="56"/>
      <c r="W639" s="56"/>
      <c r="X639" s="56"/>
      <c r="Y639" s="56"/>
      <c r="Z639" s="56"/>
      <c r="AA639" s="56"/>
      <c r="AB639" s="56"/>
    </row>
    <row r="640">
      <c r="A640" s="75"/>
      <c r="B640" s="69"/>
      <c r="C640" s="60"/>
      <c r="D640" s="61"/>
      <c r="E640" s="69"/>
      <c r="F640" s="60"/>
      <c r="G640" s="60"/>
      <c r="H640" s="60"/>
      <c r="I640" s="60"/>
      <c r="J640" s="60"/>
      <c r="K640" s="56"/>
      <c r="L640" s="56"/>
      <c r="M640" s="56"/>
      <c r="N640" s="56"/>
      <c r="O640" s="56"/>
      <c r="P640" s="56"/>
      <c r="Q640" s="56"/>
      <c r="R640" s="56"/>
      <c r="S640" s="56"/>
      <c r="T640" s="56"/>
      <c r="U640" s="56"/>
      <c r="V640" s="56"/>
      <c r="W640" s="56"/>
      <c r="X640" s="56"/>
      <c r="Y640" s="56"/>
      <c r="Z640" s="56"/>
      <c r="AA640" s="56"/>
      <c r="AB640" s="56"/>
    </row>
    <row r="641">
      <c r="A641" s="75"/>
      <c r="B641" s="69"/>
      <c r="C641" s="60"/>
      <c r="D641" s="61"/>
      <c r="E641" s="69"/>
      <c r="F641" s="60"/>
      <c r="G641" s="60"/>
      <c r="H641" s="60"/>
      <c r="I641" s="60"/>
      <c r="J641" s="60"/>
      <c r="K641" s="56"/>
      <c r="L641" s="56"/>
      <c r="M641" s="56"/>
      <c r="N641" s="56"/>
      <c r="O641" s="56"/>
      <c r="P641" s="56"/>
      <c r="Q641" s="56"/>
      <c r="R641" s="56"/>
      <c r="S641" s="56"/>
      <c r="T641" s="56"/>
      <c r="U641" s="56"/>
      <c r="V641" s="56"/>
      <c r="W641" s="56"/>
      <c r="X641" s="56"/>
      <c r="Y641" s="56"/>
      <c r="Z641" s="56"/>
      <c r="AA641" s="56"/>
      <c r="AB641" s="56"/>
    </row>
    <row r="642">
      <c r="A642" s="75"/>
      <c r="B642" s="69"/>
      <c r="C642" s="60"/>
      <c r="D642" s="61"/>
      <c r="E642" s="69"/>
      <c r="F642" s="60"/>
      <c r="G642" s="60"/>
      <c r="H642" s="60"/>
      <c r="I642" s="60"/>
      <c r="J642" s="60"/>
      <c r="K642" s="56"/>
      <c r="L642" s="56"/>
      <c r="M642" s="56"/>
      <c r="N642" s="56"/>
      <c r="O642" s="56"/>
      <c r="P642" s="56"/>
      <c r="Q642" s="56"/>
      <c r="R642" s="56"/>
      <c r="S642" s="56"/>
      <c r="T642" s="56"/>
      <c r="U642" s="56"/>
      <c r="V642" s="56"/>
      <c r="W642" s="56"/>
      <c r="X642" s="56"/>
      <c r="Y642" s="56"/>
      <c r="Z642" s="56"/>
      <c r="AA642" s="56"/>
      <c r="AB642" s="56"/>
    </row>
    <row r="643">
      <c r="A643" s="75"/>
      <c r="B643" s="69"/>
      <c r="C643" s="60"/>
      <c r="D643" s="61"/>
      <c r="E643" s="69"/>
      <c r="F643" s="60"/>
      <c r="G643" s="60"/>
      <c r="H643" s="60"/>
      <c r="I643" s="60"/>
      <c r="J643" s="60"/>
      <c r="K643" s="56"/>
      <c r="L643" s="56"/>
      <c r="M643" s="56"/>
      <c r="N643" s="56"/>
      <c r="O643" s="56"/>
      <c r="P643" s="56"/>
      <c r="Q643" s="56"/>
      <c r="R643" s="56"/>
      <c r="S643" s="56"/>
      <c r="T643" s="56"/>
      <c r="U643" s="56"/>
      <c r="V643" s="56"/>
      <c r="W643" s="56"/>
      <c r="X643" s="56"/>
      <c r="Y643" s="56"/>
      <c r="Z643" s="56"/>
      <c r="AA643" s="56"/>
      <c r="AB643" s="56"/>
    </row>
    <row r="644">
      <c r="A644" s="75"/>
      <c r="B644" s="69"/>
      <c r="C644" s="60"/>
      <c r="D644" s="61"/>
      <c r="E644" s="69"/>
      <c r="F644" s="60"/>
      <c r="G644" s="60"/>
      <c r="H644" s="60"/>
      <c r="I644" s="60"/>
      <c r="J644" s="60"/>
      <c r="K644" s="56"/>
      <c r="L644" s="56"/>
      <c r="M644" s="56"/>
      <c r="N644" s="56"/>
      <c r="O644" s="56"/>
      <c r="P644" s="56"/>
      <c r="Q644" s="56"/>
      <c r="R644" s="56"/>
      <c r="S644" s="56"/>
      <c r="T644" s="56"/>
      <c r="U644" s="56"/>
      <c r="V644" s="56"/>
      <c r="W644" s="56"/>
      <c r="X644" s="56"/>
      <c r="Y644" s="56"/>
      <c r="Z644" s="56"/>
      <c r="AA644" s="56"/>
      <c r="AB644" s="56"/>
    </row>
    <row r="645">
      <c r="A645" s="75"/>
      <c r="B645" s="69"/>
      <c r="C645" s="60"/>
      <c r="D645" s="61"/>
      <c r="E645" s="69"/>
      <c r="F645" s="60"/>
      <c r="G645" s="60"/>
      <c r="H645" s="60"/>
      <c r="I645" s="60"/>
      <c r="J645" s="60"/>
      <c r="K645" s="56"/>
      <c r="L645" s="56"/>
      <c r="M645" s="56"/>
      <c r="N645" s="56"/>
      <c r="O645" s="56"/>
      <c r="P645" s="56"/>
      <c r="Q645" s="56"/>
      <c r="R645" s="56"/>
      <c r="S645" s="56"/>
      <c r="T645" s="56"/>
      <c r="U645" s="56"/>
      <c r="V645" s="56"/>
      <c r="W645" s="56"/>
      <c r="X645" s="56"/>
      <c r="Y645" s="56"/>
      <c r="Z645" s="56"/>
      <c r="AA645" s="56"/>
      <c r="AB645" s="56"/>
    </row>
    <row r="646">
      <c r="A646" s="75"/>
      <c r="B646" s="69"/>
      <c r="C646" s="60"/>
      <c r="D646" s="61"/>
      <c r="E646" s="69"/>
      <c r="F646" s="60"/>
      <c r="G646" s="60"/>
      <c r="H646" s="60"/>
      <c r="I646" s="60"/>
      <c r="J646" s="60"/>
      <c r="K646" s="56"/>
      <c r="L646" s="56"/>
      <c r="M646" s="56"/>
      <c r="N646" s="56"/>
      <c r="O646" s="56"/>
      <c r="P646" s="56"/>
      <c r="Q646" s="56"/>
      <c r="R646" s="56"/>
      <c r="S646" s="56"/>
      <c r="T646" s="56"/>
      <c r="U646" s="56"/>
      <c r="V646" s="56"/>
      <c r="W646" s="56"/>
      <c r="X646" s="56"/>
      <c r="Y646" s="56"/>
      <c r="Z646" s="56"/>
      <c r="AA646" s="56"/>
      <c r="AB646" s="56"/>
    </row>
    <row r="647">
      <c r="A647" s="75"/>
      <c r="B647" s="69"/>
      <c r="C647" s="60"/>
      <c r="D647" s="61"/>
      <c r="E647" s="69"/>
      <c r="F647" s="60"/>
      <c r="G647" s="60"/>
      <c r="H647" s="60"/>
      <c r="I647" s="60"/>
      <c r="J647" s="60"/>
      <c r="K647" s="56"/>
      <c r="L647" s="56"/>
      <c r="M647" s="56"/>
      <c r="N647" s="56"/>
      <c r="O647" s="56"/>
      <c r="P647" s="56"/>
      <c r="Q647" s="56"/>
      <c r="R647" s="56"/>
      <c r="S647" s="56"/>
      <c r="T647" s="56"/>
      <c r="U647" s="56"/>
      <c r="V647" s="56"/>
      <c r="W647" s="56"/>
      <c r="X647" s="56"/>
      <c r="Y647" s="56"/>
      <c r="Z647" s="56"/>
      <c r="AA647" s="56"/>
      <c r="AB647" s="56"/>
    </row>
    <row r="648">
      <c r="A648" s="75"/>
      <c r="B648" s="69"/>
      <c r="C648" s="60"/>
      <c r="D648" s="61"/>
      <c r="E648" s="69"/>
      <c r="F648" s="60"/>
      <c r="G648" s="60"/>
      <c r="H648" s="60"/>
      <c r="I648" s="60"/>
      <c r="J648" s="60"/>
      <c r="K648" s="56"/>
      <c r="L648" s="56"/>
      <c r="M648" s="56"/>
      <c r="N648" s="56"/>
      <c r="O648" s="56"/>
      <c r="P648" s="56"/>
      <c r="Q648" s="56"/>
      <c r="R648" s="56"/>
      <c r="S648" s="56"/>
      <c r="T648" s="56"/>
      <c r="U648" s="56"/>
      <c r="V648" s="56"/>
      <c r="W648" s="56"/>
      <c r="X648" s="56"/>
      <c r="Y648" s="56"/>
      <c r="Z648" s="56"/>
      <c r="AA648" s="56"/>
      <c r="AB648" s="56"/>
    </row>
    <row r="649">
      <c r="A649" s="75"/>
      <c r="B649" s="69"/>
      <c r="C649" s="60"/>
      <c r="D649" s="61"/>
      <c r="E649" s="69"/>
      <c r="F649" s="60"/>
      <c r="G649" s="60"/>
      <c r="H649" s="60"/>
      <c r="I649" s="60"/>
      <c r="J649" s="60"/>
      <c r="K649" s="56"/>
      <c r="L649" s="56"/>
      <c r="M649" s="56"/>
      <c r="N649" s="56"/>
      <c r="O649" s="56"/>
      <c r="P649" s="56"/>
      <c r="Q649" s="56"/>
      <c r="R649" s="56"/>
      <c r="S649" s="56"/>
      <c r="T649" s="56"/>
      <c r="U649" s="56"/>
      <c r="V649" s="56"/>
      <c r="W649" s="56"/>
      <c r="X649" s="56"/>
      <c r="Y649" s="56"/>
      <c r="Z649" s="56"/>
      <c r="AA649" s="56"/>
      <c r="AB649" s="56"/>
    </row>
    <row r="650">
      <c r="A650" s="75"/>
      <c r="B650" s="69"/>
      <c r="C650" s="60"/>
      <c r="D650" s="61"/>
      <c r="E650" s="69"/>
      <c r="F650" s="60"/>
      <c r="G650" s="60"/>
      <c r="H650" s="60"/>
      <c r="I650" s="60"/>
      <c r="J650" s="60"/>
      <c r="K650" s="56"/>
      <c r="L650" s="56"/>
      <c r="M650" s="56"/>
      <c r="N650" s="56"/>
      <c r="O650" s="56"/>
      <c r="P650" s="56"/>
      <c r="Q650" s="56"/>
      <c r="R650" s="56"/>
      <c r="S650" s="56"/>
      <c r="T650" s="56"/>
      <c r="U650" s="56"/>
      <c r="V650" s="56"/>
      <c r="W650" s="56"/>
      <c r="X650" s="56"/>
      <c r="Y650" s="56"/>
      <c r="Z650" s="56"/>
      <c r="AA650" s="56"/>
      <c r="AB650" s="56"/>
    </row>
    <row r="651">
      <c r="A651" s="75"/>
      <c r="B651" s="69"/>
      <c r="C651" s="60"/>
      <c r="D651" s="61"/>
      <c r="E651" s="69"/>
      <c r="F651" s="60"/>
      <c r="G651" s="60"/>
      <c r="H651" s="60"/>
      <c r="I651" s="60"/>
      <c r="J651" s="60"/>
      <c r="K651" s="56"/>
      <c r="L651" s="56"/>
      <c r="M651" s="56"/>
      <c r="N651" s="56"/>
      <c r="O651" s="56"/>
      <c r="P651" s="56"/>
      <c r="Q651" s="56"/>
      <c r="R651" s="56"/>
      <c r="S651" s="56"/>
      <c r="T651" s="56"/>
      <c r="U651" s="56"/>
      <c r="V651" s="56"/>
      <c r="W651" s="56"/>
      <c r="X651" s="56"/>
      <c r="Y651" s="56"/>
      <c r="Z651" s="56"/>
      <c r="AA651" s="56"/>
      <c r="AB651" s="56"/>
    </row>
    <row r="652">
      <c r="A652" s="75"/>
      <c r="B652" s="69"/>
      <c r="C652" s="60"/>
      <c r="D652" s="61"/>
      <c r="E652" s="69"/>
      <c r="F652" s="60"/>
      <c r="G652" s="60"/>
      <c r="H652" s="60"/>
      <c r="I652" s="60"/>
      <c r="J652" s="60"/>
      <c r="K652" s="56"/>
      <c r="L652" s="56"/>
      <c r="M652" s="56"/>
      <c r="N652" s="56"/>
      <c r="O652" s="56"/>
      <c r="P652" s="56"/>
      <c r="Q652" s="56"/>
      <c r="R652" s="56"/>
      <c r="S652" s="56"/>
      <c r="T652" s="56"/>
      <c r="U652" s="56"/>
      <c r="V652" s="56"/>
      <c r="W652" s="56"/>
      <c r="X652" s="56"/>
      <c r="Y652" s="56"/>
      <c r="Z652" s="56"/>
      <c r="AA652" s="56"/>
      <c r="AB652" s="56"/>
    </row>
    <row r="653">
      <c r="A653" s="75"/>
      <c r="B653" s="69"/>
      <c r="C653" s="60"/>
      <c r="D653" s="61"/>
      <c r="E653" s="69"/>
      <c r="F653" s="60"/>
      <c r="G653" s="60"/>
      <c r="H653" s="60"/>
      <c r="I653" s="60"/>
      <c r="J653" s="60"/>
      <c r="K653" s="56"/>
      <c r="L653" s="56"/>
      <c r="M653" s="56"/>
      <c r="N653" s="56"/>
      <c r="O653" s="56"/>
      <c r="P653" s="56"/>
      <c r="Q653" s="56"/>
      <c r="R653" s="56"/>
      <c r="S653" s="56"/>
      <c r="T653" s="56"/>
      <c r="U653" s="56"/>
      <c r="V653" s="56"/>
      <c r="W653" s="56"/>
      <c r="X653" s="56"/>
      <c r="Y653" s="56"/>
      <c r="Z653" s="56"/>
      <c r="AA653" s="56"/>
      <c r="AB653" s="56"/>
    </row>
    <row r="654">
      <c r="A654" s="75"/>
      <c r="B654" s="69"/>
      <c r="C654" s="60"/>
      <c r="D654" s="61"/>
      <c r="E654" s="69"/>
      <c r="F654" s="60"/>
      <c r="G654" s="60"/>
      <c r="H654" s="60"/>
      <c r="I654" s="60"/>
      <c r="J654" s="60"/>
      <c r="K654" s="56"/>
      <c r="L654" s="56"/>
      <c r="M654" s="56"/>
      <c r="N654" s="56"/>
      <c r="O654" s="56"/>
      <c r="P654" s="56"/>
      <c r="Q654" s="56"/>
      <c r="R654" s="56"/>
      <c r="S654" s="56"/>
      <c r="T654" s="56"/>
      <c r="U654" s="56"/>
      <c r="V654" s="56"/>
      <c r="W654" s="56"/>
      <c r="X654" s="56"/>
      <c r="Y654" s="56"/>
      <c r="Z654" s="56"/>
      <c r="AA654" s="56"/>
      <c r="AB654" s="56"/>
    </row>
    <row r="655">
      <c r="A655" s="75"/>
      <c r="B655" s="69"/>
      <c r="C655" s="60"/>
      <c r="D655" s="61"/>
      <c r="E655" s="69"/>
      <c r="F655" s="60"/>
      <c r="G655" s="60"/>
      <c r="H655" s="60"/>
      <c r="I655" s="60"/>
      <c r="J655" s="60"/>
      <c r="K655" s="56"/>
      <c r="L655" s="56"/>
      <c r="M655" s="56"/>
      <c r="N655" s="56"/>
      <c r="O655" s="56"/>
      <c r="P655" s="56"/>
      <c r="Q655" s="56"/>
      <c r="R655" s="56"/>
      <c r="S655" s="56"/>
      <c r="T655" s="56"/>
      <c r="U655" s="56"/>
      <c r="V655" s="56"/>
      <c r="W655" s="56"/>
      <c r="X655" s="56"/>
      <c r="Y655" s="56"/>
      <c r="Z655" s="56"/>
      <c r="AA655" s="56"/>
      <c r="AB655" s="56"/>
    </row>
    <row r="656">
      <c r="A656" s="75"/>
      <c r="B656" s="69"/>
      <c r="C656" s="60"/>
      <c r="D656" s="61"/>
      <c r="E656" s="69"/>
      <c r="F656" s="60"/>
      <c r="G656" s="60"/>
      <c r="H656" s="60"/>
      <c r="I656" s="60"/>
      <c r="J656" s="60"/>
      <c r="K656" s="56"/>
      <c r="L656" s="56"/>
      <c r="M656" s="56"/>
      <c r="N656" s="56"/>
      <c r="O656" s="56"/>
      <c r="P656" s="56"/>
      <c r="Q656" s="56"/>
      <c r="R656" s="56"/>
      <c r="S656" s="56"/>
      <c r="T656" s="56"/>
      <c r="U656" s="56"/>
      <c r="V656" s="56"/>
      <c r="W656" s="56"/>
      <c r="X656" s="56"/>
      <c r="Y656" s="56"/>
      <c r="Z656" s="56"/>
      <c r="AA656" s="56"/>
      <c r="AB656" s="56"/>
    </row>
    <row r="657">
      <c r="A657" s="75"/>
      <c r="B657" s="69"/>
      <c r="C657" s="60"/>
      <c r="D657" s="61"/>
      <c r="E657" s="69"/>
      <c r="F657" s="60"/>
      <c r="G657" s="60"/>
      <c r="H657" s="60"/>
      <c r="I657" s="60"/>
      <c r="J657" s="60"/>
      <c r="K657" s="56"/>
      <c r="L657" s="56"/>
      <c r="M657" s="56"/>
      <c r="N657" s="56"/>
      <c r="O657" s="56"/>
      <c r="P657" s="56"/>
      <c r="Q657" s="56"/>
      <c r="R657" s="56"/>
      <c r="S657" s="56"/>
      <c r="T657" s="56"/>
      <c r="U657" s="56"/>
      <c r="V657" s="56"/>
      <c r="W657" s="56"/>
      <c r="X657" s="56"/>
      <c r="Y657" s="56"/>
      <c r="Z657" s="56"/>
      <c r="AA657" s="56"/>
      <c r="AB657" s="56"/>
    </row>
    <row r="658">
      <c r="A658" s="75"/>
      <c r="B658" s="69"/>
      <c r="C658" s="60"/>
      <c r="D658" s="61"/>
      <c r="E658" s="69"/>
      <c r="F658" s="60"/>
      <c r="G658" s="60"/>
      <c r="H658" s="60"/>
      <c r="I658" s="60"/>
      <c r="J658" s="60"/>
      <c r="K658" s="56"/>
      <c r="L658" s="56"/>
      <c r="M658" s="56"/>
      <c r="N658" s="56"/>
      <c r="O658" s="56"/>
      <c r="P658" s="56"/>
      <c r="Q658" s="56"/>
      <c r="R658" s="56"/>
      <c r="S658" s="56"/>
      <c r="T658" s="56"/>
      <c r="U658" s="56"/>
      <c r="V658" s="56"/>
      <c r="W658" s="56"/>
      <c r="X658" s="56"/>
      <c r="Y658" s="56"/>
      <c r="Z658" s="56"/>
      <c r="AA658" s="56"/>
      <c r="AB658" s="56"/>
    </row>
    <row r="659">
      <c r="A659" s="75"/>
      <c r="B659" s="69"/>
      <c r="C659" s="60"/>
      <c r="D659" s="61"/>
      <c r="E659" s="69"/>
      <c r="F659" s="60"/>
      <c r="G659" s="60"/>
      <c r="H659" s="60"/>
      <c r="I659" s="60"/>
      <c r="J659" s="60"/>
      <c r="K659" s="56"/>
      <c r="L659" s="56"/>
      <c r="M659" s="56"/>
      <c r="N659" s="56"/>
      <c r="O659" s="56"/>
      <c r="P659" s="56"/>
      <c r="Q659" s="56"/>
      <c r="R659" s="56"/>
      <c r="S659" s="56"/>
      <c r="T659" s="56"/>
      <c r="U659" s="56"/>
      <c r="V659" s="56"/>
      <c r="W659" s="56"/>
      <c r="X659" s="56"/>
      <c r="Y659" s="56"/>
      <c r="Z659" s="56"/>
      <c r="AA659" s="56"/>
      <c r="AB659" s="56"/>
    </row>
    <row r="660">
      <c r="A660" s="75"/>
      <c r="B660" s="69"/>
      <c r="C660" s="60"/>
      <c r="D660" s="61"/>
      <c r="E660" s="69"/>
      <c r="F660" s="60"/>
      <c r="G660" s="60"/>
      <c r="H660" s="60"/>
      <c r="I660" s="60"/>
      <c r="J660" s="60"/>
      <c r="K660" s="56"/>
      <c r="L660" s="56"/>
      <c r="M660" s="56"/>
      <c r="N660" s="56"/>
      <c r="O660" s="56"/>
      <c r="P660" s="56"/>
      <c r="Q660" s="56"/>
      <c r="R660" s="56"/>
      <c r="S660" s="56"/>
      <c r="T660" s="56"/>
      <c r="U660" s="56"/>
      <c r="V660" s="56"/>
      <c r="W660" s="56"/>
      <c r="X660" s="56"/>
      <c r="Y660" s="56"/>
      <c r="Z660" s="56"/>
      <c r="AA660" s="56"/>
      <c r="AB660" s="56"/>
    </row>
    <row r="661">
      <c r="A661" s="75"/>
      <c r="B661" s="69"/>
      <c r="C661" s="60"/>
      <c r="D661" s="61"/>
      <c r="E661" s="69"/>
      <c r="F661" s="60"/>
      <c r="G661" s="60"/>
      <c r="H661" s="60"/>
      <c r="I661" s="60"/>
      <c r="J661" s="60"/>
      <c r="K661" s="56"/>
      <c r="L661" s="56"/>
      <c r="M661" s="56"/>
      <c r="N661" s="56"/>
      <c r="O661" s="56"/>
      <c r="P661" s="56"/>
      <c r="Q661" s="56"/>
      <c r="R661" s="56"/>
      <c r="S661" s="56"/>
      <c r="T661" s="56"/>
      <c r="U661" s="56"/>
      <c r="V661" s="56"/>
      <c r="W661" s="56"/>
      <c r="X661" s="56"/>
      <c r="Y661" s="56"/>
      <c r="Z661" s="56"/>
      <c r="AA661" s="56"/>
      <c r="AB661" s="56"/>
    </row>
    <row r="662">
      <c r="A662" s="75"/>
      <c r="B662" s="69"/>
      <c r="C662" s="60"/>
      <c r="D662" s="61"/>
      <c r="E662" s="69"/>
      <c r="F662" s="60"/>
      <c r="G662" s="60"/>
      <c r="H662" s="60"/>
      <c r="I662" s="60"/>
      <c r="J662" s="60"/>
      <c r="K662" s="56"/>
      <c r="L662" s="56"/>
      <c r="M662" s="56"/>
      <c r="N662" s="56"/>
      <c r="O662" s="56"/>
      <c r="P662" s="56"/>
      <c r="Q662" s="56"/>
      <c r="R662" s="56"/>
      <c r="S662" s="56"/>
      <c r="T662" s="56"/>
      <c r="U662" s="56"/>
      <c r="V662" s="56"/>
      <c r="W662" s="56"/>
      <c r="X662" s="56"/>
      <c r="Y662" s="56"/>
      <c r="Z662" s="56"/>
      <c r="AA662" s="56"/>
      <c r="AB662" s="56"/>
    </row>
    <row r="663">
      <c r="A663" s="75"/>
      <c r="B663" s="69"/>
      <c r="C663" s="60"/>
      <c r="D663" s="61"/>
      <c r="E663" s="69"/>
      <c r="F663" s="60"/>
      <c r="G663" s="60"/>
      <c r="H663" s="60"/>
      <c r="I663" s="60"/>
      <c r="J663" s="60"/>
      <c r="K663" s="56"/>
      <c r="L663" s="56"/>
      <c r="M663" s="56"/>
      <c r="N663" s="56"/>
      <c r="O663" s="56"/>
      <c r="P663" s="56"/>
      <c r="Q663" s="56"/>
      <c r="R663" s="56"/>
      <c r="S663" s="56"/>
      <c r="T663" s="56"/>
      <c r="U663" s="56"/>
      <c r="V663" s="56"/>
      <c r="W663" s="56"/>
      <c r="X663" s="56"/>
      <c r="Y663" s="56"/>
      <c r="Z663" s="56"/>
      <c r="AA663" s="56"/>
      <c r="AB663" s="56"/>
    </row>
    <row r="664">
      <c r="A664" s="75"/>
      <c r="B664" s="69"/>
      <c r="C664" s="60"/>
      <c r="D664" s="61"/>
      <c r="E664" s="69"/>
      <c r="F664" s="60"/>
      <c r="G664" s="60"/>
      <c r="H664" s="60"/>
      <c r="I664" s="60"/>
      <c r="J664" s="60"/>
      <c r="K664" s="56"/>
      <c r="L664" s="56"/>
      <c r="M664" s="56"/>
      <c r="N664" s="56"/>
      <c r="O664" s="56"/>
      <c r="P664" s="56"/>
      <c r="Q664" s="56"/>
      <c r="R664" s="56"/>
      <c r="S664" s="56"/>
      <c r="T664" s="56"/>
      <c r="U664" s="56"/>
      <c r="V664" s="56"/>
      <c r="W664" s="56"/>
      <c r="X664" s="56"/>
      <c r="Y664" s="56"/>
      <c r="Z664" s="56"/>
      <c r="AA664" s="56"/>
      <c r="AB664" s="56"/>
    </row>
    <row r="665">
      <c r="A665" s="75"/>
      <c r="B665" s="69"/>
      <c r="C665" s="60"/>
      <c r="D665" s="61"/>
      <c r="E665" s="69"/>
      <c r="F665" s="60"/>
      <c r="G665" s="60"/>
      <c r="H665" s="60"/>
      <c r="I665" s="60"/>
      <c r="J665" s="60"/>
      <c r="K665" s="56"/>
      <c r="L665" s="56"/>
      <c r="M665" s="56"/>
      <c r="N665" s="56"/>
      <c r="O665" s="56"/>
      <c r="P665" s="56"/>
      <c r="Q665" s="56"/>
      <c r="R665" s="56"/>
      <c r="S665" s="56"/>
      <c r="T665" s="56"/>
      <c r="U665" s="56"/>
      <c r="V665" s="56"/>
      <c r="W665" s="56"/>
      <c r="X665" s="56"/>
      <c r="Y665" s="56"/>
      <c r="Z665" s="56"/>
      <c r="AA665" s="56"/>
      <c r="AB665" s="56"/>
    </row>
    <row r="666">
      <c r="A666" s="75"/>
      <c r="B666" s="69"/>
      <c r="C666" s="60"/>
      <c r="D666" s="61"/>
      <c r="E666" s="69"/>
      <c r="F666" s="60"/>
      <c r="G666" s="60"/>
      <c r="H666" s="60"/>
      <c r="I666" s="60"/>
      <c r="J666" s="60"/>
      <c r="K666" s="56"/>
      <c r="L666" s="56"/>
      <c r="M666" s="56"/>
      <c r="N666" s="56"/>
      <c r="O666" s="56"/>
      <c r="P666" s="56"/>
      <c r="Q666" s="56"/>
      <c r="R666" s="56"/>
      <c r="S666" s="56"/>
      <c r="T666" s="56"/>
      <c r="U666" s="56"/>
      <c r="V666" s="56"/>
      <c r="W666" s="56"/>
      <c r="X666" s="56"/>
      <c r="Y666" s="56"/>
      <c r="Z666" s="56"/>
      <c r="AA666" s="56"/>
      <c r="AB666" s="56"/>
    </row>
    <row r="667">
      <c r="A667" s="75"/>
      <c r="B667" s="69"/>
      <c r="C667" s="60"/>
      <c r="D667" s="61"/>
      <c r="E667" s="69"/>
      <c r="F667" s="60"/>
      <c r="G667" s="60"/>
      <c r="H667" s="60"/>
      <c r="I667" s="60"/>
      <c r="J667" s="60"/>
      <c r="K667" s="56"/>
      <c r="L667" s="56"/>
      <c r="M667" s="56"/>
      <c r="N667" s="56"/>
      <c r="O667" s="56"/>
      <c r="P667" s="56"/>
      <c r="Q667" s="56"/>
      <c r="R667" s="56"/>
      <c r="S667" s="56"/>
      <c r="T667" s="56"/>
      <c r="U667" s="56"/>
      <c r="V667" s="56"/>
      <c r="W667" s="56"/>
      <c r="X667" s="56"/>
      <c r="Y667" s="56"/>
      <c r="Z667" s="56"/>
      <c r="AA667" s="56"/>
      <c r="AB667" s="56"/>
    </row>
    <row r="668">
      <c r="A668" s="75"/>
      <c r="B668" s="69"/>
      <c r="C668" s="60"/>
      <c r="D668" s="61"/>
      <c r="E668" s="69"/>
      <c r="F668" s="60"/>
      <c r="G668" s="60"/>
      <c r="H668" s="60"/>
      <c r="I668" s="60"/>
      <c r="J668" s="60"/>
      <c r="K668" s="56"/>
      <c r="L668" s="56"/>
      <c r="M668" s="56"/>
      <c r="N668" s="56"/>
      <c r="O668" s="56"/>
      <c r="P668" s="56"/>
      <c r="Q668" s="56"/>
      <c r="R668" s="56"/>
      <c r="S668" s="56"/>
      <c r="T668" s="56"/>
      <c r="U668" s="56"/>
      <c r="V668" s="56"/>
      <c r="W668" s="56"/>
      <c r="X668" s="56"/>
      <c r="Y668" s="56"/>
      <c r="Z668" s="56"/>
      <c r="AA668" s="56"/>
      <c r="AB668" s="56"/>
    </row>
    <row r="669">
      <c r="A669" s="75"/>
      <c r="B669" s="69"/>
      <c r="C669" s="60"/>
      <c r="D669" s="61"/>
      <c r="E669" s="69"/>
      <c r="F669" s="60"/>
      <c r="G669" s="60"/>
      <c r="H669" s="60"/>
      <c r="I669" s="60"/>
      <c r="J669" s="60"/>
      <c r="K669" s="56"/>
      <c r="L669" s="56"/>
      <c r="M669" s="56"/>
      <c r="N669" s="56"/>
      <c r="O669" s="56"/>
      <c r="P669" s="56"/>
      <c r="Q669" s="56"/>
      <c r="R669" s="56"/>
      <c r="S669" s="56"/>
      <c r="T669" s="56"/>
      <c r="U669" s="56"/>
      <c r="V669" s="56"/>
      <c r="W669" s="56"/>
      <c r="X669" s="56"/>
      <c r="Y669" s="56"/>
      <c r="Z669" s="56"/>
      <c r="AA669" s="56"/>
      <c r="AB669" s="56"/>
    </row>
    <row r="670">
      <c r="A670" s="75"/>
      <c r="B670" s="69"/>
      <c r="C670" s="60"/>
      <c r="D670" s="61"/>
      <c r="E670" s="69"/>
      <c r="F670" s="60"/>
      <c r="G670" s="60"/>
      <c r="H670" s="60"/>
      <c r="I670" s="60"/>
      <c r="J670" s="60"/>
      <c r="K670" s="56"/>
      <c r="L670" s="56"/>
      <c r="M670" s="56"/>
      <c r="N670" s="56"/>
      <c r="O670" s="56"/>
      <c r="P670" s="56"/>
      <c r="Q670" s="56"/>
      <c r="R670" s="56"/>
      <c r="S670" s="56"/>
      <c r="T670" s="56"/>
      <c r="U670" s="56"/>
      <c r="V670" s="56"/>
      <c r="W670" s="56"/>
      <c r="X670" s="56"/>
      <c r="Y670" s="56"/>
      <c r="Z670" s="56"/>
      <c r="AA670" s="56"/>
      <c r="AB670" s="56"/>
    </row>
    <row r="671">
      <c r="A671" s="75"/>
      <c r="B671" s="69"/>
      <c r="C671" s="60"/>
      <c r="D671" s="61"/>
      <c r="E671" s="69"/>
      <c r="F671" s="60"/>
      <c r="G671" s="60"/>
      <c r="H671" s="60"/>
      <c r="I671" s="60"/>
      <c r="J671" s="60"/>
      <c r="K671" s="56"/>
      <c r="L671" s="56"/>
      <c r="M671" s="56"/>
      <c r="N671" s="56"/>
      <c r="O671" s="56"/>
      <c r="P671" s="56"/>
      <c r="Q671" s="56"/>
      <c r="R671" s="56"/>
      <c r="S671" s="56"/>
      <c r="T671" s="56"/>
      <c r="U671" s="56"/>
      <c r="V671" s="56"/>
      <c r="W671" s="56"/>
      <c r="X671" s="56"/>
      <c r="Y671" s="56"/>
      <c r="Z671" s="56"/>
      <c r="AA671" s="56"/>
      <c r="AB671" s="56"/>
    </row>
    <row r="672">
      <c r="A672" s="75"/>
      <c r="B672" s="69"/>
      <c r="C672" s="60"/>
      <c r="D672" s="61"/>
      <c r="E672" s="69"/>
      <c r="F672" s="60"/>
      <c r="G672" s="60"/>
      <c r="H672" s="60"/>
      <c r="I672" s="60"/>
      <c r="J672" s="60"/>
      <c r="K672" s="56"/>
      <c r="L672" s="56"/>
      <c r="M672" s="56"/>
      <c r="N672" s="56"/>
      <c r="O672" s="56"/>
      <c r="P672" s="56"/>
      <c r="Q672" s="56"/>
      <c r="R672" s="56"/>
      <c r="S672" s="56"/>
      <c r="T672" s="56"/>
      <c r="U672" s="56"/>
      <c r="V672" s="56"/>
      <c r="W672" s="56"/>
      <c r="X672" s="56"/>
      <c r="Y672" s="56"/>
      <c r="Z672" s="56"/>
      <c r="AA672" s="56"/>
      <c r="AB672" s="56"/>
    </row>
    <row r="673">
      <c r="A673" s="75"/>
      <c r="B673" s="69"/>
      <c r="C673" s="60"/>
      <c r="D673" s="61"/>
      <c r="E673" s="69"/>
      <c r="F673" s="60"/>
      <c r="G673" s="60"/>
      <c r="H673" s="60"/>
      <c r="I673" s="60"/>
      <c r="J673" s="60"/>
      <c r="K673" s="56"/>
      <c r="L673" s="56"/>
      <c r="M673" s="56"/>
      <c r="N673" s="56"/>
      <c r="O673" s="56"/>
      <c r="P673" s="56"/>
      <c r="Q673" s="56"/>
      <c r="R673" s="56"/>
      <c r="S673" s="56"/>
      <c r="T673" s="56"/>
      <c r="U673" s="56"/>
      <c r="V673" s="56"/>
      <c r="W673" s="56"/>
      <c r="X673" s="56"/>
      <c r="Y673" s="56"/>
      <c r="Z673" s="56"/>
      <c r="AA673" s="56"/>
      <c r="AB673" s="56"/>
    </row>
    <row r="674">
      <c r="A674" s="75"/>
      <c r="B674" s="69"/>
      <c r="C674" s="60"/>
      <c r="D674" s="61"/>
      <c r="E674" s="69"/>
      <c r="F674" s="60"/>
      <c r="G674" s="60"/>
      <c r="H674" s="60"/>
      <c r="I674" s="60"/>
      <c r="J674" s="60"/>
      <c r="K674" s="56"/>
      <c r="L674" s="56"/>
      <c r="M674" s="56"/>
      <c r="N674" s="56"/>
      <c r="O674" s="56"/>
      <c r="P674" s="56"/>
      <c r="Q674" s="56"/>
      <c r="R674" s="56"/>
      <c r="S674" s="56"/>
      <c r="T674" s="56"/>
      <c r="U674" s="56"/>
      <c r="V674" s="56"/>
      <c r="W674" s="56"/>
      <c r="X674" s="56"/>
      <c r="Y674" s="56"/>
      <c r="Z674" s="56"/>
      <c r="AA674" s="56"/>
      <c r="AB674" s="56"/>
    </row>
    <row r="675">
      <c r="A675" s="75"/>
      <c r="B675" s="69"/>
      <c r="C675" s="60"/>
      <c r="D675" s="61"/>
      <c r="E675" s="69"/>
      <c r="F675" s="60"/>
      <c r="G675" s="60"/>
      <c r="H675" s="60"/>
      <c r="I675" s="60"/>
      <c r="J675" s="60"/>
      <c r="K675" s="56"/>
      <c r="L675" s="56"/>
      <c r="M675" s="56"/>
      <c r="N675" s="56"/>
      <c r="O675" s="56"/>
      <c r="P675" s="56"/>
      <c r="Q675" s="56"/>
      <c r="R675" s="56"/>
      <c r="S675" s="56"/>
      <c r="T675" s="56"/>
      <c r="U675" s="56"/>
      <c r="V675" s="56"/>
      <c r="W675" s="56"/>
      <c r="X675" s="56"/>
      <c r="Y675" s="56"/>
      <c r="Z675" s="56"/>
      <c r="AA675" s="56"/>
      <c r="AB675" s="56"/>
    </row>
    <row r="676">
      <c r="A676" s="75"/>
      <c r="B676" s="69"/>
      <c r="C676" s="60"/>
      <c r="D676" s="61"/>
      <c r="E676" s="69"/>
      <c r="F676" s="60"/>
      <c r="G676" s="60"/>
      <c r="H676" s="60"/>
      <c r="I676" s="60"/>
      <c r="J676" s="60"/>
      <c r="K676" s="56"/>
      <c r="L676" s="56"/>
      <c r="M676" s="56"/>
      <c r="N676" s="56"/>
      <c r="O676" s="56"/>
      <c r="P676" s="56"/>
      <c r="Q676" s="56"/>
      <c r="R676" s="56"/>
      <c r="S676" s="56"/>
      <c r="T676" s="56"/>
      <c r="U676" s="56"/>
      <c r="V676" s="56"/>
      <c r="W676" s="56"/>
      <c r="X676" s="56"/>
      <c r="Y676" s="56"/>
      <c r="Z676" s="56"/>
      <c r="AA676" s="56"/>
      <c r="AB676" s="56"/>
    </row>
    <row r="677">
      <c r="A677" s="75"/>
      <c r="B677" s="69"/>
      <c r="C677" s="60"/>
      <c r="D677" s="61"/>
      <c r="E677" s="69"/>
      <c r="F677" s="60"/>
      <c r="G677" s="60"/>
      <c r="H677" s="60"/>
      <c r="I677" s="60"/>
      <c r="J677" s="60"/>
      <c r="K677" s="56"/>
      <c r="L677" s="56"/>
      <c r="M677" s="56"/>
      <c r="N677" s="56"/>
      <c r="O677" s="56"/>
      <c r="P677" s="56"/>
      <c r="Q677" s="56"/>
      <c r="R677" s="56"/>
      <c r="S677" s="56"/>
      <c r="T677" s="56"/>
      <c r="U677" s="56"/>
      <c r="V677" s="56"/>
      <c r="W677" s="56"/>
      <c r="X677" s="56"/>
      <c r="Y677" s="56"/>
      <c r="Z677" s="56"/>
      <c r="AA677" s="56"/>
      <c r="AB677" s="56"/>
    </row>
    <row r="678">
      <c r="A678" s="75"/>
      <c r="B678" s="69"/>
      <c r="C678" s="60"/>
      <c r="D678" s="61"/>
      <c r="E678" s="69"/>
      <c r="F678" s="60"/>
      <c r="G678" s="60"/>
      <c r="H678" s="60"/>
      <c r="I678" s="60"/>
      <c r="J678" s="60"/>
      <c r="K678" s="56"/>
      <c r="L678" s="56"/>
      <c r="M678" s="56"/>
      <c r="N678" s="56"/>
      <c r="O678" s="56"/>
      <c r="P678" s="56"/>
      <c r="Q678" s="56"/>
      <c r="R678" s="56"/>
      <c r="S678" s="56"/>
      <c r="T678" s="56"/>
      <c r="U678" s="56"/>
      <c r="V678" s="56"/>
      <c r="W678" s="56"/>
      <c r="X678" s="56"/>
      <c r="Y678" s="56"/>
      <c r="Z678" s="56"/>
      <c r="AA678" s="56"/>
      <c r="AB678" s="56"/>
    </row>
    <row r="679">
      <c r="A679" s="75"/>
      <c r="B679" s="69"/>
      <c r="C679" s="60"/>
      <c r="D679" s="61"/>
      <c r="E679" s="69"/>
      <c r="F679" s="60"/>
      <c r="G679" s="60"/>
      <c r="H679" s="60"/>
      <c r="I679" s="60"/>
      <c r="J679" s="60"/>
      <c r="K679" s="56"/>
      <c r="L679" s="56"/>
      <c r="M679" s="56"/>
      <c r="N679" s="56"/>
      <c r="O679" s="56"/>
      <c r="P679" s="56"/>
      <c r="Q679" s="56"/>
      <c r="R679" s="56"/>
      <c r="S679" s="56"/>
      <c r="T679" s="56"/>
      <c r="U679" s="56"/>
      <c r="V679" s="56"/>
      <c r="W679" s="56"/>
      <c r="X679" s="56"/>
      <c r="Y679" s="56"/>
      <c r="Z679" s="56"/>
      <c r="AA679" s="56"/>
      <c r="AB679" s="56"/>
    </row>
    <row r="680">
      <c r="A680" s="75"/>
      <c r="B680" s="69"/>
      <c r="C680" s="60"/>
      <c r="D680" s="61"/>
      <c r="E680" s="69"/>
      <c r="F680" s="60"/>
      <c r="G680" s="60"/>
      <c r="H680" s="60"/>
      <c r="I680" s="60"/>
      <c r="J680" s="60"/>
      <c r="K680" s="56"/>
      <c r="L680" s="56"/>
      <c r="M680" s="56"/>
      <c r="N680" s="56"/>
      <c r="O680" s="56"/>
      <c r="P680" s="56"/>
      <c r="Q680" s="56"/>
      <c r="R680" s="56"/>
      <c r="S680" s="56"/>
      <c r="T680" s="56"/>
      <c r="U680" s="56"/>
      <c r="V680" s="56"/>
      <c r="W680" s="56"/>
      <c r="X680" s="56"/>
      <c r="Y680" s="56"/>
      <c r="Z680" s="56"/>
      <c r="AA680" s="56"/>
      <c r="AB680" s="56"/>
    </row>
    <row r="681">
      <c r="A681" s="75"/>
      <c r="B681" s="69"/>
      <c r="C681" s="60"/>
      <c r="D681" s="61"/>
      <c r="E681" s="69"/>
      <c r="F681" s="60"/>
      <c r="G681" s="60"/>
      <c r="H681" s="60"/>
      <c r="I681" s="60"/>
      <c r="J681" s="60"/>
      <c r="K681" s="56"/>
      <c r="L681" s="56"/>
      <c r="M681" s="56"/>
      <c r="N681" s="56"/>
      <c r="O681" s="56"/>
      <c r="P681" s="56"/>
      <c r="Q681" s="56"/>
      <c r="R681" s="56"/>
      <c r="S681" s="56"/>
      <c r="T681" s="56"/>
      <c r="U681" s="56"/>
      <c r="V681" s="56"/>
      <c r="W681" s="56"/>
      <c r="X681" s="56"/>
      <c r="Y681" s="56"/>
      <c r="Z681" s="56"/>
      <c r="AA681" s="56"/>
      <c r="AB681" s="56"/>
    </row>
    <row r="682">
      <c r="A682" s="75"/>
      <c r="B682" s="69"/>
      <c r="C682" s="60"/>
      <c r="D682" s="61"/>
      <c r="E682" s="69"/>
      <c r="F682" s="60"/>
      <c r="G682" s="60"/>
      <c r="H682" s="60"/>
      <c r="I682" s="60"/>
      <c r="J682" s="60"/>
      <c r="K682" s="56"/>
      <c r="L682" s="56"/>
      <c r="M682" s="56"/>
      <c r="N682" s="56"/>
      <c r="O682" s="56"/>
      <c r="P682" s="56"/>
      <c r="Q682" s="56"/>
      <c r="R682" s="56"/>
      <c r="S682" s="56"/>
      <c r="T682" s="56"/>
      <c r="U682" s="56"/>
      <c r="V682" s="56"/>
      <c r="W682" s="56"/>
      <c r="X682" s="56"/>
      <c r="Y682" s="56"/>
      <c r="Z682" s="56"/>
      <c r="AA682" s="56"/>
      <c r="AB682" s="56"/>
    </row>
    <row r="683">
      <c r="A683" s="75"/>
      <c r="B683" s="69"/>
      <c r="C683" s="60"/>
      <c r="D683" s="61"/>
      <c r="E683" s="69"/>
      <c r="F683" s="60"/>
      <c r="G683" s="60"/>
      <c r="H683" s="60"/>
      <c r="I683" s="60"/>
      <c r="J683" s="60"/>
      <c r="K683" s="56"/>
      <c r="L683" s="56"/>
      <c r="M683" s="56"/>
      <c r="N683" s="56"/>
      <c r="O683" s="56"/>
      <c r="P683" s="56"/>
      <c r="Q683" s="56"/>
      <c r="R683" s="56"/>
      <c r="S683" s="56"/>
      <c r="T683" s="56"/>
      <c r="U683" s="56"/>
      <c r="V683" s="56"/>
      <c r="W683" s="56"/>
      <c r="X683" s="56"/>
      <c r="Y683" s="56"/>
      <c r="Z683" s="56"/>
      <c r="AA683" s="56"/>
      <c r="AB683" s="56"/>
    </row>
    <row r="684">
      <c r="A684" s="75"/>
      <c r="B684" s="69"/>
      <c r="C684" s="60"/>
      <c r="D684" s="61"/>
      <c r="E684" s="69"/>
      <c r="F684" s="60"/>
      <c r="G684" s="60"/>
      <c r="H684" s="60"/>
      <c r="I684" s="60"/>
      <c r="J684" s="60"/>
      <c r="K684" s="56"/>
      <c r="L684" s="56"/>
      <c r="M684" s="56"/>
      <c r="N684" s="56"/>
      <c r="O684" s="56"/>
      <c r="P684" s="56"/>
      <c r="Q684" s="56"/>
      <c r="R684" s="56"/>
      <c r="S684" s="56"/>
      <c r="T684" s="56"/>
      <c r="U684" s="56"/>
      <c r="V684" s="56"/>
      <c r="W684" s="56"/>
      <c r="X684" s="56"/>
      <c r="Y684" s="56"/>
      <c r="Z684" s="56"/>
      <c r="AA684" s="56"/>
      <c r="AB684" s="56"/>
    </row>
    <row r="685">
      <c r="A685" s="75"/>
      <c r="B685" s="69"/>
      <c r="C685" s="60"/>
      <c r="D685" s="61"/>
      <c r="E685" s="69"/>
      <c r="F685" s="60"/>
      <c r="G685" s="60"/>
      <c r="H685" s="60"/>
      <c r="I685" s="60"/>
      <c r="J685" s="60"/>
      <c r="K685" s="56"/>
      <c r="L685" s="56"/>
      <c r="M685" s="56"/>
      <c r="N685" s="56"/>
      <c r="O685" s="56"/>
      <c r="P685" s="56"/>
      <c r="Q685" s="56"/>
      <c r="R685" s="56"/>
      <c r="S685" s="56"/>
      <c r="T685" s="56"/>
      <c r="U685" s="56"/>
      <c r="V685" s="56"/>
      <c r="W685" s="56"/>
      <c r="X685" s="56"/>
      <c r="Y685" s="56"/>
      <c r="Z685" s="56"/>
      <c r="AA685" s="56"/>
      <c r="AB685" s="56"/>
    </row>
    <row r="686">
      <c r="A686" s="75"/>
      <c r="B686" s="69"/>
      <c r="C686" s="60"/>
      <c r="D686" s="61"/>
      <c r="E686" s="69"/>
      <c r="F686" s="60"/>
      <c r="G686" s="60"/>
      <c r="H686" s="60"/>
      <c r="I686" s="60"/>
      <c r="J686" s="60"/>
      <c r="K686" s="56"/>
      <c r="L686" s="56"/>
      <c r="M686" s="56"/>
      <c r="N686" s="56"/>
      <c r="O686" s="56"/>
      <c r="P686" s="56"/>
      <c r="Q686" s="56"/>
      <c r="R686" s="56"/>
      <c r="S686" s="56"/>
      <c r="T686" s="56"/>
      <c r="U686" s="56"/>
      <c r="V686" s="56"/>
      <c r="W686" s="56"/>
      <c r="X686" s="56"/>
      <c r="Y686" s="56"/>
      <c r="Z686" s="56"/>
      <c r="AA686" s="56"/>
      <c r="AB686" s="56"/>
    </row>
    <row r="687">
      <c r="A687" s="75"/>
      <c r="B687" s="69"/>
      <c r="C687" s="60"/>
      <c r="D687" s="61"/>
      <c r="E687" s="69"/>
      <c r="F687" s="60"/>
      <c r="G687" s="60"/>
      <c r="H687" s="60"/>
      <c r="I687" s="60"/>
      <c r="J687" s="60"/>
      <c r="K687" s="56"/>
      <c r="L687" s="56"/>
      <c r="M687" s="56"/>
      <c r="N687" s="56"/>
      <c r="O687" s="56"/>
      <c r="P687" s="56"/>
      <c r="Q687" s="56"/>
      <c r="R687" s="56"/>
      <c r="S687" s="56"/>
      <c r="T687" s="56"/>
      <c r="U687" s="56"/>
      <c r="V687" s="56"/>
      <c r="W687" s="56"/>
      <c r="X687" s="56"/>
      <c r="Y687" s="56"/>
      <c r="Z687" s="56"/>
      <c r="AA687" s="56"/>
      <c r="AB687" s="56"/>
    </row>
    <row r="688">
      <c r="A688" s="75"/>
      <c r="B688" s="69"/>
      <c r="C688" s="60"/>
      <c r="D688" s="61"/>
      <c r="E688" s="69"/>
      <c r="F688" s="60"/>
      <c r="G688" s="60"/>
      <c r="H688" s="60"/>
      <c r="I688" s="60"/>
      <c r="J688" s="60"/>
      <c r="K688" s="56"/>
      <c r="L688" s="56"/>
      <c r="M688" s="56"/>
      <c r="N688" s="56"/>
      <c r="O688" s="56"/>
      <c r="P688" s="56"/>
      <c r="Q688" s="56"/>
      <c r="R688" s="56"/>
      <c r="S688" s="56"/>
      <c r="T688" s="56"/>
      <c r="U688" s="56"/>
      <c r="V688" s="56"/>
      <c r="W688" s="56"/>
      <c r="X688" s="56"/>
      <c r="Y688" s="56"/>
      <c r="Z688" s="56"/>
      <c r="AA688" s="56"/>
      <c r="AB688" s="56"/>
    </row>
    <row r="689">
      <c r="A689" s="75"/>
      <c r="B689" s="69"/>
      <c r="C689" s="60"/>
      <c r="D689" s="61"/>
      <c r="E689" s="69"/>
      <c r="F689" s="60"/>
      <c r="G689" s="60"/>
      <c r="H689" s="60"/>
      <c r="I689" s="60"/>
      <c r="J689" s="60"/>
      <c r="K689" s="56"/>
      <c r="L689" s="56"/>
      <c r="M689" s="56"/>
      <c r="N689" s="56"/>
      <c r="O689" s="56"/>
      <c r="P689" s="56"/>
      <c r="Q689" s="56"/>
      <c r="R689" s="56"/>
      <c r="S689" s="56"/>
      <c r="T689" s="56"/>
      <c r="U689" s="56"/>
      <c r="V689" s="56"/>
      <c r="W689" s="56"/>
      <c r="X689" s="56"/>
      <c r="Y689" s="56"/>
      <c r="Z689" s="56"/>
      <c r="AA689" s="56"/>
      <c r="AB689" s="56"/>
    </row>
    <row r="690">
      <c r="A690" s="75"/>
      <c r="B690" s="69"/>
      <c r="C690" s="60"/>
      <c r="D690" s="61"/>
      <c r="E690" s="69"/>
      <c r="F690" s="60"/>
      <c r="G690" s="60"/>
      <c r="H690" s="60"/>
      <c r="I690" s="60"/>
      <c r="J690" s="60"/>
      <c r="K690" s="56"/>
      <c r="L690" s="56"/>
      <c r="M690" s="56"/>
      <c r="N690" s="56"/>
      <c r="O690" s="56"/>
      <c r="P690" s="56"/>
      <c r="Q690" s="56"/>
      <c r="R690" s="56"/>
      <c r="S690" s="56"/>
      <c r="T690" s="56"/>
      <c r="U690" s="56"/>
      <c r="V690" s="56"/>
      <c r="W690" s="56"/>
      <c r="X690" s="56"/>
      <c r="Y690" s="56"/>
      <c r="Z690" s="56"/>
      <c r="AA690" s="56"/>
      <c r="AB690" s="56"/>
    </row>
    <row r="691">
      <c r="A691" s="75"/>
      <c r="B691" s="69"/>
      <c r="C691" s="60"/>
      <c r="D691" s="61"/>
      <c r="E691" s="69"/>
      <c r="F691" s="60"/>
      <c r="G691" s="60"/>
      <c r="H691" s="60"/>
      <c r="I691" s="60"/>
      <c r="J691" s="60"/>
      <c r="K691" s="56"/>
      <c r="L691" s="56"/>
      <c r="M691" s="56"/>
      <c r="N691" s="56"/>
      <c r="O691" s="56"/>
      <c r="P691" s="56"/>
      <c r="Q691" s="56"/>
      <c r="R691" s="56"/>
      <c r="S691" s="56"/>
      <c r="T691" s="56"/>
      <c r="U691" s="56"/>
      <c r="V691" s="56"/>
      <c r="W691" s="56"/>
      <c r="X691" s="56"/>
      <c r="Y691" s="56"/>
      <c r="Z691" s="56"/>
      <c r="AA691" s="56"/>
      <c r="AB691" s="56"/>
    </row>
    <row r="692">
      <c r="A692" s="75"/>
      <c r="B692" s="69"/>
      <c r="C692" s="60"/>
      <c r="D692" s="61"/>
      <c r="E692" s="69"/>
      <c r="F692" s="60"/>
      <c r="G692" s="60"/>
      <c r="H692" s="60"/>
      <c r="I692" s="60"/>
      <c r="J692" s="60"/>
      <c r="K692" s="56"/>
      <c r="L692" s="56"/>
      <c r="M692" s="56"/>
      <c r="N692" s="56"/>
      <c r="O692" s="56"/>
      <c r="P692" s="56"/>
      <c r="Q692" s="56"/>
      <c r="R692" s="56"/>
      <c r="S692" s="56"/>
      <c r="T692" s="56"/>
      <c r="U692" s="56"/>
      <c r="V692" s="56"/>
      <c r="W692" s="56"/>
      <c r="X692" s="56"/>
      <c r="Y692" s="56"/>
      <c r="Z692" s="56"/>
      <c r="AA692" s="56"/>
      <c r="AB692" s="56"/>
    </row>
    <row r="693">
      <c r="A693" s="75"/>
      <c r="B693" s="69"/>
      <c r="C693" s="60"/>
      <c r="D693" s="61"/>
      <c r="E693" s="69"/>
      <c r="F693" s="60"/>
      <c r="G693" s="60"/>
      <c r="H693" s="60"/>
      <c r="I693" s="60"/>
      <c r="J693" s="60"/>
      <c r="K693" s="56"/>
      <c r="L693" s="56"/>
      <c r="M693" s="56"/>
      <c r="N693" s="56"/>
      <c r="O693" s="56"/>
      <c r="P693" s="56"/>
      <c r="Q693" s="56"/>
      <c r="R693" s="56"/>
      <c r="S693" s="56"/>
      <c r="T693" s="56"/>
      <c r="U693" s="56"/>
      <c r="V693" s="56"/>
      <c r="W693" s="56"/>
      <c r="X693" s="56"/>
      <c r="Y693" s="56"/>
      <c r="Z693" s="56"/>
      <c r="AA693" s="56"/>
      <c r="AB693" s="56"/>
    </row>
    <row r="694">
      <c r="A694" s="75"/>
      <c r="B694" s="69"/>
      <c r="C694" s="60"/>
      <c r="D694" s="61"/>
      <c r="E694" s="69"/>
      <c r="F694" s="60"/>
      <c r="G694" s="60"/>
      <c r="H694" s="60"/>
      <c r="I694" s="60"/>
      <c r="J694" s="60"/>
      <c r="K694" s="56"/>
      <c r="L694" s="56"/>
      <c r="M694" s="56"/>
      <c r="N694" s="56"/>
      <c r="O694" s="56"/>
      <c r="P694" s="56"/>
      <c r="Q694" s="56"/>
      <c r="R694" s="56"/>
      <c r="S694" s="56"/>
      <c r="T694" s="56"/>
      <c r="U694" s="56"/>
      <c r="V694" s="56"/>
      <c r="W694" s="56"/>
      <c r="X694" s="56"/>
      <c r="Y694" s="56"/>
      <c r="Z694" s="56"/>
      <c r="AA694" s="56"/>
      <c r="AB694" s="56"/>
    </row>
    <row r="695">
      <c r="A695" s="75"/>
      <c r="B695" s="69"/>
      <c r="C695" s="60"/>
      <c r="D695" s="61"/>
      <c r="E695" s="69"/>
      <c r="F695" s="60"/>
      <c r="G695" s="60"/>
      <c r="H695" s="60"/>
      <c r="I695" s="60"/>
      <c r="J695" s="60"/>
      <c r="K695" s="56"/>
      <c r="L695" s="56"/>
      <c r="M695" s="56"/>
      <c r="N695" s="56"/>
      <c r="O695" s="56"/>
      <c r="P695" s="56"/>
      <c r="Q695" s="56"/>
      <c r="R695" s="56"/>
      <c r="S695" s="56"/>
      <c r="T695" s="56"/>
      <c r="U695" s="56"/>
      <c r="V695" s="56"/>
      <c r="W695" s="56"/>
      <c r="X695" s="56"/>
      <c r="Y695" s="56"/>
      <c r="Z695" s="56"/>
      <c r="AA695" s="56"/>
      <c r="AB695" s="56"/>
    </row>
    <row r="696">
      <c r="A696" s="75"/>
      <c r="B696" s="69"/>
      <c r="C696" s="60"/>
      <c r="D696" s="61"/>
      <c r="E696" s="69"/>
      <c r="F696" s="60"/>
      <c r="G696" s="60"/>
      <c r="H696" s="60"/>
      <c r="I696" s="60"/>
      <c r="J696" s="60"/>
      <c r="K696" s="56"/>
      <c r="L696" s="56"/>
      <c r="M696" s="56"/>
      <c r="N696" s="56"/>
      <c r="O696" s="56"/>
      <c r="P696" s="56"/>
      <c r="Q696" s="56"/>
      <c r="R696" s="56"/>
      <c r="S696" s="56"/>
      <c r="T696" s="56"/>
      <c r="U696" s="56"/>
      <c r="V696" s="56"/>
      <c r="W696" s="56"/>
      <c r="X696" s="56"/>
      <c r="Y696" s="56"/>
      <c r="Z696" s="56"/>
      <c r="AA696" s="56"/>
      <c r="AB696" s="56"/>
    </row>
    <row r="697">
      <c r="A697" s="75"/>
      <c r="B697" s="69"/>
      <c r="C697" s="60"/>
      <c r="D697" s="61"/>
      <c r="E697" s="69"/>
      <c r="F697" s="60"/>
      <c r="G697" s="60"/>
      <c r="H697" s="60"/>
      <c r="I697" s="60"/>
      <c r="J697" s="60"/>
      <c r="K697" s="56"/>
      <c r="L697" s="56"/>
      <c r="M697" s="56"/>
      <c r="N697" s="56"/>
      <c r="O697" s="56"/>
      <c r="P697" s="56"/>
      <c r="Q697" s="56"/>
      <c r="R697" s="56"/>
      <c r="S697" s="56"/>
      <c r="T697" s="56"/>
      <c r="U697" s="56"/>
      <c r="V697" s="56"/>
      <c r="W697" s="56"/>
      <c r="X697" s="56"/>
      <c r="Y697" s="56"/>
      <c r="Z697" s="56"/>
      <c r="AA697" s="56"/>
      <c r="AB697" s="56"/>
    </row>
    <row r="698">
      <c r="A698" s="75"/>
      <c r="B698" s="69"/>
      <c r="C698" s="60"/>
      <c r="D698" s="61"/>
      <c r="E698" s="69"/>
      <c r="F698" s="60"/>
      <c r="G698" s="60"/>
      <c r="H698" s="60"/>
      <c r="I698" s="60"/>
      <c r="J698" s="60"/>
      <c r="K698" s="56"/>
      <c r="L698" s="56"/>
      <c r="M698" s="56"/>
      <c r="N698" s="56"/>
      <c r="O698" s="56"/>
      <c r="P698" s="56"/>
      <c r="Q698" s="56"/>
      <c r="R698" s="56"/>
      <c r="S698" s="56"/>
      <c r="T698" s="56"/>
      <c r="U698" s="56"/>
      <c r="V698" s="56"/>
      <c r="W698" s="56"/>
      <c r="X698" s="56"/>
      <c r="Y698" s="56"/>
      <c r="Z698" s="56"/>
      <c r="AA698" s="56"/>
      <c r="AB698" s="56"/>
    </row>
    <row r="699">
      <c r="A699" s="75"/>
      <c r="B699" s="69"/>
      <c r="C699" s="60"/>
      <c r="D699" s="61"/>
      <c r="E699" s="69"/>
      <c r="F699" s="60"/>
      <c r="G699" s="60"/>
      <c r="H699" s="60"/>
      <c r="I699" s="60"/>
      <c r="J699" s="60"/>
      <c r="K699" s="56"/>
      <c r="L699" s="56"/>
      <c r="M699" s="56"/>
      <c r="N699" s="56"/>
      <c r="O699" s="56"/>
      <c r="P699" s="56"/>
      <c r="Q699" s="56"/>
      <c r="R699" s="56"/>
      <c r="S699" s="56"/>
      <c r="T699" s="56"/>
      <c r="U699" s="56"/>
      <c r="V699" s="56"/>
      <c r="W699" s="56"/>
      <c r="X699" s="56"/>
      <c r="Y699" s="56"/>
      <c r="Z699" s="56"/>
      <c r="AA699" s="56"/>
      <c r="AB699" s="56"/>
    </row>
    <row r="700">
      <c r="A700" s="75"/>
      <c r="B700" s="69"/>
      <c r="C700" s="60"/>
      <c r="D700" s="61"/>
      <c r="E700" s="69"/>
      <c r="F700" s="60"/>
      <c r="G700" s="60"/>
      <c r="H700" s="60"/>
      <c r="I700" s="60"/>
      <c r="J700" s="60"/>
      <c r="K700" s="56"/>
      <c r="L700" s="56"/>
      <c r="M700" s="56"/>
      <c r="N700" s="56"/>
      <c r="O700" s="56"/>
      <c r="P700" s="56"/>
      <c r="Q700" s="56"/>
      <c r="R700" s="56"/>
      <c r="S700" s="56"/>
      <c r="T700" s="56"/>
      <c r="U700" s="56"/>
      <c r="V700" s="56"/>
      <c r="W700" s="56"/>
      <c r="X700" s="56"/>
      <c r="Y700" s="56"/>
      <c r="Z700" s="56"/>
      <c r="AA700" s="56"/>
      <c r="AB700" s="56"/>
    </row>
    <row r="701">
      <c r="A701" s="75"/>
      <c r="B701" s="69"/>
      <c r="C701" s="60"/>
      <c r="D701" s="61"/>
      <c r="E701" s="69"/>
      <c r="F701" s="60"/>
      <c r="G701" s="60"/>
      <c r="H701" s="60"/>
      <c r="I701" s="60"/>
      <c r="J701" s="60"/>
      <c r="K701" s="56"/>
      <c r="L701" s="56"/>
      <c r="M701" s="56"/>
      <c r="N701" s="56"/>
      <c r="O701" s="56"/>
      <c r="P701" s="56"/>
      <c r="Q701" s="56"/>
      <c r="R701" s="56"/>
      <c r="S701" s="56"/>
      <c r="T701" s="56"/>
      <c r="U701" s="56"/>
      <c r="V701" s="56"/>
      <c r="W701" s="56"/>
      <c r="X701" s="56"/>
      <c r="Y701" s="56"/>
      <c r="Z701" s="56"/>
      <c r="AA701" s="56"/>
      <c r="AB701" s="56"/>
    </row>
    <row r="702">
      <c r="A702" s="75"/>
      <c r="B702" s="69"/>
      <c r="C702" s="60"/>
      <c r="D702" s="61"/>
      <c r="E702" s="69"/>
      <c r="F702" s="60"/>
      <c r="G702" s="60"/>
      <c r="H702" s="60"/>
      <c r="I702" s="60"/>
      <c r="J702" s="60"/>
      <c r="K702" s="56"/>
      <c r="L702" s="56"/>
      <c r="M702" s="56"/>
      <c r="N702" s="56"/>
      <c r="O702" s="56"/>
      <c r="P702" s="56"/>
      <c r="Q702" s="56"/>
      <c r="R702" s="56"/>
      <c r="S702" s="56"/>
      <c r="T702" s="56"/>
      <c r="U702" s="56"/>
      <c r="V702" s="56"/>
      <c r="W702" s="56"/>
      <c r="X702" s="56"/>
      <c r="Y702" s="56"/>
      <c r="Z702" s="56"/>
      <c r="AA702" s="56"/>
      <c r="AB702" s="56"/>
    </row>
    <row r="703">
      <c r="A703" s="75"/>
      <c r="B703" s="69"/>
      <c r="C703" s="60"/>
      <c r="D703" s="61"/>
      <c r="E703" s="69"/>
      <c r="F703" s="60"/>
      <c r="G703" s="60"/>
      <c r="H703" s="60"/>
      <c r="I703" s="60"/>
      <c r="J703" s="60"/>
      <c r="K703" s="56"/>
      <c r="L703" s="56"/>
      <c r="M703" s="56"/>
      <c r="N703" s="56"/>
      <c r="O703" s="56"/>
      <c r="P703" s="56"/>
      <c r="Q703" s="56"/>
      <c r="R703" s="56"/>
      <c r="S703" s="56"/>
      <c r="T703" s="56"/>
      <c r="U703" s="56"/>
      <c r="V703" s="56"/>
      <c r="W703" s="56"/>
      <c r="X703" s="56"/>
      <c r="Y703" s="56"/>
      <c r="Z703" s="56"/>
      <c r="AA703" s="56"/>
      <c r="AB703" s="56"/>
    </row>
    <row r="704">
      <c r="A704" s="75"/>
      <c r="B704" s="69"/>
      <c r="C704" s="60"/>
      <c r="D704" s="61"/>
      <c r="E704" s="69"/>
      <c r="F704" s="60"/>
      <c r="G704" s="60"/>
      <c r="H704" s="60"/>
      <c r="I704" s="60"/>
      <c r="J704" s="60"/>
      <c r="K704" s="56"/>
      <c r="L704" s="56"/>
      <c r="M704" s="56"/>
      <c r="N704" s="56"/>
      <c r="O704" s="56"/>
      <c r="P704" s="56"/>
      <c r="Q704" s="56"/>
      <c r="R704" s="56"/>
      <c r="S704" s="56"/>
      <c r="T704" s="56"/>
      <c r="U704" s="56"/>
      <c r="V704" s="56"/>
      <c r="W704" s="56"/>
      <c r="X704" s="56"/>
      <c r="Y704" s="56"/>
      <c r="Z704" s="56"/>
      <c r="AA704" s="56"/>
      <c r="AB704" s="56"/>
    </row>
    <row r="705">
      <c r="A705" s="75"/>
      <c r="B705" s="69"/>
      <c r="C705" s="60"/>
      <c r="D705" s="61"/>
      <c r="E705" s="69"/>
      <c r="F705" s="60"/>
      <c r="G705" s="60"/>
      <c r="H705" s="60"/>
      <c r="I705" s="60"/>
      <c r="J705" s="60"/>
      <c r="K705" s="56"/>
      <c r="L705" s="56"/>
      <c r="M705" s="56"/>
      <c r="N705" s="56"/>
      <c r="O705" s="56"/>
      <c r="P705" s="56"/>
      <c r="Q705" s="56"/>
      <c r="R705" s="56"/>
      <c r="S705" s="56"/>
      <c r="T705" s="56"/>
      <c r="U705" s="56"/>
      <c r="V705" s="56"/>
      <c r="W705" s="56"/>
      <c r="X705" s="56"/>
      <c r="Y705" s="56"/>
      <c r="Z705" s="56"/>
      <c r="AA705" s="56"/>
      <c r="AB705" s="56"/>
    </row>
    <row r="706">
      <c r="A706" s="75"/>
      <c r="B706" s="69"/>
      <c r="C706" s="60"/>
      <c r="D706" s="61"/>
      <c r="E706" s="69"/>
      <c r="F706" s="60"/>
      <c r="G706" s="60"/>
      <c r="H706" s="60"/>
      <c r="I706" s="60"/>
      <c r="J706" s="60"/>
      <c r="K706" s="56"/>
      <c r="L706" s="56"/>
      <c r="M706" s="56"/>
      <c r="N706" s="56"/>
      <c r="O706" s="56"/>
      <c r="P706" s="56"/>
      <c r="Q706" s="56"/>
      <c r="R706" s="56"/>
      <c r="S706" s="56"/>
      <c r="T706" s="56"/>
      <c r="U706" s="56"/>
      <c r="V706" s="56"/>
      <c r="W706" s="56"/>
      <c r="X706" s="56"/>
      <c r="Y706" s="56"/>
      <c r="Z706" s="56"/>
      <c r="AA706" s="56"/>
      <c r="AB706" s="56"/>
    </row>
    <row r="707">
      <c r="A707" s="75"/>
      <c r="B707" s="69"/>
      <c r="C707" s="60"/>
      <c r="D707" s="61"/>
      <c r="E707" s="69"/>
      <c r="F707" s="60"/>
      <c r="G707" s="60"/>
      <c r="H707" s="60"/>
      <c r="I707" s="60"/>
      <c r="J707" s="60"/>
      <c r="K707" s="56"/>
      <c r="L707" s="56"/>
      <c r="M707" s="56"/>
      <c r="N707" s="56"/>
      <c r="O707" s="56"/>
      <c r="P707" s="56"/>
      <c r="Q707" s="56"/>
      <c r="R707" s="56"/>
      <c r="S707" s="56"/>
      <c r="T707" s="56"/>
      <c r="U707" s="56"/>
      <c r="V707" s="56"/>
      <c r="W707" s="56"/>
      <c r="X707" s="56"/>
      <c r="Y707" s="56"/>
      <c r="Z707" s="56"/>
      <c r="AA707" s="56"/>
      <c r="AB707" s="56"/>
    </row>
    <row r="708">
      <c r="A708" s="75"/>
      <c r="B708" s="69"/>
      <c r="C708" s="60"/>
      <c r="D708" s="61"/>
      <c r="E708" s="69"/>
      <c r="F708" s="60"/>
      <c r="G708" s="60"/>
      <c r="H708" s="60"/>
      <c r="I708" s="60"/>
      <c r="J708" s="60"/>
      <c r="K708" s="56"/>
      <c r="L708" s="56"/>
      <c r="M708" s="56"/>
      <c r="N708" s="56"/>
      <c r="O708" s="56"/>
      <c r="P708" s="56"/>
      <c r="Q708" s="56"/>
      <c r="R708" s="56"/>
      <c r="S708" s="56"/>
      <c r="T708" s="56"/>
      <c r="U708" s="56"/>
      <c r="V708" s="56"/>
      <c r="W708" s="56"/>
      <c r="X708" s="56"/>
      <c r="Y708" s="56"/>
      <c r="Z708" s="56"/>
      <c r="AA708" s="56"/>
      <c r="AB708" s="56"/>
    </row>
    <row r="709">
      <c r="A709" s="75"/>
      <c r="B709" s="69"/>
      <c r="C709" s="60"/>
      <c r="D709" s="61"/>
      <c r="E709" s="69"/>
      <c r="F709" s="60"/>
      <c r="G709" s="60"/>
      <c r="H709" s="60"/>
      <c r="I709" s="60"/>
      <c r="J709" s="60"/>
      <c r="K709" s="56"/>
      <c r="L709" s="56"/>
      <c r="M709" s="56"/>
      <c r="N709" s="56"/>
      <c r="O709" s="56"/>
      <c r="P709" s="56"/>
      <c r="Q709" s="56"/>
      <c r="R709" s="56"/>
      <c r="S709" s="56"/>
      <c r="T709" s="56"/>
      <c r="U709" s="56"/>
      <c r="V709" s="56"/>
      <c r="W709" s="56"/>
      <c r="X709" s="56"/>
      <c r="Y709" s="56"/>
      <c r="Z709" s="56"/>
      <c r="AA709" s="56"/>
      <c r="AB709" s="56"/>
    </row>
    <row r="710">
      <c r="A710" s="75"/>
      <c r="B710" s="69"/>
      <c r="C710" s="60"/>
      <c r="D710" s="61"/>
      <c r="E710" s="69"/>
      <c r="F710" s="60"/>
      <c r="G710" s="60"/>
      <c r="H710" s="60"/>
      <c r="I710" s="60"/>
      <c r="J710" s="60"/>
      <c r="K710" s="56"/>
      <c r="L710" s="56"/>
      <c r="M710" s="56"/>
      <c r="N710" s="56"/>
      <c r="O710" s="56"/>
      <c r="P710" s="56"/>
      <c r="Q710" s="56"/>
      <c r="R710" s="56"/>
      <c r="S710" s="56"/>
      <c r="T710" s="56"/>
      <c r="U710" s="56"/>
      <c r="V710" s="56"/>
      <c r="W710" s="56"/>
      <c r="X710" s="56"/>
      <c r="Y710" s="56"/>
      <c r="Z710" s="56"/>
      <c r="AA710" s="56"/>
      <c r="AB710" s="56"/>
    </row>
    <row r="711">
      <c r="A711" s="75"/>
      <c r="B711" s="69"/>
      <c r="C711" s="60"/>
      <c r="D711" s="61"/>
      <c r="E711" s="69"/>
      <c r="F711" s="60"/>
      <c r="G711" s="60"/>
      <c r="H711" s="60"/>
      <c r="I711" s="60"/>
      <c r="J711" s="60"/>
      <c r="K711" s="56"/>
      <c r="L711" s="56"/>
      <c r="M711" s="56"/>
      <c r="N711" s="56"/>
      <c r="O711" s="56"/>
      <c r="P711" s="56"/>
      <c r="Q711" s="56"/>
      <c r="R711" s="56"/>
      <c r="S711" s="56"/>
      <c r="T711" s="56"/>
      <c r="U711" s="56"/>
      <c r="V711" s="56"/>
      <c r="W711" s="56"/>
      <c r="X711" s="56"/>
      <c r="Y711" s="56"/>
      <c r="Z711" s="56"/>
      <c r="AA711" s="56"/>
      <c r="AB711" s="56"/>
    </row>
    <row r="712">
      <c r="A712" s="75"/>
      <c r="B712" s="69"/>
      <c r="C712" s="60"/>
      <c r="D712" s="61"/>
      <c r="E712" s="69"/>
      <c r="F712" s="60"/>
      <c r="G712" s="60"/>
      <c r="H712" s="60"/>
      <c r="I712" s="60"/>
      <c r="J712" s="60"/>
      <c r="K712" s="56"/>
      <c r="L712" s="56"/>
      <c r="M712" s="56"/>
      <c r="N712" s="56"/>
      <c r="O712" s="56"/>
      <c r="P712" s="56"/>
      <c r="Q712" s="56"/>
      <c r="R712" s="56"/>
      <c r="S712" s="56"/>
      <c r="T712" s="56"/>
      <c r="U712" s="56"/>
      <c r="V712" s="56"/>
      <c r="W712" s="56"/>
      <c r="X712" s="56"/>
      <c r="Y712" s="56"/>
      <c r="Z712" s="56"/>
      <c r="AA712" s="56"/>
      <c r="AB712" s="56"/>
    </row>
    <row r="713">
      <c r="A713" s="75"/>
      <c r="B713" s="69"/>
      <c r="C713" s="60"/>
      <c r="D713" s="61"/>
      <c r="E713" s="69"/>
      <c r="F713" s="60"/>
      <c r="G713" s="60"/>
      <c r="H713" s="60"/>
      <c r="I713" s="60"/>
      <c r="J713" s="60"/>
      <c r="K713" s="56"/>
      <c r="L713" s="56"/>
      <c r="M713" s="56"/>
      <c r="N713" s="56"/>
      <c r="O713" s="56"/>
      <c r="P713" s="56"/>
      <c r="Q713" s="56"/>
      <c r="R713" s="56"/>
      <c r="S713" s="56"/>
      <c r="T713" s="56"/>
      <c r="U713" s="56"/>
      <c r="V713" s="56"/>
      <c r="W713" s="56"/>
      <c r="X713" s="56"/>
      <c r="Y713" s="56"/>
      <c r="Z713" s="56"/>
      <c r="AA713" s="56"/>
      <c r="AB713" s="56"/>
    </row>
    <row r="714">
      <c r="A714" s="75"/>
      <c r="B714" s="69"/>
      <c r="C714" s="60"/>
      <c r="D714" s="61"/>
      <c r="E714" s="69"/>
      <c r="F714" s="60"/>
      <c r="G714" s="60"/>
      <c r="H714" s="60"/>
      <c r="I714" s="60"/>
      <c r="J714" s="60"/>
      <c r="K714" s="56"/>
      <c r="L714" s="56"/>
      <c r="M714" s="56"/>
      <c r="N714" s="56"/>
      <c r="O714" s="56"/>
      <c r="P714" s="56"/>
      <c r="Q714" s="56"/>
      <c r="R714" s="56"/>
      <c r="S714" s="56"/>
      <c r="T714" s="56"/>
      <c r="U714" s="56"/>
      <c r="V714" s="56"/>
      <c r="W714" s="56"/>
      <c r="X714" s="56"/>
      <c r="Y714" s="56"/>
      <c r="Z714" s="56"/>
      <c r="AA714" s="56"/>
      <c r="AB714" s="56"/>
    </row>
    <row r="715">
      <c r="A715" s="75"/>
      <c r="B715" s="69"/>
      <c r="C715" s="60"/>
      <c r="D715" s="61"/>
      <c r="E715" s="69"/>
      <c r="F715" s="60"/>
      <c r="G715" s="60"/>
      <c r="H715" s="60"/>
      <c r="I715" s="60"/>
      <c r="J715" s="60"/>
      <c r="K715" s="56"/>
      <c r="L715" s="56"/>
      <c r="M715" s="56"/>
      <c r="N715" s="56"/>
      <c r="O715" s="56"/>
      <c r="P715" s="56"/>
      <c r="Q715" s="56"/>
      <c r="R715" s="56"/>
      <c r="S715" s="56"/>
      <c r="T715" s="56"/>
      <c r="U715" s="56"/>
      <c r="V715" s="56"/>
      <c r="W715" s="56"/>
      <c r="X715" s="56"/>
      <c r="Y715" s="56"/>
      <c r="Z715" s="56"/>
      <c r="AA715" s="56"/>
      <c r="AB715" s="56"/>
    </row>
    <row r="716">
      <c r="A716" s="75"/>
      <c r="B716" s="69"/>
      <c r="C716" s="60"/>
      <c r="D716" s="61"/>
      <c r="E716" s="69"/>
      <c r="F716" s="60"/>
      <c r="G716" s="60"/>
      <c r="H716" s="60"/>
      <c r="I716" s="60"/>
      <c r="J716" s="60"/>
      <c r="K716" s="56"/>
      <c r="L716" s="56"/>
      <c r="M716" s="56"/>
      <c r="N716" s="56"/>
      <c r="O716" s="56"/>
      <c r="P716" s="56"/>
      <c r="Q716" s="56"/>
      <c r="R716" s="56"/>
      <c r="S716" s="56"/>
      <c r="T716" s="56"/>
      <c r="U716" s="56"/>
      <c r="V716" s="56"/>
      <c r="W716" s="56"/>
      <c r="X716" s="56"/>
      <c r="Y716" s="56"/>
      <c r="Z716" s="56"/>
      <c r="AA716" s="56"/>
      <c r="AB716" s="56"/>
    </row>
    <row r="717">
      <c r="A717" s="75"/>
      <c r="B717" s="69"/>
      <c r="C717" s="60"/>
      <c r="D717" s="61"/>
      <c r="E717" s="69"/>
      <c r="F717" s="60"/>
      <c r="G717" s="60"/>
      <c r="H717" s="60"/>
      <c r="I717" s="60"/>
      <c r="J717" s="60"/>
      <c r="K717" s="56"/>
      <c r="L717" s="56"/>
      <c r="M717" s="56"/>
      <c r="N717" s="56"/>
      <c r="O717" s="56"/>
      <c r="P717" s="56"/>
      <c r="Q717" s="56"/>
      <c r="R717" s="56"/>
      <c r="S717" s="56"/>
      <c r="T717" s="56"/>
      <c r="U717" s="56"/>
      <c r="V717" s="56"/>
      <c r="W717" s="56"/>
      <c r="X717" s="56"/>
      <c r="Y717" s="56"/>
      <c r="Z717" s="56"/>
      <c r="AA717" s="56"/>
      <c r="AB717" s="56"/>
    </row>
    <row r="718">
      <c r="A718" s="75"/>
      <c r="B718" s="69"/>
      <c r="C718" s="60"/>
      <c r="D718" s="61"/>
      <c r="E718" s="69"/>
      <c r="F718" s="60"/>
      <c r="G718" s="60"/>
      <c r="H718" s="60"/>
      <c r="I718" s="60"/>
      <c r="J718" s="60"/>
      <c r="K718" s="56"/>
      <c r="L718" s="56"/>
      <c r="M718" s="56"/>
      <c r="N718" s="56"/>
      <c r="O718" s="56"/>
      <c r="P718" s="56"/>
      <c r="Q718" s="56"/>
      <c r="R718" s="56"/>
      <c r="S718" s="56"/>
      <c r="T718" s="56"/>
      <c r="U718" s="56"/>
      <c r="V718" s="56"/>
      <c r="W718" s="56"/>
      <c r="X718" s="56"/>
      <c r="Y718" s="56"/>
      <c r="Z718" s="56"/>
      <c r="AA718" s="56"/>
      <c r="AB718" s="56"/>
    </row>
    <row r="719">
      <c r="A719" s="75"/>
      <c r="B719" s="69"/>
      <c r="C719" s="60"/>
      <c r="D719" s="61"/>
      <c r="E719" s="69"/>
      <c r="F719" s="60"/>
      <c r="G719" s="60"/>
      <c r="H719" s="60"/>
      <c r="I719" s="60"/>
      <c r="J719" s="60"/>
      <c r="K719" s="56"/>
      <c r="L719" s="56"/>
      <c r="M719" s="56"/>
      <c r="N719" s="56"/>
      <c r="O719" s="56"/>
      <c r="P719" s="56"/>
      <c r="Q719" s="56"/>
      <c r="R719" s="56"/>
      <c r="S719" s="56"/>
      <c r="T719" s="56"/>
      <c r="U719" s="56"/>
      <c r="V719" s="56"/>
      <c r="W719" s="56"/>
      <c r="X719" s="56"/>
      <c r="Y719" s="56"/>
      <c r="Z719" s="56"/>
      <c r="AA719" s="56"/>
      <c r="AB719" s="56"/>
    </row>
    <row r="720">
      <c r="A720" s="75"/>
      <c r="B720" s="69"/>
      <c r="C720" s="60"/>
      <c r="D720" s="61"/>
      <c r="E720" s="69"/>
      <c r="F720" s="60"/>
      <c r="G720" s="60"/>
      <c r="H720" s="60"/>
      <c r="I720" s="60"/>
      <c r="J720" s="60"/>
      <c r="K720" s="56"/>
      <c r="L720" s="56"/>
      <c r="M720" s="56"/>
      <c r="N720" s="56"/>
      <c r="O720" s="56"/>
      <c r="P720" s="56"/>
      <c r="Q720" s="56"/>
      <c r="R720" s="56"/>
      <c r="S720" s="56"/>
      <c r="T720" s="56"/>
      <c r="U720" s="56"/>
      <c r="V720" s="56"/>
      <c r="W720" s="56"/>
      <c r="X720" s="56"/>
      <c r="Y720" s="56"/>
      <c r="Z720" s="56"/>
      <c r="AA720" s="56"/>
      <c r="AB720" s="56"/>
    </row>
    <row r="721">
      <c r="A721" s="75"/>
      <c r="B721" s="69"/>
      <c r="C721" s="60"/>
      <c r="D721" s="61"/>
      <c r="E721" s="69"/>
      <c r="F721" s="60"/>
      <c r="G721" s="60"/>
      <c r="H721" s="60"/>
      <c r="I721" s="60"/>
      <c r="J721" s="60"/>
      <c r="K721" s="56"/>
      <c r="L721" s="56"/>
      <c r="M721" s="56"/>
      <c r="N721" s="56"/>
      <c r="O721" s="56"/>
      <c r="P721" s="56"/>
      <c r="Q721" s="56"/>
      <c r="R721" s="56"/>
      <c r="S721" s="56"/>
      <c r="T721" s="56"/>
      <c r="U721" s="56"/>
      <c r="V721" s="56"/>
      <c r="W721" s="56"/>
      <c r="X721" s="56"/>
      <c r="Y721" s="56"/>
      <c r="Z721" s="56"/>
      <c r="AA721" s="56"/>
      <c r="AB721" s="56"/>
    </row>
    <row r="722">
      <c r="A722" s="75"/>
      <c r="B722" s="69"/>
      <c r="C722" s="60"/>
      <c r="D722" s="61"/>
      <c r="E722" s="69"/>
      <c r="F722" s="60"/>
      <c r="G722" s="60"/>
      <c r="H722" s="60"/>
      <c r="I722" s="60"/>
      <c r="J722" s="60"/>
      <c r="K722" s="56"/>
      <c r="L722" s="56"/>
      <c r="M722" s="56"/>
      <c r="N722" s="56"/>
      <c r="O722" s="56"/>
      <c r="P722" s="56"/>
      <c r="Q722" s="56"/>
      <c r="R722" s="56"/>
      <c r="S722" s="56"/>
      <c r="T722" s="56"/>
      <c r="U722" s="56"/>
      <c r="V722" s="56"/>
      <c r="W722" s="56"/>
      <c r="X722" s="56"/>
      <c r="Y722" s="56"/>
      <c r="Z722" s="56"/>
      <c r="AA722" s="56"/>
      <c r="AB722" s="56"/>
    </row>
    <row r="723">
      <c r="A723" s="75"/>
      <c r="B723" s="69"/>
      <c r="C723" s="60"/>
      <c r="D723" s="61"/>
      <c r="E723" s="69"/>
      <c r="F723" s="60"/>
      <c r="G723" s="60"/>
      <c r="H723" s="60"/>
      <c r="I723" s="60"/>
      <c r="J723" s="60"/>
      <c r="K723" s="56"/>
      <c r="L723" s="56"/>
      <c r="M723" s="56"/>
      <c r="N723" s="56"/>
      <c r="O723" s="56"/>
      <c r="P723" s="56"/>
      <c r="Q723" s="56"/>
      <c r="R723" s="56"/>
      <c r="S723" s="56"/>
      <c r="T723" s="56"/>
      <c r="U723" s="56"/>
      <c r="V723" s="56"/>
      <c r="W723" s="56"/>
      <c r="X723" s="56"/>
      <c r="Y723" s="56"/>
      <c r="Z723" s="56"/>
      <c r="AA723" s="56"/>
      <c r="AB723" s="56"/>
    </row>
    <row r="724">
      <c r="A724" s="75"/>
      <c r="B724" s="69"/>
      <c r="C724" s="60"/>
      <c r="D724" s="61"/>
      <c r="E724" s="69"/>
      <c r="F724" s="60"/>
      <c r="G724" s="60"/>
      <c r="H724" s="60"/>
      <c r="I724" s="60"/>
      <c r="J724" s="60"/>
      <c r="K724" s="56"/>
      <c r="L724" s="56"/>
      <c r="M724" s="56"/>
      <c r="N724" s="56"/>
      <c r="O724" s="56"/>
      <c r="P724" s="56"/>
      <c r="Q724" s="56"/>
      <c r="R724" s="56"/>
      <c r="S724" s="56"/>
      <c r="T724" s="56"/>
      <c r="U724" s="56"/>
      <c r="V724" s="56"/>
      <c r="W724" s="56"/>
      <c r="X724" s="56"/>
      <c r="Y724" s="56"/>
      <c r="Z724" s="56"/>
      <c r="AA724" s="56"/>
      <c r="AB724" s="56"/>
    </row>
    <row r="725">
      <c r="A725" s="75"/>
      <c r="B725" s="69"/>
      <c r="C725" s="60"/>
      <c r="D725" s="61"/>
      <c r="E725" s="69"/>
      <c r="F725" s="60"/>
      <c r="G725" s="60"/>
      <c r="H725" s="60"/>
      <c r="I725" s="60"/>
      <c r="J725" s="60"/>
      <c r="K725" s="56"/>
      <c r="L725" s="56"/>
      <c r="M725" s="56"/>
      <c r="N725" s="56"/>
      <c r="O725" s="56"/>
      <c r="P725" s="56"/>
      <c r="Q725" s="56"/>
      <c r="R725" s="56"/>
      <c r="S725" s="56"/>
      <c r="T725" s="56"/>
      <c r="U725" s="56"/>
      <c r="V725" s="56"/>
      <c r="W725" s="56"/>
      <c r="X725" s="56"/>
      <c r="Y725" s="56"/>
      <c r="Z725" s="56"/>
      <c r="AA725" s="56"/>
      <c r="AB725" s="56"/>
    </row>
    <row r="726">
      <c r="A726" s="75"/>
      <c r="B726" s="69"/>
      <c r="C726" s="60"/>
      <c r="D726" s="61"/>
      <c r="E726" s="69"/>
      <c r="F726" s="60"/>
      <c r="G726" s="60"/>
      <c r="H726" s="60"/>
      <c r="I726" s="60"/>
      <c r="J726" s="60"/>
      <c r="K726" s="56"/>
      <c r="L726" s="56"/>
      <c r="M726" s="56"/>
      <c r="N726" s="56"/>
      <c r="O726" s="56"/>
      <c r="P726" s="56"/>
      <c r="Q726" s="56"/>
      <c r="R726" s="56"/>
      <c r="S726" s="56"/>
      <c r="T726" s="56"/>
      <c r="U726" s="56"/>
      <c r="V726" s="56"/>
      <c r="W726" s="56"/>
      <c r="X726" s="56"/>
      <c r="Y726" s="56"/>
      <c r="Z726" s="56"/>
      <c r="AA726" s="56"/>
      <c r="AB726" s="56"/>
    </row>
    <row r="727">
      <c r="A727" s="75"/>
      <c r="B727" s="69"/>
      <c r="C727" s="60"/>
      <c r="D727" s="61"/>
      <c r="E727" s="69"/>
      <c r="F727" s="60"/>
      <c r="G727" s="60"/>
      <c r="H727" s="60"/>
      <c r="I727" s="60"/>
      <c r="J727" s="60"/>
      <c r="K727" s="56"/>
      <c r="L727" s="56"/>
      <c r="M727" s="56"/>
      <c r="N727" s="56"/>
      <c r="O727" s="56"/>
      <c r="P727" s="56"/>
      <c r="Q727" s="56"/>
      <c r="R727" s="56"/>
      <c r="S727" s="56"/>
      <c r="T727" s="56"/>
      <c r="U727" s="56"/>
      <c r="V727" s="56"/>
      <c r="W727" s="56"/>
      <c r="X727" s="56"/>
      <c r="Y727" s="56"/>
      <c r="Z727" s="56"/>
      <c r="AA727" s="56"/>
      <c r="AB727" s="56"/>
    </row>
    <row r="728">
      <c r="A728" s="75"/>
      <c r="B728" s="69"/>
      <c r="C728" s="60"/>
      <c r="D728" s="61"/>
      <c r="E728" s="69"/>
      <c r="F728" s="60"/>
      <c r="G728" s="60"/>
      <c r="H728" s="60"/>
      <c r="I728" s="60"/>
      <c r="J728" s="60"/>
      <c r="K728" s="56"/>
      <c r="L728" s="56"/>
      <c r="M728" s="56"/>
      <c r="N728" s="56"/>
      <c r="O728" s="56"/>
      <c r="P728" s="56"/>
      <c r="Q728" s="56"/>
      <c r="R728" s="56"/>
      <c r="S728" s="56"/>
      <c r="T728" s="56"/>
      <c r="U728" s="56"/>
      <c r="V728" s="56"/>
      <c r="W728" s="56"/>
      <c r="X728" s="56"/>
      <c r="Y728" s="56"/>
      <c r="Z728" s="56"/>
      <c r="AA728" s="56"/>
      <c r="AB728" s="56"/>
    </row>
    <row r="729">
      <c r="A729" s="75"/>
      <c r="B729" s="69"/>
      <c r="C729" s="60"/>
      <c r="D729" s="61"/>
      <c r="E729" s="69"/>
      <c r="F729" s="60"/>
      <c r="G729" s="60"/>
      <c r="H729" s="60"/>
      <c r="I729" s="60"/>
      <c r="J729" s="60"/>
      <c r="K729" s="56"/>
      <c r="L729" s="56"/>
      <c r="M729" s="56"/>
      <c r="N729" s="56"/>
      <c r="O729" s="56"/>
      <c r="P729" s="56"/>
      <c r="Q729" s="56"/>
      <c r="R729" s="56"/>
      <c r="S729" s="56"/>
      <c r="T729" s="56"/>
      <c r="U729" s="56"/>
      <c r="V729" s="56"/>
      <c r="W729" s="56"/>
      <c r="X729" s="56"/>
      <c r="Y729" s="56"/>
      <c r="Z729" s="56"/>
      <c r="AA729" s="56"/>
      <c r="AB729" s="56"/>
    </row>
    <row r="730">
      <c r="A730" s="75"/>
      <c r="B730" s="69"/>
      <c r="C730" s="60"/>
      <c r="D730" s="61"/>
      <c r="E730" s="69"/>
      <c r="F730" s="60"/>
      <c r="G730" s="60"/>
      <c r="H730" s="60"/>
      <c r="I730" s="60"/>
      <c r="J730" s="60"/>
      <c r="K730" s="56"/>
      <c r="L730" s="56"/>
      <c r="M730" s="56"/>
      <c r="N730" s="56"/>
      <c r="O730" s="56"/>
      <c r="P730" s="56"/>
      <c r="Q730" s="56"/>
      <c r="R730" s="56"/>
      <c r="S730" s="56"/>
      <c r="T730" s="56"/>
      <c r="U730" s="56"/>
      <c r="V730" s="56"/>
      <c r="W730" s="56"/>
      <c r="X730" s="56"/>
      <c r="Y730" s="56"/>
      <c r="Z730" s="56"/>
      <c r="AA730" s="56"/>
      <c r="AB730" s="56"/>
    </row>
    <row r="731">
      <c r="A731" s="75"/>
      <c r="B731" s="69"/>
      <c r="C731" s="60"/>
      <c r="D731" s="61"/>
      <c r="E731" s="69"/>
      <c r="F731" s="60"/>
      <c r="G731" s="60"/>
      <c r="H731" s="60"/>
      <c r="I731" s="60"/>
      <c r="J731" s="60"/>
      <c r="K731" s="56"/>
      <c r="L731" s="56"/>
      <c r="M731" s="56"/>
      <c r="N731" s="56"/>
      <c r="O731" s="56"/>
      <c r="P731" s="56"/>
      <c r="Q731" s="56"/>
      <c r="R731" s="56"/>
      <c r="S731" s="56"/>
      <c r="T731" s="56"/>
      <c r="U731" s="56"/>
      <c r="V731" s="56"/>
      <c r="W731" s="56"/>
      <c r="X731" s="56"/>
      <c r="Y731" s="56"/>
      <c r="Z731" s="56"/>
      <c r="AA731" s="56"/>
      <c r="AB731" s="56"/>
    </row>
    <row r="732">
      <c r="A732" s="75"/>
      <c r="B732" s="69"/>
      <c r="C732" s="60"/>
      <c r="D732" s="61"/>
      <c r="E732" s="69"/>
      <c r="F732" s="60"/>
      <c r="G732" s="60"/>
      <c r="H732" s="60"/>
      <c r="I732" s="60"/>
      <c r="J732" s="60"/>
      <c r="K732" s="56"/>
      <c r="L732" s="56"/>
      <c r="M732" s="56"/>
      <c r="N732" s="56"/>
      <c r="O732" s="56"/>
      <c r="P732" s="56"/>
      <c r="Q732" s="56"/>
      <c r="R732" s="56"/>
      <c r="S732" s="56"/>
      <c r="T732" s="56"/>
      <c r="U732" s="56"/>
      <c r="V732" s="56"/>
      <c r="W732" s="56"/>
      <c r="X732" s="56"/>
      <c r="Y732" s="56"/>
      <c r="Z732" s="56"/>
      <c r="AA732" s="56"/>
      <c r="AB732" s="56"/>
    </row>
    <row r="733">
      <c r="A733" s="75"/>
      <c r="B733" s="69"/>
      <c r="C733" s="60"/>
      <c r="D733" s="61"/>
      <c r="E733" s="69"/>
      <c r="F733" s="60"/>
      <c r="G733" s="60"/>
      <c r="H733" s="60"/>
      <c r="I733" s="60"/>
      <c r="J733" s="60"/>
      <c r="K733" s="56"/>
      <c r="L733" s="56"/>
      <c r="M733" s="56"/>
      <c r="N733" s="56"/>
      <c r="O733" s="56"/>
      <c r="P733" s="56"/>
      <c r="Q733" s="56"/>
      <c r="R733" s="56"/>
      <c r="S733" s="56"/>
      <c r="T733" s="56"/>
      <c r="U733" s="56"/>
      <c r="V733" s="56"/>
      <c r="W733" s="56"/>
      <c r="X733" s="56"/>
      <c r="Y733" s="56"/>
      <c r="Z733" s="56"/>
      <c r="AA733" s="56"/>
      <c r="AB733" s="56"/>
    </row>
    <row r="734">
      <c r="A734" s="75"/>
      <c r="B734" s="69"/>
      <c r="C734" s="60"/>
      <c r="D734" s="61"/>
      <c r="E734" s="69"/>
      <c r="F734" s="60"/>
      <c r="G734" s="60"/>
      <c r="H734" s="60"/>
      <c r="I734" s="60"/>
      <c r="J734" s="60"/>
      <c r="K734" s="56"/>
      <c r="L734" s="56"/>
      <c r="M734" s="56"/>
      <c r="N734" s="56"/>
      <c r="O734" s="56"/>
      <c r="P734" s="56"/>
      <c r="Q734" s="56"/>
      <c r="R734" s="56"/>
      <c r="S734" s="56"/>
      <c r="T734" s="56"/>
      <c r="U734" s="56"/>
      <c r="V734" s="56"/>
      <c r="W734" s="56"/>
      <c r="X734" s="56"/>
      <c r="Y734" s="56"/>
      <c r="Z734" s="56"/>
      <c r="AA734" s="56"/>
      <c r="AB734" s="56"/>
    </row>
    <row r="735">
      <c r="A735" s="75"/>
      <c r="B735" s="69"/>
      <c r="C735" s="60"/>
      <c r="D735" s="61"/>
      <c r="E735" s="69"/>
      <c r="F735" s="60"/>
      <c r="G735" s="60"/>
      <c r="H735" s="60"/>
      <c r="I735" s="60"/>
      <c r="J735" s="60"/>
      <c r="K735" s="56"/>
      <c r="L735" s="56"/>
      <c r="M735" s="56"/>
      <c r="N735" s="56"/>
      <c r="O735" s="56"/>
      <c r="P735" s="56"/>
      <c r="Q735" s="56"/>
      <c r="R735" s="56"/>
      <c r="S735" s="56"/>
      <c r="T735" s="56"/>
      <c r="U735" s="56"/>
      <c r="V735" s="56"/>
      <c r="W735" s="56"/>
      <c r="X735" s="56"/>
      <c r="Y735" s="56"/>
      <c r="Z735" s="56"/>
      <c r="AA735" s="56"/>
      <c r="AB735" s="56"/>
    </row>
    <row r="736">
      <c r="A736" s="75"/>
      <c r="B736" s="69"/>
      <c r="C736" s="60"/>
      <c r="D736" s="61"/>
      <c r="E736" s="69"/>
      <c r="F736" s="60"/>
      <c r="G736" s="60"/>
      <c r="H736" s="60"/>
      <c r="I736" s="60"/>
      <c r="J736" s="60"/>
      <c r="K736" s="56"/>
      <c r="L736" s="56"/>
      <c r="M736" s="56"/>
      <c r="N736" s="56"/>
      <c r="O736" s="56"/>
      <c r="P736" s="56"/>
      <c r="Q736" s="56"/>
      <c r="R736" s="56"/>
      <c r="S736" s="56"/>
      <c r="T736" s="56"/>
      <c r="U736" s="56"/>
      <c r="V736" s="56"/>
      <c r="W736" s="56"/>
      <c r="X736" s="56"/>
      <c r="Y736" s="56"/>
      <c r="Z736" s="56"/>
      <c r="AA736" s="56"/>
      <c r="AB736" s="56"/>
    </row>
    <row r="737">
      <c r="A737" s="75"/>
      <c r="B737" s="69"/>
      <c r="C737" s="60"/>
      <c r="D737" s="61"/>
      <c r="E737" s="69"/>
      <c r="F737" s="60"/>
      <c r="G737" s="60"/>
      <c r="H737" s="60"/>
      <c r="I737" s="60"/>
      <c r="J737" s="60"/>
      <c r="K737" s="56"/>
      <c r="L737" s="56"/>
      <c r="M737" s="56"/>
      <c r="N737" s="56"/>
      <c r="O737" s="56"/>
      <c r="P737" s="56"/>
      <c r="Q737" s="56"/>
      <c r="R737" s="56"/>
      <c r="S737" s="56"/>
      <c r="T737" s="56"/>
      <c r="U737" s="56"/>
      <c r="V737" s="56"/>
      <c r="W737" s="56"/>
      <c r="X737" s="56"/>
      <c r="Y737" s="56"/>
      <c r="Z737" s="56"/>
      <c r="AA737" s="56"/>
      <c r="AB737" s="56"/>
    </row>
    <row r="738">
      <c r="A738" s="75"/>
      <c r="B738" s="69"/>
      <c r="C738" s="60"/>
      <c r="D738" s="61"/>
      <c r="E738" s="69"/>
      <c r="F738" s="60"/>
      <c r="G738" s="60"/>
      <c r="H738" s="60"/>
      <c r="I738" s="60"/>
      <c r="J738" s="60"/>
      <c r="K738" s="56"/>
      <c r="L738" s="56"/>
      <c r="M738" s="56"/>
      <c r="N738" s="56"/>
      <c r="O738" s="56"/>
      <c r="P738" s="56"/>
      <c r="Q738" s="56"/>
      <c r="R738" s="56"/>
      <c r="S738" s="56"/>
      <c r="T738" s="56"/>
      <c r="U738" s="56"/>
      <c r="V738" s="56"/>
      <c r="W738" s="56"/>
      <c r="X738" s="56"/>
      <c r="Y738" s="56"/>
      <c r="Z738" s="56"/>
      <c r="AA738" s="56"/>
      <c r="AB738" s="56"/>
    </row>
    <row r="739">
      <c r="A739" s="75"/>
      <c r="B739" s="69"/>
      <c r="C739" s="60"/>
      <c r="D739" s="61"/>
      <c r="E739" s="69"/>
      <c r="F739" s="60"/>
      <c r="G739" s="60"/>
      <c r="H739" s="60"/>
      <c r="I739" s="60"/>
      <c r="J739" s="60"/>
      <c r="K739" s="56"/>
      <c r="L739" s="56"/>
      <c r="M739" s="56"/>
      <c r="N739" s="56"/>
      <c r="O739" s="56"/>
      <c r="P739" s="56"/>
      <c r="Q739" s="56"/>
      <c r="R739" s="56"/>
      <c r="S739" s="56"/>
      <c r="T739" s="56"/>
      <c r="U739" s="56"/>
      <c r="V739" s="56"/>
      <c r="W739" s="56"/>
      <c r="X739" s="56"/>
      <c r="Y739" s="56"/>
      <c r="Z739" s="56"/>
      <c r="AA739" s="56"/>
      <c r="AB739" s="56"/>
    </row>
    <row r="740">
      <c r="A740" s="75"/>
      <c r="B740" s="69"/>
      <c r="C740" s="60"/>
      <c r="D740" s="61"/>
      <c r="E740" s="69"/>
      <c r="F740" s="60"/>
      <c r="G740" s="60"/>
      <c r="H740" s="60"/>
      <c r="I740" s="60"/>
      <c r="J740" s="60"/>
      <c r="K740" s="56"/>
      <c r="L740" s="56"/>
      <c r="M740" s="56"/>
      <c r="N740" s="56"/>
      <c r="O740" s="56"/>
      <c r="P740" s="56"/>
      <c r="Q740" s="56"/>
      <c r="R740" s="56"/>
      <c r="S740" s="56"/>
      <c r="T740" s="56"/>
      <c r="U740" s="56"/>
      <c r="V740" s="56"/>
      <c r="W740" s="56"/>
      <c r="X740" s="56"/>
      <c r="Y740" s="56"/>
      <c r="Z740" s="56"/>
      <c r="AA740" s="56"/>
      <c r="AB740" s="56"/>
    </row>
    <row r="741">
      <c r="A741" s="75"/>
      <c r="B741" s="69"/>
      <c r="C741" s="60"/>
      <c r="D741" s="61"/>
      <c r="E741" s="69"/>
      <c r="F741" s="60"/>
      <c r="G741" s="60"/>
      <c r="H741" s="60"/>
      <c r="I741" s="60"/>
      <c r="J741" s="60"/>
      <c r="K741" s="56"/>
      <c r="L741" s="56"/>
      <c r="M741" s="56"/>
      <c r="N741" s="56"/>
      <c r="O741" s="56"/>
      <c r="P741" s="56"/>
      <c r="Q741" s="56"/>
      <c r="R741" s="56"/>
      <c r="S741" s="56"/>
      <c r="T741" s="56"/>
      <c r="U741" s="56"/>
      <c r="V741" s="56"/>
      <c r="W741" s="56"/>
      <c r="X741" s="56"/>
      <c r="Y741" s="56"/>
      <c r="Z741" s="56"/>
      <c r="AA741" s="56"/>
      <c r="AB741" s="56"/>
    </row>
    <row r="742">
      <c r="A742" s="75"/>
      <c r="B742" s="69"/>
      <c r="C742" s="60"/>
      <c r="D742" s="61"/>
      <c r="E742" s="69"/>
      <c r="F742" s="60"/>
      <c r="G742" s="60"/>
      <c r="H742" s="60"/>
      <c r="I742" s="60"/>
      <c r="J742" s="60"/>
      <c r="K742" s="56"/>
      <c r="L742" s="56"/>
      <c r="M742" s="56"/>
      <c r="N742" s="56"/>
      <c r="O742" s="56"/>
      <c r="P742" s="56"/>
      <c r="Q742" s="56"/>
      <c r="R742" s="56"/>
      <c r="S742" s="56"/>
      <c r="T742" s="56"/>
      <c r="U742" s="56"/>
      <c r="V742" s="56"/>
      <c r="W742" s="56"/>
      <c r="X742" s="56"/>
      <c r="Y742" s="56"/>
      <c r="Z742" s="56"/>
      <c r="AA742" s="56"/>
      <c r="AB742" s="56"/>
    </row>
    <row r="743">
      <c r="A743" s="75"/>
      <c r="B743" s="69"/>
      <c r="C743" s="60"/>
      <c r="D743" s="61"/>
      <c r="E743" s="69"/>
      <c r="F743" s="60"/>
      <c r="G743" s="60"/>
      <c r="H743" s="60"/>
      <c r="I743" s="60"/>
      <c r="J743" s="60"/>
      <c r="K743" s="56"/>
      <c r="L743" s="56"/>
      <c r="M743" s="56"/>
      <c r="N743" s="56"/>
      <c r="O743" s="56"/>
      <c r="P743" s="56"/>
      <c r="Q743" s="56"/>
      <c r="R743" s="56"/>
      <c r="S743" s="56"/>
      <c r="T743" s="56"/>
      <c r="U743" s="56"/>
      <c r="V743" s="56"/>
      <c r="W743" s="56"/>
      <c r="X743" s="56"/>
      <c r="Y743" s="56"/>
      <c r="Z743" s="56"/>
      <c r="AA743" s="56"/>
      <c r="AB743" s="56"/>
    </row>
    <row r="744">
      <c r="A744" s="75"/>
      <c r="B744" s="69"/>
      <c r="C744" s="60"/>
      <c r="D744" s="61"/>
      <c r="E744" s="69"/>
      <c r="F744" s="60"/>
      <c r="G744" s="60"/>
      <c r="H744" s="60"/>
      <c r="I744" s="60"/>
      <c r="J744" s="60"/>
      <c r="K744" s="56"/>
      <c r="L744" s="56"/>
      <c r="M744" s="56"/>
      <c r="N744" s="56"/>
      <c r="O744" s="56"/>
      <c r="P744" s="56"/>
      <c r="Q744" s="56"/>
      <c r="R744" s="56"/>
      <c r="S744" s="56"/>
      <c r="T744" s="56"/>
      <c r="U744" s="56"/>
      <c r="V744" s="56"/>
      <c r="W744" s="56"/>
      <c r="X744" s="56"/>
      <c r="Y744" s="56"/>
      <c r="Z744" s="56"/>
      <c r="AA744" s="56"/>
      <c r="AB744" s="56"/>
    </row>
    <row r="745">
      <c r="A745" s="75"/>
      <c r="B745" s="69"/>
      <c r="C745" s="60"/>
      <c r="D745" s="61"/>
      <c r="E745" s="69"/>
      <c r="F745" s="60"/>
      <c r="G745" s="60"/>
      <c r="H745" s="60"/>
      <c r="I745" s="60"/>
      <c r="J745" s="60"/>
      <c r="K745" s="56"/>
      <c r="L745" s="56"/>
      <c r="M745" s="56"/>
      <c r="N745" s="56"/>
      <c r="O745" s="56"/>
      <c r="P745" s="56"/>
      <c r="Q745" s="56"/>
      <c r="R745" s="56"/>
      <c r="S745" s="56"/>
      <c r="T745" s="56"/>
      <c r="U745" s="56"/>
      <c r="V745" s="56"/>
      <c r="W745" s="56"/>
      <c r="X745" s="56"/>
      <c r="Y745" s="56"/>
      <c r="Z745" s="56"/>
      <c r="AA745" s="56"/>
      <c r="AB745" s="56"/>
    </row>
    <row r="746">
      <c r="A746" s="75"/>
      <c r="B746" s="69"/>
      <c r="C746" s="60"/>
      <c r="D746" s="61"/>
      <c r="E746" s="69"/>
      <c r="F746" s="60"/>
      <c r="G746" s="60"/>
      <c r="H746" s="60"/>
      <c r="I746" s="60"/>
      <c r="J746" s="60"/>
      <c r="K746" s="56"/>
      <c r="L746" s="56"/>
      <c r="M746" s="56"/>
      <c r="N746" s="56"/>
      <c r="O746" s="56"/>
      <c r="P746" s="56"/>
      <c r="Q746" s="56"/>
      <c r="R746" s="56"/>
      <c r="S746" s="56"/>
      <c r="T746" s="56"/>
      <c r="U746" s="56"/>
      <c r="V746" s="56"/>
      <c r="W746" s="56"/>
      <c r="X746" s="56"/>
      <c r="Y746" s="56"/>
      <c r="Z746" s="56"/>
      <c r="AA746" s="56"/>
      <c r="AB746" s="56"/>
    </row>
    <row r="747">
      <c r="A747" s="75"/>
      <c r="B747" s="69"/>
      <c r="C747" s="60"/>
      <c r="D747" s="61"/>
      <c r="E747" s="69"/>
      <c r="F747" s="60"/>
      <c r="G747" s="60"/>
      <c r="H747" s="60"/>
      <c r="I747" s="60"/>
      <c r="J747" s="60"/>
      <c r="K747" s="56"/>
      <c r="L747" s="56"/>
      <c r="M747" s="56"/>
      <c r="N747" s="56"/>
      <c r="O747" s="56"/>
      <c r="P747" s="56"/>
      <c r="Q747" s="56"/>
      <c r="R747" s="56"/>
      <c r="S747" s="56"/>
      <c r="T747" s="56"/>
      <c r="U747" s="56"/>
      <c r="V747" s="56"/>
      <c r="W747" s="56"/>
      <c r="X747" s="56"/>
      <c r="Y747" s="56"/>
      <c r="Z747" s="56"/>
      <c r="AA747" s="56"/>
      <c r="AB747" s="56"/>
    </row>
    <row r="748">
      <c r="A748" s="75"/>
      <c r="B748" s="69"/>
      <c r="C748" s="60"/>
      <c r="D748" s="61"/>
      <c r="E748" s="69"/>
      <c r="F748" s="60"/>
      <c r="G748" s="60"/>
      <c r="H748" s="60"/>
      <c r="I748" s="60"/>
      <c r="J748" s="60"/>
      <c r="K748" s="56"/>
      <c r="L748" s="56"/>
      <c r="M748" s="56"/>
      <c r="N748" s="56"/>
      <c r="O748" s="56"/>
      <c r="P748" s="56"/>
      <c r="Q748" s="56"/>
      <c r="R748" s="56"/>
      <c r="S748" s="56"/>
      <c r="T748" s="56"/>
      <c r="U748" s="56"/>
      <c r="V748" s="56"/>
      <c r="W748" s="56"/>
      <c r="X748" s="56"/>
      <c r="Y748" s="56"/>
      <c r="Z748" s="56"/>
      <c r="AA748" s="56"/>
      <c r="AB748" s="56"/>
    </row>
    <row r="749">
      <c r="A749" s="75"/>
      <c r="B749" s="69"/>
      <c r="C749" s="60"/>
      <c r="D749" s="61"/>
      <c r="E749" s="69"/>
      <c r="F749" s="60"/>
      <c r="G749" s="60"/>
      <c r="H749" s="60"/>
      <c r="I749" s="60"/>
      <c r="J749" s="60"/>
      <c r="K749" s="56"/>
      <c r="L749" s="56"/>
      <c r="M749" s="56"/>
      <c r="N749" s="56"/>
      <c r="O749" s="56"/>
      <c r="P749" s="56"/>
      <c r="Q749" s="56"/>
      <c r="R749" s="56"/>
      <c r="S749" s="56"/>
      <c r="T749" s="56"/>
      <c r="U749" s="56"/>
      <c r="V749" s="56"/>
      <c r="W749" s="56"/>
      <c r="X749" s="56"/>
      <c r="Y749" s="56"/>
      <c r="Z749" s="56"/>
      <c r="AA749" s="56"/>
      <c r="AB749" s="56"/>
    </row>
    <row r="750">
      <c r="A750" s="75"/>
      <c r="B750" s="69"/>
      <c r="C750" s="60"/>
      <c r="D750" s="61"/>
      <c r="E750" s="69"/>
      <c r="F750" s="60"/>
      <c r="G750" s="60"/>
      <c r="H750" s="60"/>
      <c r="I750" s="60"/>
      <c r="J750" s="60"/>
      <c r="K750" s="56"/>
      <c r="L750" s="56"/>
      <c r="M750" s="56"/>
      <c r="N750" s="56"/>
      <c r="O750" s="56"/>
      <c r="P750" s="56"/>
      <c r="Q750" s="56"/>
      <c r="R750" s="56"/>
      <c r="S750" s="56"/>
      <c r="T750" s="56"/>
      <c r="U750" s="56"/>
      <c r="V750" s="56"/>
      <c r="W750" s="56"/>
      <c r="X750" s="56"/>
      <c r="Y750" s="56"/>
      <c r="Z750" s="56"/>
      <c r="AA750" s="56"/>
      <c r="AB750" s="56"/>
    </row>
    <row r="751">
      <c r="A751" s="75"/>
      <c r="B751" s="69"/>
      <c r="C751" s="60"/>
      <c r="D751" s="61"/>
      <c r="E751" s="69"/>
      <c r="F751" s="60"/>
      <c r="G751" s="60"/>
      <c r="H751" s="60"/>
      <c r="I751" s="60"/>
      <c r="J751" s="60"/>
      <c r="K751" s="56"/>
      <c r="L751" s="56"/>
      <c r="M751" s="56"/>
      <c r="N751" s="56"/>
      <c r="O751" s="56"/>
      <c r="P751" s="56"/>
      <c r="Q751" s="56"/>
      <c r="R751" s="56"/>
      <c r="S751" s="56"/>
      <c r="T751" s="56"/>
      <c r="U751" s="56"/>
      <c r="V751" s="56"/>
      <c r="W751" s="56"/>
      <c r="X751" s="56"/>
      <c r="Y751" s="56"/>
      <c r="Z751" s="56"/>
      <c r="AA751" s="56"/>
      <c r="AB751" s="56"/>
    </row>
    <row r="752">
      <c r="A752" s="75"/>
      <c r="B752" s="69"/>
      <c r="C752" s="60"/>
      <c r="D752" s="61"/>
      <c r="E752" s="69"/>
      <c r="F752" s="60"/>
      <c r="G752" s="60"/>
      <c r="H752" s="60"/>
      <c r="I752" s="60"/>
      <c r="J752" s="60"/>
      <c r="K752" s="56"/>
      <c r="L752" s="56"/>
      <c r="M752" s="56"/>
      <c r="N752" s="56"/>
      <c r="O752" s="56"/>
      <c r="P752" s="56"/>
      <c r="Q752" s="56"/>
      <c r="R752" s="56"/>
      <c r="S752" s="56"/>
      <c r="T752" s="56"/>
      <c r="U752" s="56"/>
      <c r="V752" s="56"/>
      <c r="W752" s="56"/>
      <c r="X752" s="56"/>
      <c r="Y752" s="56"/>
      <c r="Z752" s="56"/>
      <c r="AA752" s="56"/>
      <c r="AB752" s="56"/>
    </row>
    <row r="753">
      <c r="A753" s="75"/>
      <c r="B753" s="69"/>
      <c r="C753" s="60"/>
      <c r="D753" s="61"/>
      <c r="E753" s="69"/>
      <c r="F753" s="60"/>
      <c r="G753" s="60"/>
      <c r="H753" s="60"/>
      <c r="I753" s="60"/>
      <c r="J753" s="60"/>
      <c r="K753" s="56"/>
      <c r="L753" s="56"/>
      <c r="M753" s="56"/>
      <c r="N753" s="56"/>
      <c r="O753" s="56"/>
      <c r="P753" s="56"/>
      <c r="Q753" s="56"/>
      <c r="R753" s="56"/>
      <c r="S753" s="56"/>
      <c r="T753" s="56"/>
      <c r="U753" s="56"/>
      <c r="V753" s="56"/>
      <c r="W753" s="56"/>
      <c r="X753" s="56"/>
      <c r="Y753" s="56"/>
      <c r="Z753" s="56"/>
      <c r="AA753" s="56"/>
      <c r="AB753" s="56"/>
    </row>
    <row r="754">
      <c r="A754" s="75"/>
      <c r="B754" s="69"/>
      <c r="C754" s="60"/>
      <c r="D754" s="61"/>
      <c r="E754" s="69"/>
      <c r="F754" s="60"/>
      <c r="G754" s="60"/>
      <c r="H754" s="60"/>
      <c r="I754" s="60"/>
      <c r="J754" s="60"/>
      <c r="K754" s="56"/>
      <c r="L754" s="56"/>
      <c r="M754" s="56"/>
      <c r="N754" s="56"/>
      <c r="O754" s="56"/>
      <c r="P754" s="56"/>
      <c r="Q754" s="56"/>
      <c r="R754" s="56"/>
      <c r="S754" s="56"/>
      <c r="T754" s="56"/>
      <c r="U754" s="56"/>
      <c r="V754" s="56"/>
      <c r="W754" s="56"/>
      <c r="X754" s="56"/>
      <c r="Y754" s="56"/>
      <c r="Z754" s="56"/>
      <c r="AA754" s="56"/>
      <c r="AB754" s="56"/>
    </row>
    <row r="755">
      <c r="A755" s="75"/>
      <c r="B755" s="69"/>
      <c r="C755" s="60"/>
      <c r="D755" s="61"/>
      <c r="E755" s="69"/>
      <c r="F755" s="60"/>
      <c r="G755" s="60"/>
      <c r="H755" s="60"/>
      <c r="I755" s="60"/>
      <c r="J755" s="60"/>
      <c r="K755" s="56"/>
      <c r="L755" s="56"/>
      <c r="M755" s="56"/>
      <c r="N755" s="56"/>
      <c r="O755" s="56"/>
      <c r="P755" s="56"/>
      <c r="Q755" s="56"/>
      <c r="R755" s="56"/>
      <c r="S755" s="56"/>
      <c r="T755" s="56"/>
      <c r="U755" s="56"/>
      <c r="V755" s="56"/>
      <c r="W755" s="56"/>
      <c r="X755" s="56"/>
      <c r="Y755" s="56"/>
      <c r="Z755" s="56"/>
      <c r="AA755" s="56"/>
      <c r="AB755" s="56"/>
    </row>
    <row r="756">
      <c r="A756" s="75"/>
      <c r="B756" s="69"/>
      <c r="C756" s="60"/>
      <c r="D756" s="61"/>
      <c r="E756" s="69"/>
      <c r="F756" s="60"/>
      <c r="G756" s="60"/>
      <c r="H756" s="60"/>
      <c r="I756" s="60"/>
      <c r="J756" s="60"/>
      <c r="K756" s="56"/>
      <c r="L756" s="56"/>
      <c r="M756" s="56"/>
      <c r="N756" s="56"/>
      <c r="O756" s="56"/>
      <c r="P756" s="56"/>
      <c r="Q756" s="56"/>
      <c r="R756" s="56"/>
      <c r="S756" s="56"/>
      <c r="T756" s="56"/>
      <c r="U756" s="56"/>
      <c r="V756" s="56"/>
      <c r="W756" s="56"/>
      <c r="X756" s="56"/>
      <c r="Y756" s="56"/>
      <c r="Z756" s="56"/>
      <c r="AA756" s="56"/>
      <c r="AB756" s="56"/>
    </row>
    <row r="757">
      <c r="A757" s="75"/>
      <c r="B757" s="69"/>
      <c r="C757" s="60"/>
      <c r="D757" s="61"/>
      <c r="E757" s="69"/>
      <c r="F757" s="60"/>
      <c r="G757" s="60"/>
      <c r="H757" s="60"/>
      <c r="I757" s="60"/>
      <c r="J757" s="60"/>
      <c r="K757" s="56"/>
      <c r="L757" s="56"/>
      <c r="M757" s="56"/>
      <c r="N757" s="56"/>
      <c r="O757" s="56"/>
      <c r="P757" s="56"/>
      <c r="Q757" s="56"/>
      <c r="R757" s="56"/>
      <c r="S757" s="56"/>
      <c r="T757" s="56"/>
      <c r="U757" s="56"/>
      <c r="V757" s="56"/>
      <c r="W757" s="56"/>
      <c r="X757" s="56"/>
      <c r="Y757" s="56"/>
      <c r="Z757" s="56"/>
      <c r="AA757" s="56"/>
      <c r="AB757" s="56"/>
    </row>
    <row r="758">
      <c r="A758" s="75"/>
      <c r="B758" s="69"/>
      <c r="C758" s="60"/>
      <c r="D758" s="61"/>
      <c r="E758" s="69"/>
      <c r="F758" s="60"/>
      <c r="G758" s="60"/>
      <c r="H758" s="60"/>
      <c r="I758" s="60"/>
      <c r="J758" s="60"/>
      <c r="K758" s="56"/>
      <c r="L758" s="56"/>
      <c r="M758" s="56"/>
      <c r="N758" s="56"/>
      <c r="O758" s="56"/>
      <c r="P758" s="56"/>
      <c r="Q758" s="56"/>
      <c r="R758" s="56"/>
      <c r="S758" s="56"/>
      <c r="T758" s="56"/>
      <c r="U758" s="56"/>
      <c r="V758" s="56"/>
      <c r="W758" s="56"/>
      <c r="X758" s="56"/>
      <c r="Y758" s="56"/>
      <c r="Z758" s="56"/>
      <c r="AA758" s="56"/>
      <c r="AB758" s="56"/>
    </row>
    <row r="759">
      <c r="A759" s="75"/>
      <c r="B759" s="69"/>
      <c r="C759" s="60"/>
      <c r="D759" s="61"/>
      <c r="E759" s="69"/>
      <c r="F759" s="60"/>
      <c r="G759" s="60"/>
      <c r="H759" s="60"/>
      <c r="I759" s="60"/>
      <c r="J759" s="60"/>
      <c r="K759" s="56"/>
      <c r="L759" s="56"/>
      <c r="M759" s="56"/>
      <c r="N759" s="56"/>
      <c r="O759" s="56"/>
      <c r="P759" s="56"/>
      <c r="Q759" s="56"/>
      <c r="R759" s="56"/>
      <c r="S759" s="56"/>
      <c r="T759" s="56"/>
      <c r="U759" s="56"/>
      <c r="V759" s="56"/>
      <c r="W759" s="56"/>
      <c r="X759" s="56"/>
      <c r="Y759" s="56"/>
      <c r="Z759" s="56"/>
      <c r="AA759" s="56"/>
      <c r="AB759" s="56"/>
    </row>
    <row r="760">
      <c r="A760" s="75"/>
      <c r="B760" s="69"/>
      <c r="C760" s="60"/>
      <c r="D760" s="61"/>
      <c r="E760" s="69"/>
      <c r="F760" s="60"/>
      <c r="G760" s="60"/>
      <c r="H760" s="60"/>
      <c r="I760" s="60"/>
      <c r="J760" s="60"/>
      <c r="K760" s="56"/>
      <c r="L760" s="56"/>
      <c r="M760" s="56"/>
      <c r="N760" s="56"/>
      <c r="O760" s="56"/>
      <c r="P760" s="56"/>
      <c r="Q760" s="56"/>
      <c r="R760" s="56"/>
      <c r="S760" s="56"/>
      <c r="T760" s="56"/>
      <c r="U760" s="56"/>
      <c r="V760" s="56"/>
      <c r="W760" s="56"/>
      <c r="X760" s="56"/>
      <c r="Y760" s="56"/>
      <c r="Z760" s="56"/>
      <c r="AA760" s="56"/>
      <c r="AB760" s="56"/>
    </row>
    <row r="761">
      <c r="A761" s="75"/>
      <c r="B761" s="69"/>
      <c r="C761" s="60"/>
      <c r="D761" s="61"/>
      <c r="E761" s="69"/>
      <c r="F761" s="60"/>
      <c r="G761" s="60"/>
      <c r="H761" s="60"/>
      <c r="I761" s="60"/>
      <c r="J761" s="60"/>
      <c r="K761" s="56"/>
      <c r="L761" s="56"/>
      <c r="M761" s="56"/>
      <c r="N761" s="56"/>
      <c r="O761" s="56"/>
      <c r="P761" s="56"/>
      <c r="Q761" s="56"/>
      <c r="R761" s="56"/>
      <c r="S761" s="56"/>
      <c r="T761" s="56"/>
      <c r="U761" s="56"/>
      <c r="V761" s="56"/>
      <c r="W761" s="56"/>
      <c r="X761" s="56"/>
      <c r="Y761" s="56"/>
      <c r="Z761" s="56"/>
      <c r="AA761" s="56"/>
      <c r="AB761" s="56"/>
    </row>
    <row r="762">
      <c r="A762" s="75"/>
      <c r="B762" s="69"/>
      <c r="C762" s="60"/>
      <c r="D762" s="61"/>
      <c r="E762" s="69"/>
      <c r="F762" s="60"/>
      <c r="G762" s="60"/>
      <c r="H762" s="60"/>
      <c r="I762" s="60"/>
      <c r="J762" s="60"/>
      <c r="K762" s="56"/>
      <c r="L762" s="56"/>
      <c r="M762" s="56"/>
      <c r="N762" s="56"/>
      <c r="O762" s="56"/>
      <c r="P762" s="56"/>
      <c r="Q762" s="56"/>
      <c r="R762" s="56"/>
      <c r="S762" s="56"/>
      <c r="T762" s="56"/>
      <c r="U762" s="56"/>
      <c r="V762" s="56"/>
      <c r="W762" s="56"/>
      <c r="X762" s="56"/>
      <c r="Y762" s="56"/>
      <c r="Z762" s="56"/>
      <c r="AA762" s="56"/>
      <c r="AB762" s="56"/>
    </row>
    <row r="763">
      <c r="A763" s="75"/>
      <c r="B763" s="69"/>
      <c r="C763" s="60"/>
      <c r="D763" s="61"/>
      <c r="E763" s="69"/>
      <c r="F763" s="60"/>
      <c r="G763" s="60"/>
      <c r="H763" s="60"/>
      <c r="I763" s="60"/>
      <c r="J763" s="60"/>
      <c r="K763" s="56"/>
      <c r="L763" s="56"/>
      <c r="M763" s="56"/>
      <c r="N763" s="56"/>
      <c r="O763" s="56"/>
      <c r="P763" s="56"/>
      <c r="Q763" s="56"/>
      <c r="R763" s="56"/>
      <c r="S763" s="56"/>
      <c r="T763" s="56"/>
      <c r="U763" s="56"/>
      <c r="V763" s="56"/>
      <c r="W763" s="56"/>
      <c r="X763" s="56"/>
      <c r="Y763" s="56"/>
      <c r="Z763" s="56"/>
      <c r="AA763" s="56"/>
      <c r="AB763" s="56"/>
    </row>
    <row r="764">
      <c r="A764" s="75"/>
      <c r="B764" s="69"/>
      <c r="C764" s="60"/>
      <c r="D764" s="61"/>
      <c r="E764" s="69"/>
      <c r="F764" s="60"/>
      <c r="G764" s="60"/>
      <c r="H764" s="60"/>
      <c r="I764" s="60"/>
      <c r="J764" s="60"/>
      <c r="K764" s="56"/>
      <c r="L764" s="56"/>
      <c r="M764" s="56"/>
      <c r="N764" s="56"/>
      <c r="O764" s="56"/>
      <c r="P764" s="56"/>
      <c r="Q764" s="56"/>
      <c r="R764" s="56"/>
      <c r="S764" s="56"/>
      <c r="T764" s="56"/>
      <c r="U764" s="56"/>
      <c r="V764" s="56"/>
      <c r="W764" s="56"/>
      <c r="X764" s="56"/>
      <c r="Y764" s="56"/>
      <c r="Z764" s="56"/>
      <c r="AA764" s="56"/>
      <c r="AB764" s="56"/>
    </row>
    <row r="765">
      <c r="A765" s="75"/>
      <c r="B765" s="69"/>
      <c r="C765" s="60"/>
      <c r="D765" s="61"/>
      <c r="E765" s="69"/>
      <c r="F765" s="60"/>
      <c r="G765" s="60"/>
      <c r="H765" s="60"/>
      <c r="I765" s="60"/>
      <c r="J765" s="60"/>
      <c r="K765" s="56"/>
      <c r="L765" s="56"/>
      <c r="M765" s="56"/>
      <c r="N765" s="56"/>
      <c r="O765" s="56"/>
      <c r="P765" s="56"/>
      <c r="Q765" s="56"/>
      <c r="R765" s="56"/>
      <c r="S765" s="56"/>
      <c r="T765" s="56"/>
      <c r="U765" s="56"/>
      <c r="V765" s="56"/>
      <c r="W765" s="56"/>
      <c r="X765" s="56"/>
      <c r="Y765" s="56"/>
      <c r="Z765" s="56"/>
      <c r="AA765" s="56"/>
      <c r="AB765" s="56"/>
    </row>
    <row r="766">
      <c r="A766" s="75"/>
      <c r="B766" s="69"/>
      <c r="C766" s="60"/>
      <c r="D766" s="61"/>
      <c r="E766" s="69"/>
      <c r="F766" s="60"/>
      <c r="G766" s="60"/>
      <c r="H766" s="60"/>
      <c r="I766" s="60"/>
      <c r="J766" s="60"/>
      <c r="K766" s="56"/>
      <c r="L766" s="56"/>
      <c r="M766" s="56"/>
      <c r="N766" s="56"/>
      <c r="O766" s="56"/>
      <c r="P766" s="56"/>
      <c r="Q766" s="56"/>
      <c r="R766" s="56"/>
      <c r="S766" s="56"/>
      <c r="T766" s="56"/>
      <c r="U766" s="56"/>
      <c r="V766" s="56"/>
      <c r="W766" s="56"/>
      <c r="X766" s="56"/>
      <c r="Y766" s="56"/>
      <c r="Z766" s="56"/>
      <c r="AA766" s="56"/>
      <c r="AB766" s="56"/>
    </row>
    <row r="767">
      <c r="A767" s="75"/>
      <c r="B767" s="69"/>
      <c r="C767" s="60"/>
      <c r="D767" s="61"/>
      <c r="E767" s="69"/>
      <c r="F767" s="60"/>
      <c r="G767" s="60"/>
      <c r="H767" s="60"/>
      <c r="I767" s="60"/>
      <c r="J767" s="60"/>
      <c r="K767" s="56"/>
      <c r="L767" s="56"/>
      <c r="M767" s="56"/>
      <c r="N767" s="56"/>
      <c r="O767" s="56"/>
      <c r="P767" s="56"/>
      <c r="Q767" s="56"/>
      <c r="R767" s="56"/>
      <c r="S767" s="56"/>
      <c r="T767" s="56"/>
      <c r="U767" s="56"/>
      <c r="V767" s="56"/>
      <c r="W767" s="56"/>
      <c r="X767" s="56"/>
      <c r="Y767" s="56"/>
      <c r="Z767" s="56"/>
      <c r="AA767" s="56"/>
      <c r="AB767" s="56"/>
    </row>
    <row r="768">
      <c r="A768" s="75"/>
      <c r="B768" s="69"/>
      <c r="C768" s="60"/>
      <c r="D768" s="61"/>
      <c r="E768" s="69"/>
      <c r="F768" s="60"/>
      <c r="G768" s="60"/>
      <c r="H768" s="60"/>
      <c r="I768" s="60"/>
      <c r="J768" s="60"/>
      <c r="K768" s="56"/>
      <c r="L768" s="56"/>
      <c r="M768" s="56"/>
      <c r="N768" s="56"/>
      <c r="O768" s="56"/>
      <c r="P768" s="56"/>
      <c r="Q768" s="56"/>
      <c r="R768" s="56"/>
      <c r="S768" s="56"/>
      <c r="T768" s="56"/>
      <c r="U768" s="56"/>
      <c r="V768" s="56"/>
      <c r="W768" s="56"/>
      <c r="X768" s="56"/>
      <c r="Y768" s="56"/>
      <c r="Z768" s="56"/>
      <c r="AA768" s="56"/>
      <c r="AB768" s="56"/>
    </row>
    <row r="769">
      <c r="A769" s="75"/>
      <c r="B769" s="69"/>
      <c r="C769" s="60"/>
      <c r="D769" s="61"/>
      <c r="E769" s="69"/>
      <c r="F769" s="60"/>
      <c r="G769" s="60"/>
      <c r="H769" s="60"/>
      <c r="I769" s="60"/>
      <c r="J769" s="60"/>
      <c r="K769" s="56"/>
      <c r="L769" s="56"/>
      <c r="M769" s="56"/>
      <c r="N769" s="56"/>
      <c r="O769" s="56"/>
      <c r="P769" s="56"/>
      <c r="Q769" s="56"/>
      <c r="R769" s="56"/>
      <c r="S769" s="56"/>
      <c r="T769" s="56"/>
      <c r="U769" s="56"/>
      <c r="V769" s="56"/>
      <c r="W769" s="56"/>
      <c r="X769" s="56"/>
      <c r="Y769" s="56"/>
      <c r="Z769" s="56"/>
      <c r="AA769" s="56"/>
      <c r="AB769" s="56"/>
    </row>
    <row r="770">
      <c r="A770" s="75"/>
      <c r="B770" s="69"/>
      <c r="C770" s="60"/>
      <c r="D770" s="61"/>
      <c r="E770" s="69"/>
      <c r="F770" s="60"/>
      <c r="G770" s="60"/>
      <c r="H770" s="60"/>
      <c r="I770" s="60"/>
      <c r="J770" s="60"/>
      <c r="K770" s="56"/>
      <c r="L770" s="56"/>
      <c r="M770" s="56"/>
      <c r="N770" s="56"/>
      <c r="O770" s="56"/>
      <c r="P770" s="56"/>
      <c r="Q770" s="56"/>
      <c r="R770" s="56"/>
      <c r="S770" s="56"/>
      <c r="T770" s="56"/>
      <c r="U770" s="56"/>
      <c r="V770" s="56"/>
      <c r="W770" s="56"/>
      <c r="X770" s="56"/>
      <c r="Y770" s="56"/>
      <c r="Z770" s="56"/>
      <c r="AA770" s="56"/>
      <c r="AB770" s="56"/>
    </row>
    <row r="771">
      <c r="A771" s="75"/>
      <c r="B771" s="69"/>
      <c r="C771" s="60"/>
      <c r="D771" s="61"/>
      <c r="E771" s="69"/>
      <c r="F771" s="60"/>
      <c r="G771" s="60"/>
      <c r="H771" s="60"/>
      <c r="I771" s="60"/>
      <c r="J771" s="60"/>
      <c r="K771" s="56"/>
      <c r="L771" s="56"/>
      <c r="M771" s="56"/>
      <c r="N771" s="56"/>
      <c r="O771" s="56"/>
      <c r="P771" s="56"/>
      <c r="Q771" s="56"/>
      <c r="R771" s="56"/>
      <c r="S771" s="56"/>
      <c r="T771" s="56"/>
      <c r="U771" s="56"/>
      <c r="V771" s="56"/>
      <c r="W771" s="56"/>
      <c r="X771" s="56"/>
      <c r="Y771" s="56"/>
      <c r="Z771" s="56"/>
      <c r="AA771" s="56"/>
      <c r="AB771" s="56"/>
    </row>
    <row r="772">
      <c r="A772" s="75"/>
      <c r="B772" s="69"/>
      <c r="C772" s="60"/>
      <c r="D772" s="61"/>
      <c r="E772" s="69"/>
      <c r="F772" s="60"/>
      <c r="G772" s="60"/>
      <c r="H772" s="60"/>
      <c r="I772" s="60"/>
      <c r="J772" s="60"/>
      <c r="K772" s="56"/>
      <c r="L772" s="56"/>
      <c r="M772" s="56"/>
      <c r="N772" s="56"/>
      <c r="O772" s="56"/>
      <c r="P772" s="56"/>
      <c r="Q772" s="56"/>
      <c r="R772" s="56"/>
      <c r="S772" s="56"/>
      <c r="T772" s="56"/>
      <c r="U772" s="56"/>
      <c r="V772" s="56"/>
      <c r="W772" s="56"/>
      <c r="X772" s="56"/>
      <c r="Y772" s="56"/>
      <c r="Z772" s="56"/>
      <c r="AA772" s="56"/>
      <c r="AB772" s="56"/>
    </row>
    <row r="773">
      <c r="A773" s="75"/>
      <c r="B773" s="69"/>
      <c r="C773" s="60"/>
      <c r="D773" s="61"/>
      <c r="E773" s="69"/>
      <c r="F773" s="60"/>
      <c r="G773" s="60"/>
      <c r="H773" s="60"/>
      <c r="I773" s="60"/>
      <c r="J773" s="60"/>
      <c r="K773" s="56"/>
      <c r="L773" s="56"/>
      <c r="M773" s="56"/>
      <c r="N773" s="56"/>
      <c r="O773" s="56"/>
      <c r="P773" s="56"/>
      <c r="Q773" s="56"/>
      <c r="R773" s="56"/>
      <c r="S773" s="56"/>
      <c r="T773" s="56"/>
      <c r="U773" s="56"/>
      <c r="V773" s="56"/>
      <c r="W773" s="56"/>
      <c r="X773" s="56"/>
      <c r="Y773" s="56"/>
      <c r="Z773" s="56"/>
      <c r="AA773" s="56"/>
      <c r="AB773" s="56"/>
    </row>
    <row r="774">
      <c r="A774" s="75"/>
      <c r="B774" s="69"/>
      <c r="C774" s="60"/>
      <c r="D774" s="61"/>
      <c r="E774" s="69"/>
      <c r="F774" s="60"/>
      <c r="G774" s="60"/>
      <c r="H774" s="60"/>
      <c r="I774" s="60"/>
      <c r="J774" s="60"/>
      <c r="K774" s="56"/>
      <c r="L774" s="56"/>
      <c r="M774" s="56"/>
      <c r="N774" s="56"/>
      <c r="O774" s="56"/>
      <c r="P774" s="56"/>
      <c r="Q774" s="56"/>
      <c r="R774" s="56"/>
      <c r="S774" s="56"/>
      <c r="T774" s="56"/>
      <c r="U774" s="56"/>
      <c r="V774" s="56"/>
      <c r="W774" s="56"/>
      <c r="X774" s="56"/>
      <c r="Y774" s="56"/>
      <c r="Z774" s="56"/>
      <c r="AA774" s="56"/>
      <c r="AB774" s="56"/>
    </row>
    <row r="775">
      <c r="A775" s="75"/>
      <c r="B775" s="69"/>
      <c r="C775" s="60"/>
      <c r="D775" s="61"/>
      <c r="E775" s="69"/>
      <c r="F775" s="60"/>
      <c r="G775" s="60"/>
      <c r="H775" s="60"/>
      <c r="I775" s="60"/>
      <c r="J775" s="60"/>
      <c r="K775" s="56"/>
      <c r="L775" s="56"/>
      <c r="M775" s="56"/>
      <c r="N775" s="56"/>
      <c r="O775" s="56"/>
      <c r="P775" s="56"/>
      <c r="Q775" s="56"/>
      <c r="R775" s="56"/>
      <c r="S775" s="56"/>
      <c r="T775" s="56"/>
      <c r="U775" s="56"/>
      <c r="V775" s="56"/>
      <c r="W775" s="56"/>
      <c r="X775" s="56"/>
      <c r="Y775" s="56"/>
      <c r="Z775" s="56"/>
      <c r="AA775" s="56"/>
      <c r="AB775" s="56"/>
    </row>
    <row r="776">
      <c r="A776" s="75"/>
      <c r="B776" s="69"/>
      <c r="C776" s="60"/>
      <c r="D776" s="61"/>
      <c r="E776" s="69"/>
      <c r="F776" s="60"/>
      <c r="G776" s="60"/>
      <c r="H776" s="60"/>
      <c r="I776" s="60"/>
      <c r="J776" s="60"/>
      <c r="K776" s="56"/>
      <c r="L776" s="56"/>
      <c r="M776" s="56"/>
      <c r="N776" s="56"/>
      <c r="O776" s="56"/>
      <c r="P776" s="56"/>
      <c r="Q776" s="56"/>
      <c r="R776" s="56"/>
      <c r="S776" s="56"/>
      <c r="T776" s="56"/>
      <c r="U776" s="56"/>
      <c r="V776" s="56"/>
      <c r="W776" s="56"/>
      <c r="X776" s="56"/>
      <c r="Y776" s="56"/>
      <c r="Z776" s="56"/>
      <c r="AA776" s="56"/>
      <c r="AB776" s="56"/>
    </row>
    <row r="777">
      <c r="A777" s="75"/>
      <c r="B777" s="69"/>
      <c r="C777" s="60"/>
      <c r="D777" s="61"/>
      <c r="E777" s="69"/>
      <c r="F777" s="60"/>
      <c r="G777" s="60"/>
      <c r="H777" s="60"/>
      <c r="I777" s="60"/>
      <c r="J777" s="60"/>
      <c r="K777" s="56"/>
      <c r="L777" s="56"/>
      <c r="M777" s="56"/>
      <c r="N777" s="56"/>
      <c r="O777" s="56"/>
      <c r="P777" s="56"/>
      <c r="Q777" s="56"/>
      <c r="R777" s="56"/>
      <c r="S777" s="56"/>
      <c r="T777" s="56"/>
      <c r="U777" s="56"/>
      <c r="V777" s="56"/>
      <c r="W777" s="56"/>
      <c r="X777" s="56"/>
      <c r="Y777" s="56"/>
      <c r="Z777" s="56"/>
      <c r="AA777" s="56"/>
      <c r="AB777" s="56"/>
    </row>
    <row r="778">
      <c r="A778" s="75"/>
      <c r="B778" s="69"/>
      <c r="C778" s="60"/>
      <c r="D778" s="61"/>
      <c r="E778" s="69"/>
      <c r="F778" s="60"/>
      <c r="G778" s="60"/>
      <c r="H778" s="60"/>
      <c r="I778" s="60"/>
      <c r="J778" s="60"/>
      <c r="K778" s="56"/>
      <c r="L778" s="56"/>
      <c r="M778" s="56"/>
      <c r="N778" s="56"/>
      <c r="O778" s="56"/>
      <c r="P778" s="56"/>
      <c r="Q778" s="56"/>
      <c r="R778" s="56"/>
      <c r="S778" s="56"/>
      <c r="T778" s="56"/>
      <c r="U778" s="56"/>
      <c r="V778" s="56"/>
      <c r="W778" s="56"/>
      <c r="X778" s="56"/>
      <c r="Y778" s="56"/>
      <c r="Z778" s="56"/>
      <c r="AA778" s="56"/>
      <c r="AB778" s="56"/>
    </row>
    <row r="779">
      <c r="A779" s="75"/>
      <c r="B779" s="69"/>
      <c r="C779" s="60"/>
      <c r="D779" s="61"/>
      <c r="E779" s="69"/>
      <c r="F779" s="60"/>
      <c r="G779" s="60"/>
      <c r="H779" s="60"/>
      <c r="I779" s="60"/>
      <c r="J779" s="60"/>
      <c r="K779" s="56"/>
      <c r="L779" s="56"/>
      <c r="M779" s="56"/>
      <c r="N779" s="56"/>
      <c r="O779" s="56"/>
      <c r="P779" s="56"/>
      <c r="Q779" s="56"/>
      <c r="R779" s="56"/>
      <c r="S779" s="56"/>
      <c r="T779" s="56"/>
      <c r="U779" s="56"/>
      <c r="V779" s="56"/>
      <c r="W779" s="56"/>
      <c r="X779" s="56"/>
      <c r="Y779" s="56"/>
      <c r="Z779" s="56"/>
      <c r="AA779" s="56"/>
      <c r="AB779" s="56"/>
    </row>
    <row r="780">
      <c r="A780" s="75"/>
      <c r="B780" s="69"/>
      <c r="C780" s="60"/>
      <c r="D780" s="61"/>
      <c r="E780" s="69"/>
      <c r="F780" s="60"/>
      <c r="G780" s="60"/>
      <c r="H780" s="60"/>
      <c r="I780" s="60"/>
      <c r="J780" s="60"/>
      <c r="K780" s="56"/>
      <c r="L780" s="56"/>
      <c r="M780" s="56"/>
      <c r="N780" s="56"/>
      <c r="O780" s="56"/>
      <c r="P780" s="56"/>
      <c r="Q780" s="56"/>
      <c r="R780" s="56"/>
      <c r="S780" s="56"/>
      <c r="T780" s="56"/>
      <c r="U780" s="56"/>
      <c r="V780" s="56"/>
      <c r="W780" s="56"/>
      <c r="X780" s="56"/>
      <c r="Y780" s="56"/>
      <c r="Z780" s="56"/>
      <c r="AA780" s="56"/>
      <c r="AB780" s="56"/>
    </row>
    <row r="781">
      <c r="A781" s="75"/>
      <c r="B781" s="69"/>
      <c r="C781" s="60"/>
      <c r="D781" s="61"/>
      <c r="E781" s="69"/>
      <c r="F781" s="60"/>
      <c r="G781" s="60"/>
      <c r="H781" s="60"/>
      <c r="I781" s="60"/>
      <c r="J781" s="60"/>
      <c r="K781" s="56"/>
      <c r="L781" s="56"/>
      <c r="M781" s="56"/>
      <c r="N781" s="56"/>
      <c r="O781" s="56"/>
      <c r="P781" s="56"/>
      <c r="Q781" s="56"/>
      <c r="R781" s="56"/>
      <c r="S781" s="56"/>
      <c r="T781" s="56"/>
      <c r="U781" s="56"/>
      <c r="V781" s="56"/>
      <c r="W781" s="56"/>
      <c r="X781" s="56"/>
      <c r="Y781" s="56"/>
      <c r="Z781" s="56"/>
      <c r="AA781" s="56"/>
      <c r="AB781" s="56"/>
    </row>
    <row r="782">
      <c r="A782" s="75"/>
      <c r="B782" s="69"/>
      <c r="C782" s="60"/>
      <c r="D782" s="61"/>
      <c r="E782" s="69"/>
      <c r="F782" s="60"/>
      <c r="G782" s="60"/>
      <c r="H782" s="60"/>
      <c r="I782" s="60"/>
      <c r="J782" s="60"/>
      <c r="K782" s="56"/>
      <c r="L782" s="56"/>
      <c r="M782" s="56"/>
      <c r="N782" s="56"/>
      <c r="O782" s="56"/>
      <c r="P782" s="56"/>
      <c r="Q782" s="56"/>
      <c r="R782" s="56"/>
      <c r="S782" s="56"/>
      <c r="T782" s="56"/>
      <c r="U782" s="56"/>
      <c r="V782" s="56"/>
      <c r="W782" s="56"/>
      <c r="X782" s="56"/>
      <c r="Y782" s="56"/>
      <c r="Z782" s="56"/>
      <c r="AA782" s="56"/>
      <c r="AB782" s="56"/>
    </row>
    <row r="783">
      <c r="A783" s="75"/>
      <c r="B783" s="69"/>
      <c r="C783" s="60"/>
      <c r="D783" s="61"/>
      <c r="E783" s="69"/>
      <c r="F783" s="60"/>
      <c r="G783" s="60"/>
      <c r="H783" s="60"/>
      <c r="I783" s="60"/>
      <c r="J783" s="60"/>
      <c r="K783" s="56"/>
      <c r="L783" s="56"/>
      <c r="M783" s="56"/>
      <c r="N783" s="56"/>
      <c r="O783" s="56"/>
      <c r="P783" s="56"/>
      <c r="Q783" s="56"/>
      <c r="R783" s="56"/>
      <c r="S783" s="56"/>
      <c r="T783" s="56"/>
      <c r="U783" s="56"/>
      <c r="V783" s="56"/>
      <c r="W783" s="56"/>
      <c r="X783" s="56"/>
      <c r="Y783" s="56"/>
      <c r="Z783" s="56"/>
      <c r="AA783" s="56"/>
      <c r="AB783" s="56"/>
    </row>
    <row r="784">
      <c r="A784" s="75"/>
      <c r="B784" s="69"/>
      <c r="C784" s="60"/>
      <c r="D784" s="61"/>
      <c r="E784" s="69"/>
      <c r="F784" s="60"/>
      <c r="G784" s="60"/>
      <c r="H784" s="60"/>
      <c r="I784" s="60"/>
      <c r="J784" s="60"/>
      <c r="K784" s="56"/>
      <c r="L784" s="56"/>
      <c r="M784" s="56"/>
      <c r="N784" s="56"/>
      <c r="O784" s="56"/>
      <c r="P784" s="56"/>
      <c r="Q784" s="56"/>
      <c r="R784" s="56"/>
      <c r="S784" s="56"/>
      <c r="T784" s="56"/>
      <c r="U784" s="56"/>
      <c r="V784" s="56"/>
      <c r="W784" s="56"/>
      <c r="X784" s="56"/>
      <c r="Y784" s="56"/>
      <c r="Z784" s="56"/>
      <c r="AA784" s="56"/>
      <c r="AB784" s="56"/>
    </row>
    <row r="785">
      <c r="A785" s="75"/>
      <c r="B785" s="69"/>
      <c r="C785" s="60"/>
      <c r="D785" s="61"/>
      <c r="E785" s="69"/>
      <c r="F785" s="60"/>
      <c r="G785" s="60"/>
      <c r="H785" s="60"/>
      <c r="I785" s="60"/>
      <c r="J785" s="60"/>
      <c r="K785" s="56"/>
      <c r="L785" s="56"/>
      <c r="M785" s="56"/>
      <c r="N785" s="56"/>
      <c r="O785" s="56"/>
      <c r="P785" s="56"/>
      <c r="Q785" s="56"/>
      <c r="R785" s="56"/>
      <c r="S785" s="56"/>
      <c r="T785" s="56"/>
      <c r="U785" s="56"/>
      <c r="V785" s="56"/>
      <c r="W785" s="56"/>
      <c r="X785" s="56"/>
      <c r="Y785" s="56"/>
      <c r="Z785" s="56"/>
      <c r="AA785" s="56"/>
      <c r="AB785" s="56"/>
    </row>
    <row r="786">
      <c r="A786" s="75"/>
      <c r="B786" s="69"/>
      <c r="C786" s="60"/>
      <c r="D786" s="61"/>
      <c r="E786" s="69"/>
      <c r="F786" s="60"/>
      <c r="G786" s="60"/>
      <c r="H786" s="60"/>
      <c r="I786" s="60"/>
      <c r="J786" s="60"/>
      <c r="K786" s="56"/>
      <c r="L786" s="56"/>
      <c r="M786" s="56"/>
      <c r="N786" s="56"/>
      <c r="O786" s="56"/>
      <c r="P786" s="56"/>
      <c r="Q786" s="56"/>
      <c r="R786" s="56"/>
      <c r="S786" s="56"/>
      <c r="T786" s="56"/>
      <c r="U786" s="56"/>
      <c r="V786" s="56"/>
      <c r="W786" s="56"/>
      <c r="X786" s="56"/>
      <c r="Y786" s="56"/>
      <c r="Z786" s="56"/>
      <c r="AA786" s="56"/>
      <c r="AB786" s="56"/>
    </row>
    <row r="787">
      <c r="A787" s="75"/>
      <c r="B787" s="69"/>
      <c r="C787" s="60"/>
      <c r="D787" s="61"/>
      <c r="E787" s="69"/>
      <c r="F787" s="60"/>
      <c r="G787" s="60"/>
      <c r="H787" s="60"/>
      <c r="I787" s="60"/>
      <c r="J787" s="60"/>
      <c r="K787" s="56"/>
      <c r="L787" s="56"/>
      <c r="M787" s="56"/>
      <c r="N787" s="56"/>
      <c r="O787" s="56"/>
      <c r="P787" s="56"/>
      <c r="Q787" s="56"/>
      <c r="R787" s="56"/>
      <c r="S787" s="56"/>
      <c r="T787" s="56"/>
      <c r="U787" s="56"/>
      <c r="V787" s="56"/>
      <c r="W787" s="56"/>
      <c r="X787" s="56"/>
      <c r="Y787" s="56"/>
      <c r="Z787" s="56"/>
      <c r="AA787" s="56"/>
      <c r="AB787" s="56"/>
    </row>
    <row r="788">
      <c r="A788" s="75"/>
      <c r="B788" s="69"/>
      <c r="C788" s="60"/>
      <c r="D788" s="61"/>
      <c r="E788" s="69"/>
      <c r="F788" s="60"/>
      <c r="G788" s="60"/>
      <c r="H788" s="60"/>
      <c r="I788" s="60"/>
      <c r="J788" s="60"/>
      <c r="K788" s="56"/>
      <c r="L788" s="56"/>
      <c r="M788" s="56"/>
      <c r="N788" s="56"/>
      <c r="O788" s="56"/>
      <c r="P788" s="56"/>
      <c r="Q788" s="56"/>
      <c r="R788" s="56"/>
      <c r="S788" s="56"/>
      <c r="T788" s="56"/>
      <c r="U788" s="56"/>
      <c r="V788" s="56"/>
      <c r="W788" s="56"/>
      <c r="X788" s="56"/>
      <c r="Y788" s="56"/>
      <c r="Z788" s="56"/>
      <c r="AA788" s="56"/>
      <c r="AB788" s="56"/>
    </row>
    <row r="789">
      <c r="A789" s="75"/>
      <c r="B789" s="69"/>
      <c r="C789" s="60"/>
      <c r="D789" s="61"/>
      <c r="E789" s="69"/>
      <c r="F789" s="60"/>
      <c r="G789" s="60"/>
      <c r="H789" s="60"/>
      <c r="I789" s="60"/>
      <c r="J789" s="60"/>
      <c r="K789" s="56"/>
      <c r="L789" s="56"/>
      <c r="M789" s="56"/>
      <c r="N789" s="56"/>
      <c r="O789" s="56"/>
      <c r="P789" s="56"/>
      <c r="Q789" s="56"/>
      <c r="R789" s="56"/>
      <c r="S789" s="56"/>
      <c r="T789" s="56"/>
      <c r="U789" s="56"/>
      <c r="V789" s="56"/>
      <c r="W789" s="56"/>
      <c r="X789" s="56"/>
      <c r="Y789" s="56"/>
      <c r="Z789" s="56"/>
      <c r="AA789" s="56"/>
      <c r="AB789" s="56"/>
    </row>
    <row r="790">
      <c r="A790" s="75"/>
      <c r="B790" s="69"/>
      <c r="C790" s="60"/>
      <c r="D790" s="61"/>
      <c r="E790" s="69"/>
      <c r="F790" s="60"/>
      <c r="G790" s="60"/>
      <c r="H790" s="60"/>
      <c r="I790" s="60"/>
      <c r="J790" s="60"/>
      <c r="K790" s="56"/>
      <c r="L790" s="56"/>
      <c r="M790" s="56"/>
      <c r="N790" s="56"/>
      <c r="O790" s="56"/>
      <c r="P790" s="56"/>
      <c r="Q790" s="56"/>
      <c r="R790" s="56"/>
      <c r="S790" s="56"/>
      <c r="T790" s="56"/>
      <c r="U790" s="56"/>
      <c r="V790" s="56"/>
      <c r="W790" s="56"/>
      <c r="X790" s="56"/>
      <c r="Y790" s="56"/>
      <c r="Z790" s="56"/>
      <c r="AA790" s="56"/>
      <c r="AB790" s="56"/>
    </row>
    <row r="791">
      <c r="A791" s="75"/>
      <c r="B791" s="69"/>
      <c r="C791" s="60"/>
      <c r="D791" s="61"/>
      <c r="E791" s="69"/>
      <c r="F791" s="60"/>
      <c r="G791" s="60"/>
      <c r="H791" s="60"/>
      <c r="I791" s="60"/>
      <c r="J791" s="60"/>
      <c r="K791" s="56"/>
      <c r="L791" s="56"/>
      <c r="M791" s="56"/>
      <c r="N791" s="56"/>
      <c r="O791" s="56"/>
      <c r="P791" s="56"/>
      <c r="Q791" s="56"/>
      <c r="R791" s="56"/>
      <c r="S791" s="56"/>
      <c r="T791" s="56"/>
      <c r="U791" s="56"/>
      <c r="V791" s="56"/>
      <c r="W791" s="56"/>
      <c r="X791" s="56"/>
      <c r="Y791" s="56"/>
      <c r="Z791" s="56"/>
      <c r="AA791" s="56"/>
      <c r="AB791" s="56"/>
    </row>
    <row r="792">
      <c r="A792" s="75"/>
      <c r="B792" s="69"/>
      <c r="C792" s="60"/>
      <c r="D792" s="61"/>
      <c r="E792" s="69"/>
      <c r="F792" s="60"/>
      <c r="G792" s="60"/>
      <c r="H792" s="60"/>
      <c r="I792" s="60"/>
      <c r="J792" s="60"/>
      <c r="K792" s="56"/>
      <c r="L792" s="56"/>
      <c r="M792" s="56"/>
      <c r="N792" s="56"/>
      <c r="O792" s="56"/>
      <c r="P792" s="56"/>
      <c r="Q792" s="56"/>
      <c r="R792" s="56"/>
      <c r="S792" s="56"/>
      <c r="T792" s="56"/>
      <c r="U792" s="56"/>
      <c r="V792" s="56"/>
      <c r="W792" s="56"/>
      <c r="X792" s="56"/>
      <c r="Y792" s="56"/>
      <c r="Z792" s="56"/>
      <c r="AA792" s="56"/>
      <c r="AB792" s="56"/>
    </row>
    <row r="793">
      <c r="A793" s="75"/>
      <c r="B793" s="69"/>
      <c r="C793" s="60"/>
      <c r="D793" s="61"/>
      <c r="E793" s="69"/>
      <c r="F793" s="60"/>
      <c r="G793" s="60"/>
      <c r="H793" s="60"/>
      <c r="I793" s="60"/>
      <c r="J793" s="60"/>
      <c r="K793" s="56"/>
      <c r="L793" s="56"/>
      <c r="M793" s="56"/>
      <c r="N793" s="56"/>
      <c r="O793" s="56"/>
      <c r="P793" s="56"/>
      <c r="Q793" s="56"/>
      <c r="R793" s="56"/>
      <c r="S793" s="56"/>
      <c r="T793" s="56"/>
      <c r="U793" s="56"/>
      <c r="V793" s="56"/>
      <c r="W793" s="56"/>
      <c r="X793" s="56"/>
      <c r="Y793" s="56"/>
      <c r="Z793" s="56"/>
      <c r="AA793" s="56"/>
      <c r="AB793" s="56"/>
    </row>
    <row r="794">
      <c r="A794" s="75"/>
      <c r="B794" s="69"/>
      <c r="C794" s="60"/>
      <c r="D794" s="61"/>
      <c r="E794" s="69"/>
      <c r="F794" s="60"/>
      <c r="G794" s="60"/>
      <c r="H794" s="60"/>
      <c r="I794" s="60"/>
      <c r="J794" s="60"/>
      <c r="K794" s="56"/>
      <c r="L794" s="56"/>
      <c r="M794" s="56"/>
      <c r="N794" s="56"/>
      <c r="O794" s="56"/>
      <c r="P794" s="56"/>
      <c r="Q794" s="56"/>
      <c r="R794" s="56"/>
      <c r="S794" s="56"/>
      <c r="T794" s="56"/>
      <c r="U794" s="56"/>
      <c r="V794" s="56"/>
      <c r="W794" s="56"/>
      <c r="X794" s="56"/>
      <c r="Y794" s="56"/>
      <c r="Z794" s="56"/>
      <c r="AA794" s="56"/>
      <c r="AB794" s="56"/>
    </row>
    <row r="795">
      <c r="A795" s="75"/>
      <c r="B795" s="69"/>
      <c r="C795" s="60"/>
      <c r="D795" s="61"/>
      <c r="E795" s="69"/>
      <c r="F795" s="60"/>
      <c r="G795" s="60"/>
      <c r="H795" s="60"/>
      <c r="I795" s="60"/>
      <c r="J795" s="60"/>
      <c r="K795" s="56"/>
      <c r="L795" s="56"/>
      <c r="M795" s="56"/>
      <c r="N795" s="56"/>
      <c r="O795" s="56"/>
      <c r="P795" s="56"/>
      <c r="Q795" s="56"/>
      <c r="R795" s="56"/>
      <c r="S795" s="56"/>
      <c r="T795" s="56"/>
      <c r="U795" s="56"/>
      <c r="V795" s="56"/>
      <c r="W795" s="56"/>
      <c r="X795" s="56"/>
      <c r="Y795" s="56"/>
      <c r="Z795" s="56"/>
      <c r="AA795" s="56"/>
      <c r="AB795" s="56"/>
    </row>
    <row r="796">
      <c r="A796" s="75"/>
      <c r="B796" s="69"/>
      <c r="C796" s="60"/>
      <c r="D796" s="61"/>
      <c r="E796" s="69"/>
      <c r="F796" s="60"/>
      <c r="G796" s="60"/>
      <c r="H796" s="60"/>
      <c r="I796" s="60"/>
      <c r="J796" s="60"/>
      <c r="K796" s="56"/>
      <c r="L796" s="56"/>
      <c r="M796" s="56"/>
      <c r="N796" s="56"/>
      <c r="O796" s="56"/>
      <c r="P796" s="56"/>
      <c r="Q796" s="56"/>
      <c r="R796" s="56"/>
      <c r="S796" s="56"/>
      <c r="T796" s="56"/>
      <c r="U796" s="56"/>
      <c r="V796" s="56"/>
      <c r="W796" s="56"/>
      <c r="X796" s="56"/>
      <c r="Y796" s="56"/>
      <c r="Z796" s="56"/>
      <c r="AA796" s="56"/>
      <c r="AB796" s="56"/>
    </row>
    <row r="797">
      <c r="A797" s="75"/>
      <c r="B797" s="69"/>
      <c r="C797" s="60"/>
      <c r="D797" s="61"/>
      <c r="E797" s="69"/>
      <c r="F797" s="60"/>
      <c r="G797" s="60"/>
      <c r="H797" s="60"/>
      <c r="I797" s="60"/>
      <c r="J797" s="60"/>
      <c r="K797" s="56"/>
      <c r="L797" s="56"/>
      <c r="M797" s="56"/>
      <c r="N797" s="56"/>
      <c r="O797" s="56"/>
      <c r="P797" s="56"/>
      <c r="Q797" s="56"/>
      <c r="R797" s="56"/>
      <c r="S797" s="56"/>
      <c r="T797" s="56"/>
      <c r="U797" s="56"/>
      <c r="V797" s="56"/>
      <c r="W797" s="56"/>
      <c r="X797" s="56"/>
      <c r="Y797" s="56"/>
      <c r="Z797" s="56"/>
      <c r="AA797" s="56"/>
      <c r="AB797" s="56"/>
    </row>
    <row r="798">
      <c r="A798" s="75"/>
      <c r="B798" s="69"/>
      <c r="C798" s="60"/>
      <c r="D798" s="61"/>
      <c r="E798" s="69"/>
      <c r="F798" s="60"/>
      <c r="G798" s="60"/>
      <c r="H798" s="60"/>
      <c r="I798" s="60"/>
      <c r="J798" s="60"/>
      <c r="K798" s="56"/>
      <c r="L798" s="56"/>
      <c r="M798" s="56"/>
      <c r="N798" s="56"/>
      <c r="O798" s="56"/>
      <c r="P798" s="56"/>
      <c r="Q798" s="56"/>
      <c r="R798" s="56"/>
      <c r="S798" s="56"/>
      <c r="T798" s="56"/>
      <c r="U798" s="56"/>
      <c r="V798" s="56"/>
      <c r="W798" s="56"/>
      <c r="X798" s="56"/>
      <c r="Y798" s="56"/>
      <c r="Z798" s="56"/>
      <c r="AA798" s="56"/>
      <c r="AB798" s="56"/>
    </row>
    <row r="799">
      <c r="A799" s="75"/>
      <c r="B799" s="69"/>
      <c r="C799" s="60"/>
      <c r="D799" s="61"/>
      <c r="E799" s="69"/>
      <c r="F799" s="60"/>
      <c r="G799" s="60"/>
      <c r="H799" s="60"/>
      <c r="I799" s="60"/>
      <c r="J799" s="60"/>
      <c r="K799" s="56"/>
      <c r="L799" s="56"/>
      <c r="M799" s="56"/>
      <c r="N799" s="56"/>
      <c r="O799" s="56"/>
      <c r="P799" s="56"/>
      <c r="Q799" s="56"/>
      <c r="R799" s="56"/>
      <c r="S799" s="56"/>
      <c r="T799" s="56"/>
      <c r="U799" s="56"/>
      <c r="V799" s="56"/>
      <c r="W799" s="56"/>
      <c r="X799" s="56"/>
      <c r="Y799" s="56"/>
      <c r="Z799" s="56"/>
      <c r="AA799" s="56"/>
      <c r="AB799" s="56"/>
    </row>
    <row r="800">
      <c r="A800" s="75"/>
      <c r="B800" s="69"/>
      <c r="C800" s="60"/>
      <c r="D800" s="61"/>
      <c r="E800" s="69"/>
      <c r="F800" s="60"/>
      <c r="G800" s="60"/>
      <c r="H800" s="60"/>
      <c r="I800" s="60"/>
      <c r="J800" s="60"/>
      <c r="K800" s="56"/>
      <c r="L800" s="56"/>
      <c r="M800" s="56"/>
      <c r="N800" s="56"/>
      <c r="O800" s="56"/>
      <c r="P800" s="56"/>
      <c r="Q800" s="56"/>
      <c r="R800" s="56"/>
      <c r="S800" s="56"/>
      <c r="T800" s="56"/>
      <c r="U800" s="56"/>
      <c r="V800" s="56"/>
      <c r="W800" s="56"/>
      <c r="X800" s="56"/>
      <c r="Y800" s="56"/>
      <c r="Z800" s="56"/>
      <c r="AA800" s="56"/>
      <c r="AB800" s="56"/>
    </row>
    <row r="801">
      <c r="A801" s="75"/>
      <c r="B801" s="69"/>
      <c r="C801" s="60"/>
      <c r="D801" s="61"/>
      <c r="E801" s="69"/>
      <c r="F801" s="60"/>
      <c r="G801" s="60"/>
      <c r="H801" s="60"/>
      <c r="I801" s="60"/>
      <c r="J801" s="60"/>
      <c r="K801" s="56"/>
      <c r="L801" s="56"/>
      <c r="M801" s="56"/>
      <c r="N801" s="56"/>
      <c r="O801" s="56"/>
      <c r="P801" s="56"/>
      <c r="Q801" s="56"/>
      <c r="R801" s="56"/>
      <c r="S801" s="56"/>
      <c r="T801" s="56"/>
      <c r="U801" s="56"/>
      <c r="V801" s="56"/>
      <c r="W801" s="56"/>
      <c r="X801" s="56"/>
      <c r="Y801" s="56"/>
      <c r="Z801" s="56"/>
      <c r="AA801" s="56"/>
      <c r="AB801" s="56"/>
    </row>
    <row r="802">
      <c r="A802" s="75"/>
      <c r="B802" s="69"/>
      <c r="C802" s="60"/>
      <c r="D802" s="61"/>
      <c r="E802" s="69"/>
      <c r="F802" s="60"/>
      <c r="G802" s="60"/>
      <c r="H802" s="60"/>
      <c r="I802" s="60"/>
      <c r="J802" s="60"/>
      <c r="K802" s="56"/>
      <c r="L802" s="56"/>
      <c r="M802" s="56"/>
      <c r="N802" s="56"/>
      <c r="O802" s="56"/>
      <c r="P802" s="56"/>
      <c r="Q802" s="56"/>
      <c r="R802" s="56"/>
      <c r="S802" s="56"/>
      <c r="T802" s="56"/>
      <c r="U802" s="56"/>
      <c r="V802" s="56"/>
      <c r="W802" s="56"/>
      <c r="X802" s="56"/>
      <c r="Y802" s="56"/>
      <c r="Z802" s="56"/>
      <c r="AA802" s="56"/>
      <c r="AB802" s="56"/>
    </row>
    <row r="803">
      <c r="A803" s="75"/>
      <c r="B803" s="69"/>
      <c r="C803" s="60"/>
      <c r="D803" s="61"/>
      <c r="E803" s="69"/>
      <c r="F803" s="60"/>
      <c r="G803" s="60"/>
      <c r="H803" s="60"/>
      <c r="I803" s="60"/>
      <c r="J803" s="60"/>
      <c r="K803" s="56"/>
      <c r="L803" s="56"/>
      <c r="M803" s="56"/>
      <c r="N803" s="56"/>
      <c r="O803" s="56"/>
      <c r="P803" s="56"/>
      <c r="Q803" s="56"/>
      <c r="R803" s="56"/>
      <c r="S803" s="56"/>
      <c r="T803" s="56"/>
      <c r="U803" s="56"/>
      <c r="V803" s="56"/>
      <c r="W803" s="56"/>
      <c r="X803" s="56"/>
      <c r="Y803" s="56"/>
      <c r="Z803" s="56"/>
      <c r="AA803" s="56"/>
      <c r="AB803" s="56"/>
    </row>
    <row r="804">
      <c r="A804" s="75"/>
      <c r="B804" s="69"/>
      <c r="C804" s="60"/>
      <c r="D804" s="61"/>
      <c r="E804" s="69"/>
      <c r="F804" s="60"/>
      <c r="G804" s="60"/>
      <c r="H804" s="60"/>
      <c r="I804" s="60"/>
      <c r="J804" s="60"/>
      <c r="K804" s="56"/>
      <c r="L804" s="56"/>
      <c r="M804" s="56"/>
      <c r="N804" s="56"/>
      <c r="O804" s="56"/>
      <c r="P804" s="56"/>
      <c r="Q804" s="56"/>
      <c r="R804" s="56"/>
      <c r="S804" s="56"/>
      <c r="T804" s="56"/>
      <c r="U804" s="56"/>
      <c r="V804" s="56"/>
      <c r="W804" s="56"/>
      <c r="X804" s="56"/>
      <c r="Y804" s="56"/>
      <c r="Z804" s="56"/>
      <c r="AA804" s="56"/>
      <c r="AB804" s="56"/>
    </row>
    <row r="805">
      <c r="A805" s="75"/>
      <c r="B805" s="69"/>
      <c r="C805" s="60"/>
      <c r="D805" s="61"/>
      <c r="E805" s="69"/>
      <c r="F805" s="60"/>
      <c r="G805" s="60"/>
      <c r="H805" s="60"/>
      <c r="I805" s="60"/>
      <c r="J805" s="60"/>
      <c r="K805" s="56"/>
      <c r="L805" s="56"/>
      <c r="M805" s="56"/>
      <c r="N805" s="56"/>
      <c r="O805" s="56"/>
      <c r="P805" s="56"/>
      <c r="Q805" s="56"/>
      <c r="R805" s="56"/>
      <c r="S805" s="56"/>
      <c r="T805" s="56"/>
      <c r="U805" s="56"/>
      <c r="V805" s="56"/>
      <c r="W805" s="56"/>
      <c r="X805" s="56"/>
      <c r="Y805" s="56"/>
      <c r="Z805" s="56"/>
      <c r="AA805" s="56"/>
      <c r="AB805" s="56"/>
    </row>
    <row r="806">
      <c r="A806" s="75"/>
      <c r="B806" s="69"/>
      <c r="C806" s="60"/>
      <c r="D806" s="61"/>
      <c r="E806" s="69"/>
      <c r="F806" s="60"/>
      <c r="G806" s="60"/>
      <c r="H806" s="60"/>
      <c r="I806" s="60"/>
      <c r="J806" s="60"/>
      <c r="K806" s="56"/>
      <c r="L806" s="56"/>
      <c r="M806" s="56"/>
      <c r="N806" s="56"/>
      <c r="O806" s="56"/>
      <c r="P806" s="56"/>
      <c r="Q806" s="56"/>
      <c r="R806" s="56"/>
      <c r="S806" s="56"/>
      <c r="T806" s="56"/>
      <c r="U806" s="56"/>
      <c r="V806" s="56"/>
      <c r="W806" s="56"/>
      <c r="X806" s="56"/>
      <c r="Y806" s="56"/>
      <c r="Z806" s="56"/>
      <c r="AA806" s="56"/>
      <c r="AB806" s="56"/>
    </row>
    <row r="807">
      <c r="A807" s="75"/>
      <c r="B807" s="69"/>
      <c r="C807" s="60"/>
      <c r="D807" s="61"/>
      <c r="E807" s="69"/>
      <c r="F807" s="60"/>
      <c r="G807" s="60"/>
      <c r="H807" s="60"/>
      <c r="I807" s="60"/>
      <c r="J807" s="60"/>
      <c r="K807" s="56"/>
      <c r="L807" s="56"/>
      <c r="M807" s="56"/>
      <c r="N807" s="56"/>
      <c r="O807" s="56"/>
      <c r="P807" s="56"/>
      <c r="Q807" s="56"/>
      <c r="R807" s="56"/>
      <c r="S807" s="56"/>
      <c r="T807" s="56"/>
      <c r="U807" s="56"/>
      <c r="V807" s="56"/>
      <c r="W807" s="56"/>
      <c r="X807" s="56"/>
      <c r="Y807" s="56"/>
      <c r="Z807" s="56"/>
      <c r="AA807" s="56"/>
      <c r="AB807" s="56"/>
    </row>
    <row r="808">
      <c r="A808" s="75"/>
      <c r="B808" s="69"/>
      <c r="C808" s="60"/>
      <c r="D808" s="61"/>
      <c r="E808" s="69"/>
      <c r="F808" s="60"/>
      <c r="G808" s="60"/>
      <c r="H808" s="60"/>
      <c r="I808" s="60"/>
      <c r="J808" s="60"/>
      <c r="K808" s="56"/>
      <c r="L808" s="56"/>
      <c r="M808" s="56"/>
      <c r="N808" s="56"/>
      <c r="O808" s="56"/>
      <c r="P808" s="56"/>
      <c r="Q808" s="56"/>
      <c r="R808" s="56"/>
      <c r="S808" s="56"/>
      <c r="T808" s="56"/>
      <c r="U808" s="56"/>
      <c r="V808" s="56"/>
      <c r="W808" s="56"/>
      <c r="X808" s="56"/>
      <c r="Y808" s="56"/>
      <c r="Z808" s="56"/>
      <c r="AA808" s="56"/>
      <c r="AB808" s="56"/>
    </row>
    <row r="809">
      <c r="A809" s="75"/>
      <c r="B809" s="69"/>
      <c r="C809" s="60"/>
      <c r="D809" s="61"/>
      <c r="E809" s="69"/>
      <c r="F809" s="60"/>
      <c r="G809" s="60"/>
      <c r="H809" s="60"/>
      <c r="I809" s="60"/>
      <c r="J809" s="60"/>
      <c r="K809" s="56"/>
      <c r="L809" s="56"/>
      <c r="M809" s="56"/>
      <c r="N809" s="56"/>
      <c r="O809" s="56"/>
      <c r="P809" s="56"/>
      <c r="Q809" s="56"/>
      <c r="R809" s="56"/>
      <c r="S809" s="56"/>
      <c r="T809" s="56"/>
      <c r="U809" s="56"/>
      <c r="V809" s="56"/>
      <c r="W809" s="56"/>
      <c r="X809" s="56"/>
      <c r="Y809" s="56"/>
      <c r="Z809" s="56"/>
      <c r="AA809" s="56"/>
      <c r="AB809" s="56"/>
    </row>
    <row r="810">
      <c r="A810" s="75"/>
      <c r="B810" s="69"/>
      <c r="C810" s="60"/>
      <c r="D810" s="61"/>
      <c r="E810" s="69"/>
      <c r="F810" s="60"/>
      <c r="G810" s="60"/>
      <c r="H810" s="60"/>
      <c r="I810" s="60"/>
      <c r="J810" s="60"/>
      <c r="K810" s="56"/>
      <c r="L810" s="56"/>
      <c r="M810" s="56"/>
      <c r="N810" s="56"/>
      <c r="O810" s="56"/>
      <c r="P810" s="56"/>
      <c r="Q810" s="56"/>
      <c r="R810" s="56"/>
      <c r="S810" s="56"/>
      <c r="T810" s="56"/>
      <c r="U810" s="56"/>
      <c r="V810" s="56"/>
      <c r="W810" s="56"/>
      <c r="X810" s="56"/>
      <c r="Y810" s="56"/>
      <c r="Z810" s="56"/>
      <c r="AA810" s="56"/>
      <c r="AB810" s="56"/>
    </row>
    <row r="811">
      <c r="A811" s="75"/>
      <c r="B811" s="69"/>
      <c r="C811" s="60"/>
      <c r="D811" s="61"/>
      <c r="E811" s="69"/>
      <c r="F811" s="60"/>
      <c r="G811" s="60"/>
      <c r="H811" s="60"/>
      <c r="I811" s="60"/>
      <c r="J811" s="60"/>
      <c r="K811" s="56"/>
      <c r="L811" s="56"/>
      <c r="M811" s="56"/>
      <c r="N811" s="56"/>
      <c r="O811" s="56"/>
      <c r="P811" s="56"/>
      <c r="Q811" s="56"/>
      <c r="R811" s="56"/>
      <c r="S811" s="56"/>
      <c r="T811" s="56"/>
      <c r="U811" s="56"/>
      <c r="V811" s="56"/>
      <c r="W811" s="56"/>
      <c r="X811" s="56"/>
      <c r="Y811" s="56"/>
      <c r="Z811" s="56"/>
      <c r="AA811" s="56"/>
      <c r="AB811" s="56"/>
    </row>
    <row r="812">
      <c r="A812" s="75"/>
      <c r="B812" s="69"/>
      <c r="C812" s="60"/>
      <c r="D812" s="61"/>
      <c r="E812" s="69"/>
      <c r="F812" s="60"/>
      <c r="G812" s="60"/>
      <c r="H812" s="60"/>
      <c r="I812" s="60"/>
      <c r="J812" s="60"/>
      <c r="K812" s="56"/>
      <c r="L812" s="56"/>
      <c r="M812" s="56"/>
      <c r="N812" s="56"/>
      <c r="O812" s="56"/>
      <c r="P812" s="56"/>
      <c r="Q812" s="56"/>
      <c r="R812" s="56"/>
      <c r="S812" s="56"/>
      <c r="T812" s="56"/>
      <c r="U812" s="56"/>
      <c r="V812" s="56"/>
      <c r="W812" s="56"/>
      <c r="X812" s="56"/>
      <c r="Y812" s="56"/>
      <c r="Z812" s="56"/>
      <c r="AA812" s="56"/>
      <c r="AB812" s="56"/>
    </row>
    <row r="813">
      <c r="A813" s="75"/>
      <c r="B813" s="69"/>
      <c r="C813" s="60"/>
      <c r="D813" s="61"/>
      <c r="E813" s="69"/>
      <c r="F813" s="60"/>
      <c r="G813" s="60"/>
      <c r="H813" s="60"/>
      <c r="I813" s="60"/>
      <c r="J813" s="60"/>
      <c r="K813" s="56"/>
      <c r="L813" s="56"/>
      <c r="M813" s="56"/>
      <c r="N813" s="56"/>
      <c r="O813" s="56"/>
      <c r="P813" s="56"/>
      <c r="Q813" s="56"/>
      <c r="R813" s="56"/>
      <c r="S813" s="56"/>
      <c r="T813" s="56"/>
      <c r="U813" s="56"/>
      <c r="V813" s="56"/>
      <c r="W813" s="56"/>
      <c r="X813" s="56"/>
      <c r="Y813" s="56"/>
      <c r="Z813" s="56"/>
      <c r="AA813" s="56"/>
      <c r="AB813" s="56"/>
    </row>
    <row r="814">
      <c r="A814" s="75"/>
      <c r="B814" s="69"/>
      <c r="C814" s="60"/>
      <c r="D814" s="61"/>
      <c r="E814" s="69"/>
      <c r="F814" s="60"/>
      <c r="G814" s="60"/>
      <c r="H814" s="60"/>
      <c r="I814" s="60"/>
      <c r="J814" s="60"/>
      <c r="K814" s="56"/>
      <c r="L814" s="56"/>
      <c r="M814" s="56"/>
      <c r="N814" s="56"/>
      <c r="O814" s="56"/>
      <c r="P814" s="56"/>
      <c r="Q814" s="56"/>
      <c r="R814" s="56"/>
      <c r="S814" s="56"/>
      <c r="T814" s="56"/>
      <c r="U814" s="56"/>
      <c r="V814" s="56"/>
      <c r="W814" s="56"/>
      <c r="X814" s="56"/>
      <c r="Y814" s="56"/>
      <c r="Z814" s="56"/>
      <c r="AA814" s="56"/>
      <c r="AB814" s="56"/>
    </row>
    <row r="815">
      <c r="A815" s="75"/>
      <c r="B815" s="69"/>
      <c r="C815" s="60"/>
      <c r="D815" s="61"/>
      <c r="E815" s="69"/>
      <c r="F815" s="60"/>
      <c r="G815" s="60"/>
      <c r="H815" s="60"/>
      <c r="I815" s="60"/>
      <c r="J815" s="60"/>
      <c r="K815" s="56"/>
      <c r="L815" s="56"/>
      <c r="M815" s="56"/>
      <c r="N815" s="56"/>
      <c r="O815" s="56"/>
      <c r="P815" s="56"/>
      <c r="Q815" s="56"/>
      <c r="R815" s="56"/>
      <c r="S815" s="56"/>
      <c r="T815" s="56"/>
      <c r="U815" s="56"/>
      <c r="V815" s="56"/>
      <c r="W815" s="56"/>
      <c r="X815" s="56"/>
      <c r="Y815" s="56"/>
      <c r="Z815" s="56"/>
      <c r="AA815" s="56"/>
      <c r="AB815" s="56"/>
    </row>
    <row r="816">
      <c r="A816" s="75"/>
      <c r="B816" s="69"/>
      <c r="C816" s="60"/>
      <c r="D816" s="61"/>
      <c r="E816" s="69"/>
      <c r="F816" s="60"/>
      <c r="G816" s="60"/>
      <c r="H816" s="60"/>
      <c r="I816" s="60"/>
      <c r="J816" s="60"/>
      <c r="K816" s="56"/>
      <c r="L816" s="56"/>
      <c r="M816" s="56"/>
      <c r="N816" s="56"/>
      <c r="O816" s="56"/>
      <c r="P816" s="56"/>
      <c r="Q816" s="56"/>
      <c r="R816" s="56"/>
      <c r="S816" s="56"/>
      <c r="T816" s="56"/>
      <c r="U816" s="56"/>
      <c r="V816" s="56"/>
      <c r="W816" s="56"/>
      <c r="X816" s="56"/>
      <c r="Y816" s="56"/>
      <c r="Z816" s="56"/>
      <c r="AA816" s="56"/>
      <c r="AB816" s="56"/>
    </row>
    <row r="817">
      <c r="A817" s="75"/>
      <c r="B817" s="69"/>
      <c r="C817" s="60"/>
      <c r="D817" s="61"/>
      <c r="E817" s="69"/>
      <c r="F817" s="60"/>
      <c r="G817" s="60"/>
      <c r="H817" s="60"/>
      <c r="I817" s="60"/>
      <c r="J817" s="60"/>
      <c r="K817" s="56"/>
      <c r="L817" s="56"/>
      <c r="M817" s="56"/>
      <c r="N817" s="56"/>
      <c r="O817" s="56"/>
      <c r="P817" s="56"/>
      <c r="Q817" s="56"/>
      <c r="R817" s="56"/>
      <c r="S817" s="56"/>
      <c r="T817" s="56"/>
      <c r="U817" s="56"/>
      <c r="V817" s="56"/>
      <c r="W817" s="56"/>
      <c r="X817" s="56"/>
      <c r="Y817" s="56"/>
      <c r="Z817" s="56"/>
      <c r="AA817" s="56"/>
      <c r="AB817" s="56"/>
    </row>
    <row r="818">
      <c r="A818" s="75"/>
      <c r="B818" s="69"/>
      <c r="C818" s="60"/>
      <c r="D818" s="61"/>
      <c r="E818" s="69"/>
      <c r="F818" s="60"/>
      <c r="G818" s="60"/>
      <c r="H818" s="60"/>
      <c r="I818" s="60"/>
      <c r="J818" s="60"/>
      <c r="K818" s="56"/>
      <c r="L818" s="56"/>
      <c r="M818" s="56"/>
      <c r="N818" s="56"/>
      <c r="O818" s="56"/>
      <c r="P818" s="56"/>
      <c r="Q818" s="56"/>
      <c r="R818" s="56"/>
      <c r="S818" s="56"/>
      <c r="T818" s="56"/>
      <c r="U818" s="56"/>
      <c r="V818" s="56"/>
      <c r="W818" s="56"/>
      <c r="X818" s="56"/>
      <c r="Y818" s="56"/>
      <c r="Z818" s="56"/>
      <c r="AA818" s="56"/>
      <c r="AB818" s="56"/>
    </row>
    <row r="819">
      <c r="A819" s="75"/>
      <c r="B819" s="69"/>
      <c r="C819" s="60"/>
      <c r="D819" s="61"/>
      <c r="E819" s="69"/>
      <c r="F819" s="60"/>
      <c r="G819" s="60"/>
      <c r="H819" s="60"/>
      <c r="I819" s="60"/>
      <c r="J819" s="60"/>
      <c r="K819" s="56"/>
      <c r="L819" s="56"/>
      <c r="M819" s="56"/>
      <c r="N819" s="56"/>
      <c r="O819" s="56"/>
      <c r="P819" s="56"/>
      <c r="Q819" s="56"/>
      <c r="R819" s="56"/>
      <c r="S819" s="56"/>
      <c r="T819" s="56"/>
      <c r="U819" s="56"/>
      <c r="V819" s="56"/>
      <c r="W819" s="56"/>
      <c r="X819" s="56"/>
      <c r="Y819" s="56"/>
      <c r="Z819" s="56"/>
      <c r="AA819" s="56"/>
      <c r="AB819" s="56"/>
    </row>
    <row r="820">
      <c r="A820" s="75"/>
      <c r="B820" s="69"/>
      <c r="C820" s="60"/>
      <c r="D820" s="61"/>
      <c r="E820" s="69"/>
      <c r="F820" s="60"/>
      <c r="G820" s="60"/>
      <c r="H820" s="60"/>
      <c r="I820" s="60"/>
      <c r="J820" s="60"/>
      <c r="K820" s="56"/>
      <c r="L820" s="56"/>
      <c r="M820" s="56"/>
      <c r="N820" s="56"/>
      <c r="O820" s="56"/>
      <c r="P820" s="56"/>
      <c r="Q820" s="56"/>
      <c r="R820" s="56"/>
      <c r="S820" s="56"/>
      <c r="T820" s="56"/>
      <c r="U820" s="56"/>
      <c r="V820" s="56"/>
      <c r="W820" s="56"/>
      <c r="X820" s="56"/>
      <c r="Y820" s="56"/>
      <c r="Z820" s="56"/>
      <c r="AA820" s="56"/>
      <c r="AB820" s="56"/>
    </row>
    <row r="821">
      <c r="A821" s="75"/>
      <c r="B821" s="69"/>
      <c r="C821" s="60"/>
      <c r="D821" s="61"/>
      <c r="E821" s="69"/>
      <c r="F821" s="60"/>
      <c r="G821" s="60"/>
      <c r="H821" s="60"/>
      <c r="I821" s="60"/>
      <c r="J821" s="60"/>
      <c r="K821" s="56"/>
      <c r="L821" s="56"/>
      <c r="M821" s="56"/>
      <c r="N821" s="56"/>
      <c r="O821" s="56"/>
      <c r="P821" s="56"/>
      <c r="Q821" s="56"/>
      <c r="R821" s="56"/>
      <c r="S821" s="56"/>
      <c r="T821" s="56"/>
      <c r="U821" s="56"/>
      <c r="V821" s="56"/>
      <c r="W821" s="56"/>
      <c r="X821" s="56"/>
      <c r="Y821" s="56"/>
      <c r="Z821" s="56"/>
      <c r="AA821" s="56"/>
      <c r="AB821" s="56"/>
    </row>
    <row r="822">
      <c r="A822" s="75"/>
      <c r="B822" s="69"/>
      <c r="C822" s="60"/>
      <c r="D822" s="61"/>
      <c r="E822" s="69"/>
      <c r="F822" s="60"/>
      <c r="G822" s="60"/>
      <c r="H822" s="60"/>
      <c r="I822" s="60"/>
      <c r="J822" s="60"/>
      <c r="K822" s="56"/>
      <c r="L822" s="56"/>
      <c r="M822" s="56"/>
      <c r="N822" s="56"/>
      <c r="O822" s="56"/>
      <c r="P822" s="56"/>
      <c r="Q822" s="56"/>
      <c r="R822" s="56"/>
      <c r="S822" s="56"/>
      <c r="T822" s="56"/>
      <c r="U822" s="56"/>
      <c r="V822" s="56"/>
      <c r="W822" s="56"/>
      <c r="X822" s="56"/>
      <c r="Y822" s="56"/>
      <c r="Z822" s="56"/>
      <c r="AA822" s="56"/>
      <c r="AB822" s="56"/>
    </row>
    <row r="823">
      <c r="A823" s="75"/>
      <c r="B823" s="69"/>
      <c r="C823" s="60"/>
      <c r="D823" s="61"/>
      <c r="E823" s="69"/>
      <c r="F823" s="60"/>
      <c r="G823" s="60"/>
      <c r="H823" s="60"/>
      <c r="I823" s="60"/>
      <c r="J823" s="60"/>
      <c r="K823" s="56"/>
      <c r="L823" s="56"/>
      <c r="M823" s="56"/>
      <c r="N823" s="56"/>
      <c r="O823" s="56"/>
      <c r="P823" s="56"/>
      <c r="Q823" s="56"/>
      <c r="R823" s="56"/>
      <c r="S823" s="56"/>
      <c r="T823" s="56"/>
      <c r="U823" s="56"/>
      <c r="V823" s="56"/>
      <c r="W823" s="56"/>
      <c r="X823" s="56"/>
      <c r="Y823" s="56"/>
      <c r="Z823" s="56"/>
      <c r="AA823" s="56"/>
      <c r="AB823" s="56"/>
    </row>
    <row r="824">
      <c r="A824" s="75"/>
      <c r="B824" s="69"/>
      <c r="C824" s="60"/>
      <c r="D824" s="61"/>
      <c r="E824" s="69"/>
      <c r="F824" s="60"/>
      <c r="G824" s="60"/>
      <c r="H824" s="60"/>
      <c r="I824" s="60"/>
      <c r="J824" s="60"/>
      <c r="K824" s="56"/>
      <c r="L824" s="56"/>
      <c r="M824" s="56"/>
      <c r="N824" s="56"/>
      <c r="O824" s="56"/>
      <c r="P824" s="56"/>
      <c r="Q824" s="56"/>
      <c r="R824" s="56"/>
      <c r="S824" s="56"/>
      <c r="T824" s="56"/>
      <c r="U824" s="56"/>
      <c r="V824" s="56"/>
      <c r="W824" s="56"/>
      <c r="X824" s="56"/>
      <c r="Y824" s="56"/>
      <c r="Z824" s="56"/>
      <c r="AA824" s="56"/>
      <c r="AB824" s="56"/>
    </row>
    <row r="825">
      <c r="A825" s="75"/>
      <c r="B825" s="69"/>
      <c r="C825" s="60"/>
      <c r="D825" s="61"/>
      <c r="E825" s="69"/>
      <c r="F825" s="60"/>
      <c r="G825" s="60"/>
      <c r="H825" s="60"/>
      <c r="I825" s="60"/>
      <c r="J825" s="60"/>
      <c r="K825" s="56"/>
      <c r="L825" s="56"/>
      <c r="M825" s="56"/>
      <c r="N825" s="56"/>
      <c r="O825" s="56"/>
      <c r="P825" s="56"/>
      <c r="Q825" s="56"/>
      <c r="R825" s="56"/>
      <c r="S825" s="56"/>
      <c r="T825" s="56"/>
      <c r="U825" s="56"/>
      <c r="V825" s="56"/>
      <c r="W825" s="56"/>
      <c r="X825" s="56"/>
      <c r="Y825" s="56"/>
      <c r="Z825" s="56"/>
      <c r="AA825" s="56"/>
      <c r="AB825" s="56"/>
    </row>
    <row r="826">
      <c r="A826" s="75"/>
      <c r="B826" s="69"/>
      <c r="C826" s="60"/>
      <c r="D826" s="61"/>
      <c r="E826" s="69"/>
      <c r="F826" s="60"/>
      <c r="G826" s="60"/>
      <c r="H826" s="60"/>
      <c r="I826" s="60"/>
      <c r="J826" s="60"/>
      <c r="K826" s="56"/>
      <c r="L826" s="56"/>
      <c r="M826" s="56"/>
      <c r="N826" s="56"/>
      <c r="O826" s="56"/>
      <c r="P826" s="56"/>
      <c r="Q826" s="56"/>
      <c r="R826" s="56"/>
      <c r="S826" s="56"/>
      <c r="T826" s="56"/>
      <c r="U826" s="56"/>
      <c r="V826" s="56"/>
      <c r="W826" s="56"/>
      <c r="X826" s="56"/>
      <c r="Y826" s="56"/>
      <c r="Z826" s="56"/>
      <c r="AA826" s="56"/>
      <c r="AB826" s="56"/>
    </row>
    <row r="827">
      <c r="A827" s="75"/>
      <c r="B827" s="69"/>
      <c r="C827" s="60"/>
      <c r="D827" s="61"/>
      <c r="E827" s="69"/>
      <c r="F827" s="60"/>
      <c r="G827" s="60"/>
      <c r="H827" s="60"/>
      <c r="I827" s="60"/>
      <c r="J827" s="60"/>
      <c r="K827" s="56"/>
      <c r="L827" s="56"/>
      <c r="M827" s="56"/>
      <c r="N827" s="56"/>
      <c r="O827" s="56"/>
      <c r="P827" s="56"/>
      <c r="Q827" s="56"/>
      <c r="R827" s="56"/>
      <c r="S827" s="56"/>
      <c r="T827" s="56"/>
      <c r="U827" s="56"/>
      <c r="V827" s="56"/>
      <c r="W827" s="56"/>
      <c r="X827" s="56"/>
      <c r="Y827" s="56"/>
      <c r="Z827" s="56"/>
      <c r="AA827" s="56"/>
      <c r="AB827" s="56"/>
    </row>
    <row r="828">
      <c r="A828" s="75"/>
      <c r="B828" s="69"/>
      <c r="C828" s="60"/>
      <c r="D828" s="61"/>
      <c r="E828" s="69"/>
      <c r="F828" s="60"/>
      <c r="G828" s="60"/>
      <c r="H828" s="60"/>
      <c r="I828" s="60"/>
      <c r="J828" s="60"/>
      <c r="K828" s="56"/>
      <c r="L828" s="56"/>
      <c r="M828" s="56"/>
      <c r="N828" s="56"/>
      <c r="O828" s="56"/>
      <c r="P828" s="56"/>
      <c r="Q828" s="56"/>
      <c r="R828" s="56"/>
      <c r="S828" s="56"/>
      <c r="T828" s="56"/>
      <c r="U828" s="56"/>
      <c r="V828" s="56"/>
      <c r="W828" s="56"/>
      <c r="X828" s="56"/>
      <c r="Y828" s="56"/>
      <c r="Z828" s="56"/>
      <c r="AA828" s="56"/>
      <c r="AB828" s="56"/>
    </row>
    <row r="829">
      <c r="A829" s="75"/>
      <c r="B829" s="69"/>
      <c r="C829" s="60"/>
      <c r="D829" s="61"/>
      <c r="E829" s="69"/>
      <c r="F829" s="60"/>
      <c r="G829" s="60"/>
      <c r="H829" s="60"/>
      <c r="I829" s="60"/>
      <c r="J829" s="60"/>
      <c r="K829" s="56"/>
      <c r="L829" s="56"/>
      <c r="M829" s="56"/>
      <c r="N829" s="56"/>
      <c r="O829" s="56"/>
      <c r="P829" s="56"/>
      <c r="Q829" s="56"/>
      <c r="R829" s="56"/>
      <c r="S829" s="56"/>
      <c r="T829" s="56"/>
      <c r="U829" s="56"/>
      <c r="V829" s="56"/>
      <c r="W829" s="56"/>
      <c r="X829" s="56"/>
      <c r="Y829" s="56"/>
      <c r="Z829" s="56"/>
      <c r="AA829" s="56"/>
      <c r="AB829" s="56"/>
    </row>
    <row r="830">
      <c r="A830" s="75"/>
      <c r="B830" s="69"/>
      <c r="C830" s="60"/>
      <c r="D830" s="61"/>
      <c r="E830" s="69"/>
      <c r="F830" s="60"/>
      <c r="G830" s="60"/>
      <c r="H830" s="60"/>
      <c r="I830" s="60"/>
      <c r="J830" s="60"/>
      <c r="K830" s="56"/>
      <c r="L830" s="56"/>
      <c r="M830" s="56"/>
      <c r="N830" s="56"/>
      <c r="O830" s="56"/>
      <c r="P830" s="56"/>
      <c r="Q830" s="56"/>
      <c r="R830" s="56"/>
      <c r="S830" s="56"/>
      <c r="T830" s="56"/>
      <c r="U830" s="56"/>
      <c r="V830" s="56"/>
      <c r="W830" s="56"/>
      <c r="X830" s="56"/>
      <c r="Y830" s="56"/>
      <c r="Z830" s="56"/>
      <c r="AA830" s="56"/>
      <c r="AB830" s="56"/>
    </row>
    <row r="831">
      <c r="A831" s="75"/>
      <c r="B831" s="69"/>
      <c r="C831" s="60"/>
      <c r="D831" s="61"/>
      <c r="E831" s="69"/>
      <c r="F831" s="60"/>
      <c r="G831" s="60"/>
      <c r="H831" s="60"/>
      <c r="I831" s="60"/>
      <c r="J831" s="60"/>
      <c r="K831" s="56"/>
      <c r="L831" s="56"/>
      <c r="M831" s="56"/>
      <c r="N831" s="56"/>
      <c r="O831" s="56"/>
      <c r="P831" s="56"/>
      <c r="Q831" s="56"/>
      <c r="R831" s="56"/>
      <c r="S831" s="56"/>
      <c r="T831" s="56"/>
      <c r="U831" s="56"/>
      <c r="V831" s="56"/>
      <c r="W831" s="56"/>
      <c r="X831" s="56"/>
      <c r="Y831" s="56"/>
      <c r="Z831" s="56"/>
      <c r="AA831" s="56"/>
      <c r="AB831" s="56"/>
    </row>
    <row r="832">
      <c r="A832" s="75"/>
      <c r="B832" s="69"/>
      <c r="C832" s="60"/>
      <c r="D832" s="61"/>
      <c r="E832" s="69"/>
      <c r="F832" s="60"/>
      <c r="G832" s="60"/>
      <c r="H832" s="60"/>
      <c r="I832" s="60"/>
      <c r="J832" s="60"/>
      <c r="K832" s="56"/>
      <c r="L832" s="56"/>
      <c r="M832" s="56"/>
      <c r="N832" s="56"/>
      <c r="O832" s="56"/>
      <c r="P832" s="56"/>
      <c r="Q832" s="56"/>
      <c r="R832" s="56"/>
      <c r="S832" s="56"/>
      <c r="T832" s="56"/>
      <c r="U832" s="56"/>
      <c r="V832" s="56"/>
      <c r="W832" s="56"/>
      <c r="X832" s="56"/>
      <c r="Y832" s="56"/>
      <c r="Z832" s="56"/>
      <c r="AA832" s="56"/>
      <c r="AB832" s="56"/>
    </row>
    <row r="833">
      <c r="A833" s="75"/>
      <c r="B833" s="69"/>
      <c r="C833" s="60"/>
      <c r="D833" s="61"/>
      <c r="E833" s="69"/>
      <c r="F833" s="60"/>
      <c r="G833" s="60"/>
      <c r="H833" s="60"/>
      <c r="I833" s="60"/>
      <c r="J833" s="60"/>
      <c r="K833" s="56"/>
      <c r="L833" s="56"/>
      <c r="M833" s="56"/>
      <c r="N833" s="56"/>
      <c r="O833" s="56"/>
      <c r="P833" s="56"/>
      <c r="Q833" s="56"/>
      <c r="R833" s="56"/>
      <c r="S833" s="56"/>
      <c r="T833" s="56"/>
      <c r="U833" s="56"/>
      <c r="V833" s="56"/>
      <c r="W833" s="56"/>
      <c r="X833" s="56"/>
      <c r="Y833" s="56"/>
      <c r="Z833" s="56"/>
      <c r="AA833" s="56"/>
      <c r="AB833" s="56"/>
    </row>
    <row r="834">
      <c r="A834" s="75"/>
      <c r="B834" s="69"/>
      <c r="C834" s="60"/>
      <c r="D834" s="61"/>
      <c r="E834" s="69"/>
      <c r="F834" s="60"/>
      <c r="G834" s="60"/>
      <c r="H834" s="60"/>
      <c r="I834" s="60"/>
      <c r="J834" s="60"/>
      <c r="K834" s="56"/>
      <c r="L834" s="56"/>
      <c r="M834" s="56"/>
      <c r="N834" s="56"/>
      <c r="O834" s="56"/>
      <c r="P834" s="56"/>
      <c r="Q834" s="56"/>
      <c r="R834" s="56"/>
      <c r="S834" s="56"/>
      <c r="T834" s="56"/>
      <c r="U834" s="56"/>
      <c r="V834" s="56"/>
      <c r="W834" s="56"/>
      <c r="X834" s="56"/>
      <c r="Y834" s="56"/>
      <c r="Z834" s="56"/>
      <c r="AA834" s="56"/>
      <c r="AB834" s="56"/>
    </row>
    <row r="835">
      <c r="A835" s="75"/>
      <c r="B835" s="69"/>
      <c r="C835" s="60"/>
      <c r="D835" s="61"/>
      <c r="E835" s="69"/>
      <c r="F835" s="60"/>
      <c r="G835" s="60"/>
      <c r="H835" s="60"/>
      <c r="I835" s="60"/>
      <c r="J835" s="60"/>
      <c r="K835" s="56"/>
      <c r="L835" s="56"/>
      <c r="M835" s="56"/>
      <c r="N835" s="56"/>
      <c r="O835" s="56"/>
      <c r="P835" s="56"/>
      <c r="Q835" s="56"/>
      <c r="R835" s="56"/>
      <c r="S835" s="56"/>
      <c r="T835" s="56"/>
      <c r="U835" s="56"/>
      <c r="V835" s="56"/>
      <c r="W835" s="56"/>
      <c r="X835" s="56"/>
      <c r="Y835" s="56"/>
      <c r="Z835" s="56"/>
      <c r="AA835" s="56"/>
      <c r="AB835" s="56"/>
    </row>
    <row r="836">
      <c r="A836" s="75"/>
      <c r="B836" s="69"/>
      <c r="C836" s="60"/>
      <c r="D836" s="61"/>
      <c r="E836" s="69"/>
      <c r="F836" s="60"/>
      <c r="G836" s="60"/>
      <c r="H836" s="60"/>
      <c r="I836" s="60"/>
      <c r="J836" s="60"/>
      <c r="K836" s="56"/>
      <c r="L836" s="56"/>
      <c r="M836" s="56"/>
      <c r="N836" s="56"/>
      <c r="O836" s="56"/>
      <c r="P836" s="56"/>
      <c r="Q836" s="56"/>
      <c r="R836" s="56"/>
      <c r="S836" s="56"/>
      <c r="T836" s="56"/>
      <c r="U836" s="56"/>
      <c r="V836" s="56"/>
      <c r="W836" s="56"/>
      <c r="X836" s="56"/>
      <c r="Y836" s="56"/>
      <c r="Z836" s="56"/>
      <c r="AA836" s="56"/>
      <c r="AB836" s="56"/>
    </row>
    <row r="837">
      <c r="A837" s="75"/>
      <c r="B837" s="69"/>
      <c r="C837" s="60"/>
      <c r="D837" s="61"/>
      <c r="E837" s="69"/>
      <c r="F837" s="60"/>
      <c r="G837" s="60"/>
      <c r="H837" s="60"/>
      <c r="I837" s="60"/>
      <c r="J837" s="60"/>
      <c r="K837" s="56"/>
      <c r="L837" s="56"/>
      <c r="M837" s="56"/>
      <c r="N837" s="56"/>
      <c r="O837" s="56"/>
      <c r="P837" s="56"/>
      <c r="Q837" s="56"/>
      <c r="R837" s="56"/>
      <c r="S837" s="56"/>
      <c r="T837" s="56"/>
      <c r="U837" s="56"/>
      <c r="V837" s="56"/>
      <c r="W837" s="56"/>
      <c r="X837" s="56"/>
      <c r="Y837" s="56"/>
      <c r="Z837" s="56"/>
      <c r="AA837" s="56"/>
      <c r="AB837" s="56"/>
    </row>
    <row r="838">
      <c r="A838" s="75"/>
      <c r="B838" s="69"/>
      <c r="C838" s="60"/>
      <c r="D838" s="61"/>
      <c r="E838" s="69"/>
      <c r="F838" s="60"/>
      <c r="G838" s="60"/>
      <c r="H838" s="60"/>
      <c r="I838" s="60"/>
      <c r="J838" s="60"/>
      <c r="K838" s="56"/>
      <c r="L838" s="56"/>
      <c r="M838" s="56"/>
      <c r="N838" s="56"/>
      <c r="O838" s="56"/>
      <c r="P838" s="56"/>
      <c r="Q838" s="56"/>
      <c r="R838" s="56"/>
      <c r="S838" s="56"/>
      <c r="T838" s="56"/>
      <c r="U838" s="56"/>
      <c r="V838" s="56"/>
      <c r="W838" s="56"/>
      <c r="X838" s="56"/>
      <c r="Y838" s="56"/>
      <c r="Z838" s="56"/>
      <c r="AA838" s="56"/>
      <c r="AB838" s="56"/>
    </row>
    <row r="839">
      <c r="A839" s="75"/>
      <c r="B839" s="69"/>
      <c r="C839" s="60"/>
      <c r="D839" s="61"/>
      <c r="E839" s="69"/>
      <c r="F839" s="60"/>
      <c r="G839" s="60"/>
      <c r="H839" s="60"/>
      <c r="I839" s="60"/>
      <c r="J839" s="60"/>
      <c r="K839" s="56"/>
      <c r="L839" s="56"/>
      <c r="M839" s="56"/>
      <c r="N839" s="56"/>
      <c r="O839" s="56"/>
      <c r="P839" s="56"/>
      <c r="Q839" s="56"/>
      <c r="R839" s="56"/>
      <c r="S839" s="56"/>
      <c r="T839" s="56"/>
      <c r="U839" s="56"/>
      <c r="V839" s="56"/>
      <c r="W839" s="56"/>
      <c r="X839" s="56"/>
      <c r="Y839" s="56"/>
      <c r="Z839" s="56"/>
      <c r="AA839" s="56"/>
      <c r="AB839" s="56"/>
    </row>
    <row r="840">
      <c r="A840" s="75"/>
      <c r="B840" s="69"/>
      <c r="C840" s="60"/>
      <c r="D840" s="61"/>
      <c r="E840" s="69"/>
      <c r="F840" s="60"/>
      <c r="G840" s="60"/>
      <c r="H840" s="60"/>
      <c r="I840" s="60"/>
      <c r="J840" s="60"/>
      <c r="K840" s="56"/>
      <c r="L840" s="56"/>
      <c r="M840" s="56"/>
      <c r="N840" s="56"/>
      <c r="O840" s="56"/>
      <c r="P840" s="56"/>
      <c r="Q840" s="56"/>
      <c r="R840" s="56"/>
      <c r="S840" s="56"/>
      <c r="T840" s="56"/>
      <c r="U840" s="56"/>
      <c r="V840" s="56"/>
      <c r="W840" s="56"/>
      <c r="X840" s="56"/>
      <c r="Y840" s="56"/>
      <c r="Z840" s="56"/>
      <c r="AA840" s="56"/>
      <c r="AB840" s="56"/>
    </row>
    <row r="841">
      <c r="A841" s="75"/>
      <c r="B841" s="69"/>
      <c r="C841" s="60"/>
      <c r="D841" s="61"/>
      <c r="E841" s="69"/>
      <c r="F841" s="60"/>
      <c r="G841" s="60"/>
      <c r="H841" s="60"/>
      <c r="I841" s="60"/>
      <c r="J841" s="60"/>
      <c r="K841" s="56"/>
      <c r="L841" s="56"/>
      <c r="M841" s="56"/>
      <c r="N841" s="56"/>
      <c r="O841" s="56"/>
      <c r="P841" s="56"/>
      <c r="Q841" s="56"/>
      <c r="R841" s="56"/>
      <c r="S841" s="56"/>
      <c r="T841" s="56"/>
      <c r="U841" s="56"/>
      <c r="V841" s="56"/>
      <c r="W841" s="56"/>
      <c r="X841" s="56"/>
      <c r="Y841" s="56"/>
      <c r="Z841" s="56"/>
      <c r="AA841" s="56"/>
      <c r="AB841" s="56"/>
    </row>
    <row r="842">
      <c r="A842" s="75"/>
      <c r="B842" s="69"/>
      <c r="C842" s="60"/>
      <c r="D842" s="61"/>
      <c r="E842" s="69"/>
      <c r="F842" s="60"/>
      <c r="G842" s="60"/>
      <c r="H842" s="60"/>
      <c r="I842" s="60"/>
      <c r="J842" s="60"/>
      <c r="K842" s="56"/>
      <c r="L842" s="56"/>
      <c r="M842" s="56"/>
      <c r="N842" s="56"/>
      <c r="O842" s="56"/>
      <c r="P842" s="56"/>
      <c r="Q842" s="56"/>
      <c r="R842" s="56"/>
      <c r="S842" s="56"/>
      <c r="T842" s="56"/>
      <c r="U842" s="56"/>
      <c r="V842" s="56"/>
      <c r="W842" s="56"/>
      <c r="X842" s="56"/>
      <c r="Y842" s="56"/>
      <c r="Z842" s="56"/>
      <c r="AA842" s="56"/>
      <c r="AB842" s="56"/>
    </row>
    <row r="843">
      <c r="A843" s="75"/>
      <c r="B843" s="69"/>
      <c r="C843" s="60"/>
      <c r="D843" s="61"/>
      <c r="E843" s="69"/>
      <c r="F843" s="60"/>
      <c r="G843" s="60"/>
      <c r="H843" s="60"/>
      <c r="I843" s="60"/>
      <c r="J843" s="60"/>
      <c r="K843" s="56"/>
      <c r="L843" s="56"/>
      <c r="M843" s="56"/>
      <c r="N843" s="56"/>
      <c r="O843" s="56"/>
      <c r="P843" s="56"/>
      <c r="Q843" s="56"/>
      <c r="R843" s="56"/>
      <c r="S843" s="56"/>
      <c r="T843" s="56"/>
      <c r="U843" s="56"/>
      <c r="V843" s="56"/>
      <c r="W843" s="56"/>
      <c r="X843" s="56"/>
      <c r="Y843" s="56"/>
      <c r="Z843" s="56"/>
      <c r="AA843" s="56"/>
      <c r="AB843" s="56"/>
    </row>
    <row r="844">
      <c r="A844" s="75"/>
      <c r="B844" s="69"/>
      <c r="C844" s="60"/>
      <c r="D844" s="61"/>
      <c r="E844" s="69"/>
      <c r="F844" s="60"/>
      <c r="G844" s="60"/>
      <c r="H844" s="60"/>
      <c r="I844" s="60"/>
      <c r="J844" s="60"/>
      <c r="K844" s="56"/>
      <c r="L844" s="56"/>
      <c r="M844" s="56"/>
      <c r="N844" s="56"/>
      <c r="O844" s="56"/>
      <c r="P844" s="56"/>
      <c r="Q844" s="56"/>
      <c r="R844" s="56"/>
      <c r="S844" s="56"/>
      <c r="T844" s="56"/>
      <c r="U844" s="56"/>
      <c r="V844" s="56"/>
      <c r="W844" s="56"/>
      <c r="X844" s="56"/>
      <c r="Y844" s="56"/>
      <c r="Z844" s="56"/>
      <c r="AA844" s="56"/>
      <c r="AB844" s="56"/>
    </row>
    <row r="845">
      <c r="A845" s="75"/>
      <c r="B845" s="69"/>
      <c r="C845" s="60"/>
      <c r="D845" s="61"/>
      <c r="E845" s="69"/>
      <c r="F845" s="60"/>
      <c r="G845" s="60"/>
      <c r="H845" s="60"/>
      <c r="I845" s="60"/>
      <c r="J845" s="60"/>
      <c r="K845" s="56"/>
      <c r="L845" s="56"/>
      <c r="M845" s="56"/>
      <c r="N845" s="56"/>
      <c r="O845" s="56"/>
      <c r="P845" s="56"/>
      <c r="Q845" s="56"/>
      <c r="R845" s="56"/>
      <c r="S845" s="56"/>
      <c r="T845" s="56"/>
      <c r="U845" s="56"/>
      <c r="V845" s="56"/>
      <c r="W845" s="56"/>
      <c r="X845" s="56"/>
      <c r="Y845" s="56"/>
      <c r="Z845" s="56"/>
      <c r="AA845" s="56"/>
      <c r="AB845" s="56"/>
    </row>
    <row r="846">
      <c r="A846" s="75"/>
      <c r="B846" s="69"/>
      <c r="C846" s="60"/>
      <c r="D846" s="61"/>
      <c r="E846" s="69"/>
      <c r="F846" s="60"/>
      <c r="G846" s="60"/>
      <c r="H846" s="60"/>
      <c r="I846" s="60"/>
      <c r="J846" s="60"/>
      <c r="K846" s="56"/>
      <c r="L846" s="56"/>
      <c r="M846" s="56"/>
      <c r="N846" s="56"/>
      <c r="O846" s="56"/>
      <c r="P846" s="56"/>
      <c r="Q846" s="56"/>
      <c r="R846" s="56"/>
      <c r="S846" s="56"/>
      <c r="T846" s="56"/>
      <c r="U846" s="56"/>
      <c r="V846" s="56"/>
      <c r="W846" s="56"/>
      <c r="X846" s="56"/>
      <c r="Y846" s="56"/>
      <c r="Z846" s="56"/>
      <c r="AA846" s="56"/>
      <c r="AB846" s="56"/>
    </row>
    <row r="847">
      <c r="A847" s="75"/>
      <c r="B847" s="69"/>
      <c r="C847" s="60"/>
      <c r="D847" s="61"/>
      <c r="E847" s="69"/>
      <c r="F847" s="60"/>
      <c r="G847" s="60"/>
      <c r="H847" s="60"/>
      <c r="I847" s="60"/>
      <c r="J847" s="60"/>
      <c r="K847" s="56"/>
      <c r="L847" s="56"/>
      <c r="M847" s="56"/>
      <c r="N847" s="56"/>
      <c r="O847" s="56"/>
      <c r="P847" s="56"/>
      <c r="Q847" s="56"/>
      <c r="R847" s="56"/>
      <c r="S847" s="56"/>
      <c r="T847" s="56"/>
      <c r="U847" s="56"/>
      <c r="V847" s="56"/>
      <c r="W847" s="56"/>
      <c r="X847" s="56"/>
      <c r="Y847" s="56"/>
      <c r="Z847" s="56"/>
      <c r="AA847" s="56"/>
      <c r="AB847" s="56"/>
    </row>
    <row r="848">
      <c r="A848" s="75"/>
      <c r="B848" s="69"/>
      <c r="C848" s="60"/>
      <c r="D848" s="61"/>
      <c r="E848" s="69"/>
      <c r="F848" s="60"/>
      <c r="G848" s="60"/>
      <c r="H848" s="60"/>
      <c r="I848" s="60"/>
      <c r="J848" s="60"/>
      <c r="K848" s="56"/>
      <c r="L848" s="56"/>
      <c r="M848" s="56"/>
      <c r="N848" s="56"/>
      <c r="O848" s="56"/>
      <c r="P848" s="56"/>
      <c r="Q848" s="56"/>
      <c r="R848" s="56"/>
      <c r="S848" s="56"/>
      <c r="T848" s="56"/>
      <c r="U848" s="56"/>
      <c r="V848" s="56"/>
      <c r="W848" s="56"/>
      <c r="X848" s="56"/>
      <c r="Y848" s="56"/>
      <c r="Z848" s="56"/>
      <c r="AA848" s="56"/>
      <c r="AB848" s="56"/>
    </row>
    <row r="849">
      <c r="A849" s="75"/>
      <c r="B849" s="69"/>
      <c r="C849" s="60"/>
      <c r="D849" s="61"/>
      <c r="E849" s="69"/>
      <c r="F849" s="60"/>
      <c r="G849" s="60"/>
      <c r="H849" s="60"/>
      <c r="I849" s="60"/>
      <c r="J849" s="60"/>
      <c r="K849" s="56"/>
      <c r="L849" s="56"/>
      <c r="M849" s="56"/>
      <c r="N849" s="56"/>
      <c r="O849" s="56"/>
      <c r="P849" s="56"/>
      <c r="Q849" s="56"/>
      <c r="R849" s="56"/>
      <c r="S849" s="56"/>
      <c r="T849" s="56"/>
      <c r="U849" s="56"/>
      <c r="V849" s="56"/>
      <c r="W849" s="56"/>
      <c r="X849" s="56"/>
      <c r="Y849" s="56"/>
      <c r="Z849" s="56"/>
      <c r="AA849" s="56"/>
      <c r="AB849" s="56"/>
    </row>
    <row r="850">
      <c r="A850" s="75"/>
      <c r="B850" s="69"/>
      <c r="C850" s="60"/>
      <c r="D850" s="61"/>
      <c r="E850" s="69"/>
      <c r="F850" s="60"/>
      <c r="G850" s="60"/>
      <c r="H850" s="60"/>
      <c r="I850" s="60"/>
      <c r="J850" s="60"/>
      <c r="K850" s="56"/>
      <c r="L850" s="56"/>
      <c r="M850" s="56"/>
      <c r="N850" s="56"/>
      <c r="O850" s="56"/>
      <c r="P850" s="56"/>
      <c r="Q850" s="56"/>
      <c r="R850" s="56"/>
      <c r="S850" s="56"/>
      <c r="T850" s="56"/>
      <c r="U850" s="56"/>
      <c r="V850" s="56"/>
      <c r="W850" s="56"/>
      <c r="X850" s="56"/>
      <c r="Y850" s="56"/>
      <c r="Z850" s="56"/>
      <c r="AA850" s="56"/>
      <c r="AB850" s="56"/>
    </row>
    <row r="851">
      <c r="A851" s="75"/>
      <c r="B851" s="69"/>
      <c r="C851" s="60"/>
      <c r="D851" s="61"/>
      <c r="E851" s="69"/>
      <c r="F851" s="60"/>
      <c r="G851" s="60"/>
      <c r="H851" s="60"/>
      <c r="I851" s="60"/>
      <c r="J851" s="60"/>
      <c r="K851" s="56"/>
      <c r="L851" s="56"/>
      <c r="M851" s="56"/>
      <c r="N851" s="56"/>
      <c r="O851" s="56"/>
      <c r="P851" s="56"/>
      <c r="Q851" s="56"/>
      <c r="R851" s="56"/>
      <c r="S851" s="56"/>
      <c r="T851" s="56"/>
      <c r="U851" s="56"/>
      <c r="V851" s="56"/>
      <c r="W851" s="56"/>
      <c r="X851" s="56"/>
      <c r="Y851" s="56"/>
      <c r="Z851" s="56"/>
      <c r="AA851" s="56"/>
      <c r="AB851" s="56"/>
    </row>
    <row r="852">
      <c r="A852" s="75"/>
      <c r="B852" s="69"/>
      <c r="C852" s="60"/>
      <c r="D852" s="61"/>
      <c r="E852" s="69"/>
      <c r="F852" s="60"/>
      <c r="G852" s="60"/>
      <c r="H852" s="60"/>
      <c r="I852" s="60"/>
      <c r="J852" s="60"/>
      <c r="K852" s="56"/>
      <c r="L852" s="56"/>
      <c r="M852" s="56"/>
      <c r="N852" s="56"/>
      <c r="O852" s="56"/>
      <c r="P852" s="56"/>
      <c r="Q852" s="56"/>
      <c r="R852" s="56"/>
      <c r="S852" s="56"/>
      <c r="T852" s="56"/>
      <c r="U852" s="56"/>
      <c r="V852" s="56"/>
      <c r="W852" s="56"/>
      <c r="X852" s="56"/>
      <c r="Y852" s="56"/>
      <c r="Z852" s="56"/>
      <c r="AA852" s="56"/>
      <c r="AB852" s="56"/>
    </row>
    <row r="853">
      <c r="A853" s="75"/>
      <c r="B853" s="69"/>
      <c r="C853" s="60"/>
      <c r="D853" s="61"/>
      <c r="E853" s="69"/>
      <c r="F853" s="60"/>
      <c r="G853" s="60"/>
      <c r="H853" s="60"/>
      <c r="I853" s="60"/>
      <c r="J853" s="60"/>
      <c r="K853" s="56"/>
      <c r="L853" s="56"/>
      <c r="M853" s="56"/>
      <c r="N853" s="56"/>
      <c r="O853" s="56"/>
      <c r="P853" s="56"/>
      <c r="Q853" s="56"/>
      <c r="R853" s="56"/>
      <c r="S853" s="56"/>
      <c r="T853" s="56"/>
      <c r="U853" s="56"/>
      <c r="V853" s="56"/>
      <c r="W853" s="56"/>
      <c r="X853" s="56"/>
      <c r="Y853" s="56"/>
      <c r="Z853" s="56"/>
      <c r="AA853" s="56"/>
      <c r="AB853" s="56"/>
    </row>
    <row r="854">
      <c r="A854" s="75"/>
      <c r="B854" s="69"/>
      <c r="C854" s="60"/>
      <c r="D854" s="61"/>
      <c r="E854" s="69"/>
      <c r="F854" s="60"/>
      <c r="G854" s="60"/>
      <c r="H854" s="60"/>
      <c r="I854" s="60"/>
      <c r="J854" s="60"/>
      <c r="K854" s="56"/>
      <c r="L854" s="56"/>
      <c r="M854" s="56"/>
      <c r="N854" s="56"/>
      <c r="O854" s="56"/>
      <c r="P854" s="56"/>
      <c r="Q854" s="56"/>
      <c r="R854" s="56"/>
      <c r="S854" s="56"/>
      <c r="T854" s="56"/>
      <c r="U854" s="56"/>
      <c r="V854" s="56"/>
      <c r="W854" s="56"/>
      <c r="X854" s="56"/>
      <c r="Y854" s="56"/>
      <c r="Z854" s="56"/>
      <c r="AA854" s="56"/>
      <c r="AB854" s="56"/>
    </row>
    <row r="855">
      <c r="A855" s="75"/>
      <c r="B855" s="69"/>
      <c r="C855" s="60"/>
      <c r="D855" s="61"/>
      <c r="E855" s="69"/>
      <c r="F855" s="60"/>
      <c r="G855" s="60"/>
      <c r="H855" s="60"/>
      <c r="I855" s="60"/>
      <c r="J855" s="60"/>
      <c r="K855" s="56"/>
      <c r="L855" s="56"/>
      <c r="M855" s="56"/>
      <c r="N855" s="56"/>
      <c r="O855" s="56"/>
      <c r="P855" s="56"/>
      <c r="Q855" s="56"/>
      <c r="R855" s="56"/>
      <c r="S855" s="56"/>
      <c r="T855" s="56"/>
      <c r="U855" s="56"/>
      <c r="V855" s="56"/>
      <c r="W855" s="56"/>
      <c r="X855" s="56"/>
      <c r="Y855" s="56"/>
      <c r="Z855" s="56"/>
      <c r="AA855" s="56"/>
      <c r="AB855" s="56"/>
    </row>
    <row r="856">
      <c r="A856" s="75"/>
      <c r="B856" s="69"/>
      <c r="C856" s="60"/>
      <c r="D856" s="61"/>
      <c r="E856" s="69"/>
      <c r="F856" s="60"/>
      <c r="G856" s="60"/>
      <c r="H856" s="60"/>
      <c r="I856" s="60"/>
      <c r="J856" s="60"/>
      <c r="K856" s="56"/>
      <c r="L856" s="56"/>
      <c r="M856" s="56"/>
      <c r="N856" s="56"/>
      <c r="O856" s="56"/>
      <c r="P856" s="56"/>
      <c r="Q856" s="56"/>
      <c r="R856" s="56"/>
      <c r="S856" s="56"/>
      <c r="T856" s="56"/>
      <c r="U856" s="56"/>
      <c r="V856" s="56"/>
      <c r="W856" s="56"/>
      <c r="X856" s="56"/>
      <c r="Y856" s="56"/>
      <c r="Z856" s="56"/>
      <c r="AA856" s="56"/>
      <c r="AB856" s="56"/>
    </row>
    <row r="857">
      <c r="A857" s="75"/>
      <c r="B857" s="69"/>
      <c r="C857" s="60"/>
      <c r="D857" s="61"/>
      <c r="E857" s="69"/>
      <c r="F857" s="60"/>
      <c r="G857" s="60"/>
      <c r="H857" s="60"/>
      <c r="I857" s="60"/>
      <c r="J857" s="60"/>
      <c r="K857" s="56"/>
      <c r="L857" s="56"/>
      <c r="M857" s="56"/>
      <c r="N857" s="56"/>
      <c r="O857" s="56"/>
      <c r="P857" s="56"/>
      <c r="Q857" s="56"/>
      <c r="R857" s="56"/>
      <c r="S857" s="56"/>
      <c r="T857" s="56"/>
      <c r="U857" s="56"/>
      <c r="V857" s="56"/>
      <c r="W857" s="56"/>
      <c r="X857" s="56"/>
      <c r="Y857" s="56"/>
      <c r="Z857" s="56"/>
      <c r="AA857" s="56"/>
      <c r="AB857" s="56"/>
    </row>
    <row r="858">
      <c r="A858" s="75"/>
      <c r="B858" s="69"/>
      <c r="C858" s="60"/>
      <c r="D858" s="61"/>
      <c r="E858" s="69"/>
      <c r="F858" s="60"/>
      <c r="G858" s="60"/>
      <c r="H858" s="60"/>
      <c r="I858" s="60"/>
      <c r="J858" s="60"/>
      <c r="K858" s="56"/>
      <c r="L858" s="56"/>
      <c r="M858" s="56"/>
      <c r="N858" s="56"/>
      <c r="O858" s="56"/>
      <c r="P858" s="56"/>
      <c r="Q858" s="56"/>
      <c r="R858" s="56"/>
      <c r="S858" s="56"/>
      <c r="T858" s="56"/>
      <c r="U858" s="56"/>
      <c r="V858" s="56"/>
      <c r="W858" s="56"/>
      <c r="X858" s="56"/>
      <c r="Y858" s="56"/>
      <c r="Z858" s="56"/>
      <c r="AA858" s="56"/>
      <c r="AB858" s="56"/>
    </row>
    <row r="859">
      <c r="A859" s="75"/>
      <c r="B859" s="69"/>
      <c r="C859" s="60"/>
      <c r="D859" s="61"/>
      <c r="E859" s="69"/>
      <c r="F859" s="60"/>
      <c r="G859" s="60"/>
      <c r="H859" s="60"/>
      <c r="I859" s="60"/>
      <c r="J859" s="60"/>
      <c r="K859" s="56"/>
      <c r="L859" s="56"/>
      <c r="M859" s="56"/>
      <c r="N859" s="56"/>
      <c r="O859" s="56"/>
      <c r="P859" s="56"/>
      <c r="Q859" s="56"/>
      <c r="R859" s="56"/>
      <c r="S859" s="56"/>
      <c r="T859" s="56"/>
      <c r="U859" s="56"/>
      <c r="V859" s="56"/>
      <c r="W859" s="56"/>
      <c r="X859" s="56"/>
      <c r="Y859" s="56"/>
      <c r="Z859" s="56"/>
      <c r="AA859" s="56"/>
      <c r="AB859" s="56"/>
    </row>
    <row r="860">
      <c r="A860" s="75"/>
      <c r="B860" s="69"/>
      <c r="C860" s="60"/>
      <c r="D860" s="61"/>
      <c r="E860" s="69"/>
      <c r="F860" s="60"/>
      <c r="G860" s="60"/>
      <c r="H860" s="60"/>
      <c r="I860" s="60"/>
      <c r="J860" s="60"/>
      <c r="K860" s="56"/>
      <c r="L860" s="56"/>
      <c r="M860" s="56"/>
      <c r="N860" s="56"/>
      <c r="O860" s="56"/>
      <c r="P860" s="56"/>
      <c r="Q860" s="56"/>
      <c r="R860" s="56"/>
      <c r="S860" s="56"/>
      <c r="T860" s="56"/>
      <c r="U860" s="56"/>
      <c r="V860" s="56"/>
      <c r="W860" s="56"/>
      <c r="X860" s="56"/>
      <c r="Y860" s="56"/>
      <c r="Z860" s="56"/>
      <c r="AA860" s="56"/>
      <c r="AB860" s="56"/>
    </row>
    <row r="861">
      <c r="A861" s="75"/>
      <c r="B861" s="69"/>
      <c r="C861" s="60"/>
      <c r="D861" s="61"/>
      <c r="E861" s="69"/>
      <c r="F861" s="60"/>
      <c r="G861" s="60"/>
      <c r="H861" s="60"/>
      <c r="I861" s="60"/>
      <c r="J861" s="60"/>
      <c r="K861" s="56"/>
      <c r="L861" s="56"/>
      <c r="M861" s="56"/>
      <c r="N861" s="56"/>
      <c r="O861" s="56"/>
      <c r="P861" s="56"/>
      <c r="Q861" s="56"/>
      <c r="R861" s="56"/>
      <c r="S861" s="56"/>
      <c r="T861" s="56"/>
      <c r="U861" s="56"/>
      <c r="V861" s="56"/>
      <c r="W861" s="56"/>
      <c r="X861" s="56"/>
      <c r="Y861" s="56"/>
      <c r="Z861" s="56"/>
      <c r="AA861" s="56"/>
      <c r="AB861" s="56"/>
    </row>
    <row r="862">
      <c r="A862" s="75"/>
      <c r="B862" s="69"/>
      <c r="C862" s="60"/>
      <c r="D862" s="61"/>
      <c r="E862" s="69"/>
      <c r="F862" s="60"/>
      <c r="G862" s="60"/>
      <c r="H862" s="60"/>
      <c r="I862" s="60"/>
      <c r="J862" s="60"/>
      <c r="K862" s="56"/>
      <c r="L862" s="56"/>
      <c r="M862" s="56"/>
      <c r="N862" s="56"/>
      <c r="O862" s="56"/>
      <c r="P862" s="56"/>
      <c r="Q862" s="56"/>
      <c r="R862" s="56"/>
      <c r="S862" s="56"/>
      <c r="T862" s="56"/>
      <c r="U862" s="56"/>
      <c r="V862" s="56"/>
      <c r="W862" s="56"/>
      <c r="X862" s="56"/>
      <c r="Y862" s="56"/>
      <c r="Z862" s="56"/>
      <c r="AA862" s="56"/>
      <c r="AB862" s="56"/>
    </row>
    <row r="863">
      <c r="A863" s="75"/>
      <c r="B863" s="69"/>
      <c r="C863" s="60"/>
      <c r="D863" s="61"/>
      <c r="E863" s="69"/>
      <c r="F863" s="60"/>
      <c r="G863" s="60"/>
      <c r="H863" s="60"/>
      <c r="I863" s="60"/>
      <c r="J863" s="60"/>
      <c r="K863" s="56"/>
      <c r="L863" s="56"/>
      <c r="M863" s="56"/>
      <c r="N863" s="56"/>
      <c r="O863" s="56"/>
      <c r="P863" s="56"/>
      <c r="Q863" s="56"/>
      <c r="R863" s="56"/>
      <c r="S863" s="56"/>
      <c r="T863" s="56"/>
      <c r="U863" s="56"/>
      <c r="V863" s="56"/>
      <c r="W863" s="56"/>
      <c r="X863" s="56"/>
      <c r="Y863" s="56"/>
      <c r="Z863" s="56"/>
      <c r="AA863" s="56"/>
      <c r="AB863" s="56"/>
    </row>
    <row r="864">
      <c r="A864" s="75"/>
      <c r="B864" s="69"/>
      <c r="C864" s="60"/>
      <c r="D864" s="61"/>
      <c r="E864" s="69"/>
      <c r="F864" s="60"/>
      <c r="G864" s="60"/>
      <c r="H864" s="60"/>
      <c r="I864" s="60"/>
      <c r="J864" s="60"/>
      <c r="K864" s="56"/>
      <c r="L864" s="56"/>
      <c r="M864" s="56"/>
      <c r="N864" s="56"/>
      <c r="O864" s="56"/>
      <c r="P864" s="56"/>
      <c r="Q864" s="56"/>
      <c r="R864" s="56"/>
      <c r="S864" s="56"/>
      <c r="T864" s="56"/>
      <c r="U864" s="56"/>
      <c r="V864" s="56"/>
      <c r="W864" s="56"/>
      <c r="X864" s="56"/>
      <c r="Y864" s="56"/>
      <c r="Z864" s="56"/>
      <c r="AA864" s="56"/>
      <c r="AB864" s="56"/>
    </row>
    <row r="865">
      <c r="A865" s="75"/>
      <c r="B865" s="69"/>
      <c r="C865" s="60"/>
      <c r="D865" s="61"/>
      <c r="E865" s="69"/>
      <c r="F865" s="60"/>
      <c r="G865" s="60"/>
      <c r="H865" s="60"/>
      <c r="I865" s="60"/>
      <c r="J865" s="60"/>
      <c r="K865" s="56"/>
      <c r="L865" s="56"/>
      <c r="M865" s="56"/>
      <c r="N865" s="56"/>
      <c r="O865" s="56"/>
      <c r="P865" s="56"/>
      <c r="Q865" s="56"/>
      <c r="R865" s="56"/>
      <c r="S865" s="56"/>
      <c r="T865" s="56"/>
      <c r="U865" s="56"/>
      <c r="V865" s="56"/>
      <c r="W865" s="56"/>
      <c r="X865" s="56"/>
      <c r="Y865" s="56"/>
      <c r="Z865" s="56"/>
      <c r="AA865" s="56"/>
      <c r="AB865" s="56"/>
    </row>
    <row r="866">
      <c r="A866" s="75"/>
      <c r="B866" s="69"/>
      <c r="C866" s="60"/>
      <c r="D866" s="61"/>
      <c r="E866" s="69"/>
      <c r="F866" s="60"/>
      <c r="G866" s="60"/>
      <c r="H866" s="60"/>
      <c r="I866" s="60"/>
      <c r="J866" s="60"/>
      <c r="K866" s="56"/>
      <c r="L866" s="56"/>
      <c r="M866" s="56"/>
      <c r="N866" s="56"/>
      <c r="O866" s="56"/>
      <c r="P866" s="56"/>
      <c r="Q866" s="56"/>
      <c r="R866" s="56"/>
      <c r="S866" s="56"/>
      <c r="T866" s="56"/>
      <c r="U866" s="56"/>
      <c r="V866" s="56"/>
      <c r="W866" s="56"/>
      <c r="X866" s="56"/>
      <c r="Y866" s="56"/>
      <c r="Z866" s="56"/>
      <c r="AA866" s="56"/>
      <c r="AB866" s="56"/>
    </row>
    <row r="867">
      <c r="A867" s="75"/>
      <c r="B867" s="69"/>
      <c r="C867" s="60"/>
      <c r="D867" s="61"/>
      <c r="E867" s="69"/>
      <c r="F867" s="60"/>
      <c r="G867" s="60"/>
      <c r="H867" s="60"/>
      <c r="I867" s="60"/>
      <c r="J867" s="60"/>
      <c r="K867" s="56"/>
      <c r="L867" s="56"/>
      <c r="M867" s="56"/>
      <c r="N867" s="56"/>
      <c r="O867" s="56"/>
      <c r="P867" s="56"/>
      <c r="Q867" s="56"/>
      <c r="R867" s="56"/>
      <c r="S867" s="56"/>
      <c r="T867" s="56"/>
      <c r="U867" s="56"/>
      <c r="V867" s="56"/>
      <c r="W867" s="56"/>
      <c r="X867" s="56"/>
      <c r="Y867" s="56"/>
      <c r="Z867" s="56"/>
      <c r="AA867" s="56"/>
      <c r="AB867" s="56"/>
    </row>
    <row r="868">
      <c r="A868" s="75"/>
      <c r="B868" s="69"/>
      <c r="C868" s="60"/>
      <c r="D868" s="61"/>
      <c r="E868" s="69"/>
      <c r="F868" s="60"/>
      <c r="G868" s="60"/>
      <c r="H868" s="60"/>
      <c r="I868" s="60"/>
      <c r="J868" s="60"/>
      <c r="K868" s="56"/>
      <c r="L868" s="56"/>
      <c r="M868" s="56"/>
      <c r="N868" s="56"/>
      <c r="O868" s="56"/>
      <c r="P868" s="56"/>
      <c r="Q868" s="56"/>
      <c r="R868" s="56"/>
      <c r="S868" s="56"/>
      <c r="T868" s="56"/>
      <c r="U868" s="56"/>
      <c r="V868" s="56"/>
      <c r="W868" s="56"/>
      <c r="X868" s="56"/>
      <c r="Y868" s="56"/>
      <c r="Z868" s="56"/>
      <c r="AA868" s="56"/>
      <c r="AB868" s="56"/>
    </row>
    <row r="869">
      <c r="A869" s="75"/>
      <c r="B869" s="69"/>
      <c r="C869" s="60"/>
      <c r="D869" s="61"/>
      <c r="E869" s="69"/>
      <c r="F869" s="60"/>
      <c r="G869" s="60"/>
      <c r="H869" s="60"/>
      <c r="I869" s="60"/>
      <c r="J869" s="60"/>
      <c r="K869" s="56"/>
      <c r="L869" s="56"/>
      <c r="M869" s="56"/>
      <c r="N869" s="56"/>
      <c r="O869" s="56"/>
      <c r="P869" s="56"/>
      <c r="Q869" s="56"/>
      <c r="R869" s="56"/>
      <c r="S869" s="56"/>
      <c r="T869" s="56"/>
      <c r="U869" s="56"/>
      <c r="V869" s="56"/>
      <c r="W869" s="56"/>
      <c r="X869" s="56"/>
      <c r="Y869" s="56"/>
      <c r="Z869" s="56"/>
      <c r="AA869" s="56"/>
      <c r="AB869" s="56"/>
    </row>
    <row r="870">
      <c r="A870" s="75"/>
      <c r="B870" s="69"/>
      <c r="C870" s="60"/>
      <c r="D870" s="61"/>
      <c r="E870" s="69"/>
      <c r="F870" s="60"/>
      <c r="G870" s="60"/>
      <c r="H870" s="60"/>
      <c r="I870" s="60"/>
      <c r="J870" s="60"/>
      <c r="K870" s="56"/>
      <c r="L870" s="56"/>
      <c r="M870" s="56"/>
      <c r="N870" s="56"/>
      <c r="O870" s="56"/>
      <c r="P870" s="56"/>
      <c r="Q870" s="56"/>
      <c r="R870" s="56"/>
      <c r="S870" s="56"/>
      <c r="T870" s="56"/>
      <c r="U870" s="56"/>
      <c r="V870" s="56"/>
      <c r="W870" s="56"/>
      <c r="X870" s="56"/>
      <c r="Y870" s="56"/>
      <c r="Z870" s="56"/>
      <c r="AA870" s="56"/>
      <c r="AB870" s="56"/>
    </row>
    <row r="871">
      <c r="A871" s="75"/>
      <c r="B871" s="69"/>
      <c r="C871" s="60"/>
      <c r="D871" s="61"/>
      <c r="E871" s="69"/>
      <c r="F871" s="60"/>
      <c r="G871" s="60"/>
      <c r="H871" s="60"/>
      <c r="I871" s="60"/>
      <c r="J871" s="60"/>
      <c r="K871" s="56"/>
      <c r="L871" s="56"/>
      <c r="M871" s="56"/>
      <c r="N871" s="56"/>
      <c r="O871" s="56"/>
      <c r="P871" s="56"/>
      <c r="Q871" s="56"/>
      <c r="R871" s="56"/>
      <c r="S871" s="56"/>
      <c r="T871" s="56"/>
      <c r="U871" s="56"/>
      <c r="V871" s="56"/>
      <c r="W871" s="56"/>
      <c r="X871" s="56"/>
      <c r="Y871" s="56"/>
      <c r="Z871" s="56"/>
      <c r="AA871" s="56"/>
      <c r="AB871" s="56"/>
    </row>
    <row r="872">
      <c r="A872" s="75"/>
      <c r="B872" s="69"/>
      <c r="C872" s="60"/>
      <c r="D872" s="61"/>
      <c r="E872" s="69"/>
      <c r="F872" s="60"/>
      <c r="G872" s="60"/>
      <c r="H872" s="60"/>
      <c r="I872" s="60"/>
      <c r="J872" s="60"/>
      <c r="K872" s="56"/>
      <c r="L872" s="56"/>
      <c r="M872" s="56"/>
      <c r="N872" s="56"/>
      <c r="O872" s="56"/>
      <c r="P872" s="56"/>
      <c r="Q872" s="56"/>
      <c r="R872" s="56"/>
      <c r="S872" s="56"/>
      <c r="T872" s="56"/>
      <c r="U872" s="56"/>
      <c r="V872" s="56"/>
      <c r="W872" s="56"/>
      <c r="X872" s="56"/>
      <c r="Y872" s="56"/>
      <c r="Z872" s="56"/>
      <c r="AA872" s="56"/>
      <c r="AB872" s="56"/>
    </row>
    <row r="873">
      <c r="A873" s="75"/>
      <c r="B873" s="69"/>
      <c r="C873" s="60"/>
      <c r="D873" s="61"/>
      <c r="E873" s="69"/>
      <c r="F873" s="60"/>
      <c r="G873" s="60"/>
      <c r="H873" s="60"/>
      <c r="I873" s="60"/>
      <c r="J873" s="60"/>
      <c r="K873" s="56"/>
      <c r="L873" s="56"/>
      <c r="M873" s="56"/>
      <c r="N873" s="56"/>
      <c r="O873" s="56"/>
      <c r="P873" s="56"/>
      <c r="Q873" s="56"/>
      <c r="R873" s="56"/>
      <c r="S873" s="56"/>
      <c r="T873" s="56"/>
      <c r="U873" s="56"/>
      <c r="V873" s="56"/>
      <c r="W873" s="56"/>
      <c r="X873" s="56"/>
      <c r="Y873" s="56"/>
      <c r="Z873" s="56"/>
      <c r="AA873" s="56"/>
      <c r="AB873" s="56"/>
    </row>
    <row r="874">
      <c r="A874" s="75"/>
      <c r="B874" s="69"/>
      <c r="C874" s="60"/>
      <c r="D874" s="61"/>
      <c r="E874" s="69"/>
      <c r="F874" s="60"/>
      <c r="G874" s="60"/>
      <c r="H874" s="60"/>
      <c r="I874" s="60"/>
      <c r="J874" s="60"/>
      <c r="K874" s="56"/>
      <c r="L874" s="56"/>
      <c r="M874" s="56"/>
      <c r="N874" s="56"/>
      <c r="O874" s="56"/>
      <c r="P874" s="56"/>
      <c r="Q874" s="56"/>
      <c r="R874" s="56"/>
      <c r="S874" s="56"/>
      <c r="T874" s="56"/>
      <c r="U874" s="56"/>
      <c r="V874" s="56"/>
      <c r="W874" s="56"/>
      <c r="X874" s="56"/>
      <c r="Y874" s="56"/>
      <c r="Z874" s="56"/>
      <c r="AA874" s="56"/>
      <c r="AB874" s="56"/>
    </row>
    <row r="875">
      <c r="A875" s="75"/>
      <c r="B875" s="69"/>
      <c r="C875" s="60"/>
      <c r="D875" s="61"/>
      <c r="E875" s="69"/>
      <c r="F875" s="60"/>
      <c r="G875" s="60"/>
      <c r="H875" s="60"/>
      <c r="I875" s="60"/>
      <c r="J875" s="60"/>
      <c r="K875" s="56"/>
      <c r="L875" s="56"/>
      <c r="M875" s="56"/>
      <c r="N875" s="56"/>
      <c r="O875" s="56"/>
      <c r="P875" s="56"/>
      <c r="Q875" s="56"/>
      <c r="R875" s="56"/>
      <c r="S875" s="56"/>
      <c r="T875" s="56"/>
      <c r="U875" s="56"/>
      <c r="V875" s="56"/>
      <c r="W875" s="56"/>
      <c r="X875" s="56"/>
      <c r="Y875" s="56"/>
      <c r="Z875" s="56"/>
      <c r="AA875" s="56"/>
      <c r="AB875" s="56"/>
    </row>
    <row r="876">
      <c r="A876" s="75"/>
      <c r="B876" s="69"/>
      <c r="C876" s="60"/>
      <c r="D876" s="61"/>
      <c r="E876" s="69"/>
      <c r="F876" s="60"/>
      <c r="G876" s="60"/>
      <c r="H876" s="60"/>
      <c r="I876" s="60"/>
      <c r="J876" s="60"/>
      <c r="K876" s="56"/>
      <c r="L876" s="56"/>
      <c r="M876" s="56"/>
      <c r="N876" s="56"/>
      <c r="O876" s="56"/>
      <c r="P876" s="56"/>
      <c r="Q876" s="56"/>
      <c r="R876" s="56"/>
      <c r="S876" s="56"/>
      <c r="T876" s="56"/>
      <c r="U876" s="56"/>
      <c r="V876" s="56"/>
      <c r="W876" s="56"/>
      <c r="X876" s="56"/>
      <c r="Y876" s="56"/>
      <c r="Z876" s="56"/>
      <c r="AA876" s="56"/>
      <c r="AB876" s="56"/>
    </row>
    <row r="877">
      <c r="A877" s="75"/>
      <c r="B877" s="69"/>
      <c r="C877" s="60"/>
      <c r="D877" s="61"/>
      <c r="E877" s="69"/>
      <c r="F877" s="60"/>
      <c r="G877" s="60"/>
      <c r="H877" s="60"/>
      <c r="I877" s="60"/>
      <c r="J877" s="60"/>
      <c r="K877" s="56"/>
      <c r="L877" s="56"/>
      <c r="M877" s="56"/>
      <c r="N877" s="56"/>
      <c r="O877" s="56"/>
      <c r="P877" s="56"/>
      <c r="Q877" s="56"/>
      <c r="R877" s="56"/>
      <c r="S877" s="56"/>
      <c r="T877" s="56"/>
      <c r="U877" s="56"/>
      <c r="V877" s="56"/>
      <c r="W877" s="56"/>
      <c r="X877" s="56"/>
      <c r="Y877" s="56"/>
      <c r="Z877" s="56"/>
      <c r="AA877" s="56"/>
      <c r="AB877" s="56"/>
    </row>
    <row r="878">
      <c r="A878" s="75"/>
      <c r="B878" s="69"/>
      <c r="C878" s="60"/>
      <c r="D878" s="61"/>
      <c r="E878" s="69"/>
      <c r="F878" s="60"/>
      <c r="G878" s="60"/>
      <c r="H878" s="60"/>
      <c r="I878" s="60"/>
      <c r="J878" s="60"/>
      <c r="K878" s="56"/>
      <c r="L878" s="56"/>
      <c r="M878" s="56"/>
      <c r="N878" s="56"/>
      <c r="O878" s="56"/>
      <c r="P878" s="56"/>
      <c r="Q878" s="56"/>
      <c r="R878" s="56"/>
      <c r="S878" s="56"/>
      <c r="T878" s="56"/>
      <c r="U878" s="56"/>
      <c r="V878" s="56"/>
      <c r="W878" s="56"/>
      <c r="X878" s="56"/>
      <c r="Y878" s="56"/>
      <c r="Z878" s="56"/>
      <c r="AA878" s="56"/>
      <c r="AB878" s="56"/>
    </row>
    <row r="879">
      <c r="A879" s="75"/>
      <c r="B879" s="69"/>
      <c r="C879" s="60"/>
      <c r="D879" s="61"/>
      <c r="E879" s="69"/>
      <c r="F879" s="60"/>
      <c r="G879" s="60"/>
      <c r="H879" s="60"/>
      <c r="I879" s="60"/>
      <c r="J879" s="60"/>
      <c r="K879" s="56"/>
      <c r="L879" s="56"/>
      <c r="M879" s="56"/>
      <c r="N879" s="56"/>
      <c r="O879" s="56"/>
      <c r="P879" s="56"/>
      <c r="Q879" s="56"/>
      <c r="R879" s="56"/>
      <c r="S879" s="56"/>
      <c r="T879" s="56"/>
      <c r="U879" s="56"/>
      <c r="V879" s="56"/>
      <c r="W879" s="56"/>
      <c r="X879" s="56"/>
      <c r="Y879" s="56"/>
      <c r="Z879" s="56"/>
      <c r="AA879" s="56"/>
      <c r="AB879" s="56"/>
    </row>
    <row r="880">
      <c r="A880" s="75"/>
      <c r="B880" s="69"/>
      <c r="C880" s="60"/>
      <c r="D880" s="61"/>
      <c r="E880" s="69"/>
      <c r="F880" s="60"/>
      <c r="G880" s="60"/>
      <c r="H880" s="60"/>
      <c r="I880" s="60"/>
      <c r="J880" s="60"/>
      <c r="K880" s="56"/>
      <c r="L880" s="56"/>
      <c r="M880" s="56"/>
      <c r="N880" s="56"/>
      <c r="O880" s="56"/>
      <c r="P880" s="56"/>
      <c r="Q880" s="56"/>
      <c r="R880" s="56"/>
      <c r="S880" s="56"/>
      <c r="T880" s="56"/>
      <c r="U880" s="56"/>
      <c r="V880" s="56"/>
      <c r="W880" s="56"/>
      <c r="X880" s="56"/>
      <c r="Y880" s="56"/>
      <c r="Z880" s="56"/>
      <c r="AA880" s="56"/>
      <c r="AB880" s="56"/>
    </row>
    <row r="881">
      <c r="A881" s="75"/>
      <c r="B881" s="69"/>
      <c r="C881" s="60"/>
      <c r="D881" s="61"/>
      <c r="E881" s="69"/>
      <c r="F881" s="60"/>
      <c r="G881" s="60"/>
      <c r="H881" s="60"/>
      <c r="I881" s="60"/>
      <c r="J881" s="60"/>
      <c r="K881" s="56"/>
      <c r="L881" s="56"/>
      <c r="M881" s="56"/>
      <c r="N881" s="56"/>
      <c r="O881" s="56"/>
      <c r="P881" s="56"/>
      <c r="Q881" s="56"/>
      <c r="R881" s="56"/>
      <c r="S881" s="56"/>
      <c r="T881" s="56"/>
      <c r="U881" s="56"/>
      <c r="V881" s="56"/>
      <c r="W881" s="56"/>
      <c r="X881" s="56"/>
      <c r="Y881" s="56"/>
      <c r="Z881" s="56"/>
      <c r="AA881" s="56"/>
      <c r="AB881" s="56"/>
    </row>
    <row r="882">
      <c r="A882" s="75"/>
      <c r="B882" s="69"/>
      <c r="C882" s="60"/>
      <c r="D882" s="61"/>
      <c r="E882" s="69"/>
      <c r="F882" s="60"/>
      <c r="G882" s="60"/>
      <c r="H882" s="60"/>
      <c r="I882" s="60"/>
      <c r="J882" s="60"/>
      <c r="K882" s="56"/>
      <c r="L882" s="56"/>
      <c r="M882" s="56"/>
      <c r="N882" s="56"/>
      <c r="O882" s="56"/>
      <c r="P882" s="56"/>
      <c r="Q882" s="56"/>
      <c r="R882" s="56"/>
      <c r="S882" s="56"/>
      <c r="T882" s="56"/>
      <c r="U882" s="56"/>
      <c r="V882" s="56"/>
      <c r="W882" s="56"/>
      <c r="X882" s="56"/>
      <c r="Y882" s="56"/>
      <c r="Z882" s="56"/>
      <c r="AA882" s="56"/>
      <c r="AB882" s="56"/>
    </row>
    <row r="883">
      <c r="A883" s="75"/>
      <c r="B883" s="69"/>
      <c r="C883" s="60"/>
      <c r="D883" s="61"/>
      <c r="E883" s="69"/>
      <c r="F883" s="60"/>
      <c r="G883" s="60"/>
      <c r="H883" s="60"/>
      <c r="I883" s="60"/>
      <c r="J883" s="60"/>
      <c r="K883" s="56"/>
      <c r="L883" s="56"/>
      <c r="M883" s="56"/>
      <c r="N883" s="56"/>
      <c r="O883" s="56"/>
      <c r="P883" s="56"/>
      <c r="Q883" s="56"/>
      <c r="R883" s="56"/>
      <c r="S883" s="56"/>
      <c r="T883" s="56"/>
      <c r="U883" s="56"/>
      <c r="V883" s="56"/>
      <c r="W883" s="56"/>
      <c r="X883" s="56"/>
      <c r="Y883" s="56"/>
      <c r="Z883" s="56"/>
      <c r="AA883" s="56"/>
      <c r="AB883" s="56"/>
    </row>
    <row r="884">
      <c r="A884" s="75"/>
      <c r="B884" s="69"/>
      <c r="C884" s="60"/>
      <c r="D884" s="61"/>
      <c r="E884" s="69"/>
      <c r="F884" s="60"/>
      <c r="G884" s="60"/>
      <c r="H884" s="60"/>
      <c r="I884" s="60"/>
      <c r="J884" s="60"/>
      <c r="K884" s="56"/>
      <c r="L884" s="56"/>
      <c r="M884" s="56"/>
      <c r="N884" s="56"/>
      <c r="O884" s="56"/>
      <c r="P884" s="56"/>
      <c r="Q884" s="56"/>
      <c r="R884" s="56"/>
      <c r="S884" s="56"/>
      <c r="T884" s="56"/>
      <c r="U884" s="56"/>
      <c r="V884" s="56"/>
      <c r="W884" s="56"/>
      <c r="X884" s="56"/>
      <c r="Y884" s="56"/>
      <c r="Z884" s="56"/>
      <c r="AA884" s="56"/>
      <c r="AB884" s="56"/>
    </row>
    <row r="885">
      <c r="A885" s="75"/>
      <c r="B885" s="69"/>
      <c r="C885" s="60"/>
      <c r="D885" s="61"/>
      <c r="E885" s="69"/>
      <c r="F885" s="60"/>
      <c r="G885" s="60"/>
      <c r="H885" s="60"/>
      <c r="I885" s="60"/>
      <c r="J885" s="60"/>
      <c r="K885" s="56"/>
      <c r="L885" s="56"/>
      <c r="M885" s="56"/>
      <c r="N885" s="56"/>
      <c r="O885" s="56"/>
      <c r="P885" s="56"/>
      <c r="Q885" s="56"/>
      <c r="R885" s="56"/>
      <c r="S885" s="56"/>
      <c r="T885" s="56"/>
      <c r="U885" s="56"/>
      <c r="V885" s="56"/>
      <c r="W885" s="56"/>
      <c r="X885" s="56"/>
      <c r="Y885" s="56"/>
      <c r="Z885" s="56"/>
      <c r="AA885" s="56"/>
      <c r="AB885" s="56"/>
    </row>
    <row r="886">
      <c r="A886" s="75"/>
      <c r="B886" s="69"/>
      <c r="C886" s="60"/>
      <c r="D886" s="61"/>
      <c r="E886" s="69"/>
      <c r="F886" s="60"/>
      <c r="G886" s="60"/>
      <c r="H886" s="60"/>
      <c r="I886" s="60"/>
      <c r="J886" s="60"/>
      <c r="K886" s="56"/>
      <c r="L886" s="56"/>
      <c r="M886" s="56"/>
      <c r="N886" s="56"/>
      <c r="O886" s="56"/>
      <c r="P886" s="56"/>
      <c r="Q886" s="56"/>
      <c r="R886" s="56"/>
      <c r="S886" s="56"/>
      <c r="T886" s="56"/>
      <c r="U886" s="56"/>
      <c r="V886" s="56"/>
      <c r="W886" s="56"/>
      <c r="X886" s="56"/>
      <c r="Y886" s="56"/>
      <c r="Z886" s="56"/>
      <c r="AA886" s="56"/>
      <c r="AB886" s="56"/>
    </row>
    <row r="887">
      <c r="A887" s="75"/>
      <c r="B887" s="69"/>
      <c r="C887" s="60"/>
      <c r="D887" s="61"/>
      <c r="E887" s="69"/>
      <c r="F887" s="60"/>
      <c r="G887" s="60"/>
      <c r="H887" s="60"/>
      <c r="I887" s="60"/>
      <c r="J887" s="60"/>
      <c r="K887" s="56"/>
      <c r="L887" s="56"/>
      <c r="M887" s="56"/>
      <c r="N887" s="56"/>
      <c r="O887" s="56"/>
      <c r="P887" s="56"/>
      <c r="Q887" s="56"/>
      <c r="R887" s="56"/>
      <c r="S887" s="56"/>
      <c r="T887" s="56"/>
      <c r="U887" s="56"/>
      <c r="V887" s="56"/>
      <c r="W887" s="56"/>
      <c r="X887" s="56"/>
      <c r="Y887" s="56"/>
      <c r="Z887" s="56"/>
      <c r="AA887" s="56"/>
      <c r="AB887" s="56"/>
    </row>
    <row r="888">
      <c r="A888" s="75"/>
      <c r="B888" s="69"/>
      <c r="C888" s="60"/>
      <c r="D888" s="61"/>
      <c r="E888" s="69"/>
      <c r="F888" s="60"/>
      <c r="G888" s="60"/>
      <c r="H888" s="60"/>
      <c r="I888" s="60"/>
      <c r="J888" s="60"/>
      <c r="K888" s="56"/>
      <c r="L888" s="56"/>
      <c r="M888" s="56"/>
      <c r="N888" s="56"/>
      <c r="O888" s="56"/>
      <c r="P888" s="56"/>
      <c r="Q888" s="56"/>
      <c r="R888" s="56"/>
      <c r="S888" s="56"/>
      <c r="T888" s="56"/>
      <c r="U888" s="56"/>
      <c r="V888" s="56"/>
      <c r="W888" s="56"/>
      <c r="X888" s="56"/>
      <c r="Y888" s="56"/>
      <c r="Z888" s="56"/>
      <c r="AA888" s="56"/>
      <c r="AB888" s="56"/>
    </row>
    <row r="889">
      <c r="A889" s="75"/>
      <c r="B889" s="69"/>
      <c r="C889" s="60"/>
      <c r="D889" s="61"/>
      <c r="E889" s="69"/>
      <c r="F889" s="60"/>
      <c r="G889" s="60"/>
      <c r="H889" s="60"/>
      <c r="I889" s="60"/>
      <c r="J889" s="60"/>
      <c r="K889" s="56"/>
      <c r="L889" s="56"/>
      <c r="M889" s="56"/>
      <c r="N889" s="56"/>
      <c r="O889" s="56"/>
      <c r="P889" s="56"/>
      <c r="Q889" s="56"/>
      <c r="R889" s="56"/>
      <c r="S889" s="56"/>
      <c r="T889" s="56"/>
      <c r="U889" s="56"/>
      <c r="V889" s="56"/>
      <c r="W889" s="56"/>
      <c r="X889" s="56"/>
      <c r="Y889" s="56"/>
      <c r="Z889" s="56"/>
      <c r="AA889" s="56"/>
      <c r="AB889" s="56"/>
    </row>
    <row r="890">
      <c r="A890" s="75"/>
      <c r="B890" s="69"/>
      <c r="C890" s="60"/>
      <c r="D890" s="61"/>
      <c r="E890" s="69"/>
      <c r="F890" s="60"/>
      <c r="G890" s="60"/>
      <c r="H890" s="60"/>
      <c r="I890" s="60"/>
      <c r="J890" s="60"/>
      <c r="K890" s="56"/>
      <c r="L890" s="56"/>
      <c r="M890" s="56"/>
      <c r="N890" s="56"/>
      <c r="O890" s="56"/>
      <c r="P890" s="56"/>
      <c r="Q890" s="56"/>
      <c r="R890" s="56"/>
      <c r="S890" s="56"/>
      <c r="T890" s="56"/>
      <c r="U890" s="56"/>
      <c r="V890" s="56"/>
      <c r="W890" s="56"/>
      <c r="X890" s="56"/>
      <c r="Y890" s="56"/>
      <c r="Z890" s="56"/>
      <c r="AA890" s="56"/>
      <c r="AB890" s="56"/>
    </row>
    <row r="891">
      <c r="A891" s="75"/>
      <c r="B891" s="69"/>
      <c r="C891" s="60"/>
      <c r="D891" s="61"/>
      <c r="E891" s="69"/>
      <c r="F891" s="60"/>
      <c r="G891" s="60"/>
      <c r="H891" s="60"/>
      <c r="I891" s="60"/>
      <c r="J891" s="60"/>
      <c r="K891" s="56"/>
      <c r="L891" s="56"/>
      <c r="M891" s="56"/>
      <c r="N891" s="56"/>
      <c r="O891" s="56"/>
      <c r="P891" s="56"/>
      <c r="Q891" s="56"/>
      <c r="R891" s="56"/>
      <c r="S891" s="56"/>
      <c r="T891" s="56"/>
      <c r="U891" s="56"/>
      <c r="V891" s="56"/>
      <c r="W891" s="56"/>
      <c r="X891" s="56"/>
      <c r="Y891" s="56"/>
      <c r="Z891" s="56"/>
      <c r="AA891" s="56"/>
      <c r="AB891" s="56"/>
    </row>
    <row r="892">
      <c r="A892" s="75"/>
      <c r="B892" s="69"/>
      <c r="C892" s="60"/>
      <c r="D892" s="61"/>
      <c r="E892" s="69"/>
      <c r="F892" s="60"/>
      <c r="G892" s="60"/>
      <c r="H892" s="60"/>
      <c r="I892" s="60"/>
      <c r="J892" s="60"/>
      <c r="K892" s="56"/>
      <c r="L892" s="56"/>
      <c r="M892" s="56"/>
      <c r="N892" s="56"/>
      <c r="O892" s="56"/>
      <c r="P892" s="56"/>
      <c r="Q892" s="56"/>
      <c r="R892" s="56"/>
      <c r="S892" s="56"/>
      <c r="T892" s="56"/>
      <c r="U892" s="56"/>
      <c r="V892" s="56"/>
      <c r="W892" s="56"/>
      <c r="X892" s="56"/>
      <c r="Y892" s="56"/>
      <c r="Z892" s="56"/>
      <c r="AA892" s="56"/>
      <c r="AB892" s="56"/>
    </row>
    <row r="893">
      <c r="A893" s="75"/>
      <c r="B893" s="69"/>
      <c r="C893" s="60"/>
      <c r="D893" s="61"/>
      <c r="E893" s="69"/>
      <c r="F893" s="60"/>
      <c r="G893" s="60"/>
      <c r="H893" s="60"/>
      <c r="I893" s="60"/>
      <c r="J893" s="60"/>
      <c r="K893" s="56"/>
      <c r="L893" s="56"/>
      <c r="M893" s="56"/>
      <c r="N893" s="56"/>
      <c r="O893" s="56"/>
      <c r="P893" s="56"/>
      <c r="Q893" s="56"/>
      <c r="R893" s="56"/>
      <c r="S893" s="56"/>
      <c r="T893" s="56"/>
      <c r="U893" s="56"/>
      <c r="V893" s="56"/>
      <c r="W893" s="56"/>
      <c r="X893" s="56"/>
      <c r="Y893" s="56"/>
      <c r="Z893" s="56"/>
      <c r="AA893" s="56"/>
      <c r="AB893" s="56"/>
    </row>
    <row r="894">
      <c r="A894" s="75"/>
      <c r="B894" s="69"/>
      <c r="C894" s="60"/>
      <c r="D894" s="61"/>
      <c r="E894" s="69"/>
      <c r="F894" s="60"/>
      <c r="G894" s="60"/>
      <c r="H894" s="60"/>
      <c r="I894" s="60"/>
      <c r="J894" s="60"/>
      <c r="K894" s="56"/>
      <c r="L894" s="56"/>
      <c r="M894" s="56"/>
      <c r="N894" s="56"/>
      <c r="O894" s="56"/>
      <c r="P894" s="56"/>
      <c r="Q894" s="56"/>
      <c r="R894" s="56"/>
      <c r="S894" s="56"/>
      <c r="T894" s="56"/>
      <c r="U894" s="56"/>
      <c r="V894" s="56"/>
      <c r="W894" s="56"/>
      <c r="X894" s="56"/>
      <c r="Y894" s="56"/>
      <c r="Z894" s="56"/>
      <c r="AA894" s="56"/>
      <c r="AB894" s="56"/>
    </row>
    <row r="895">
      <c r="A895" s="75"/>
      <c r="B895" s="69"/>
      <c r="C895" s="60"/>
      <c r="D895" s="61"/>
      <c r="E895" s="69"/>
      <c r="F895" s="60"/>
      <c r="G895" s="60"/>
      <c r="H895" s="60"/>
      <c r="I895" s="60"/>
      <c r="J895" s="60"/>
      <c r="K895" s="56"/>
      <c r="L895" s="56"/>
      <c r="M895" s="56"/>
      <c r="N895" s="56"/>
      <c r="O895" s="56"/>
      <c r="P895" s="56"/>
      <c r="Q895" s="56"/>
      <c r="R895" s="56"/>
      <c r="S895" s="56"/>
      <c r="T895" s="56"/>
      <c r="U895" s="56"/>
      <c r="V895" s="56"/>
      <c r="W895" s="56"/>
      <c r="X895" s="56"/>
      <c r="Y895" s="56"/>
      <c r="Z895" s="56"/>
      <c r="AA895" s="56"/>
      <c r="AB895" s="56"/>
    </row>
    <row r="896">
      <c r="A896" s="75"/>
      <c r="B896" s="69"/>
      <c r="C896" s="60"/>
      <c r="D896" s="61"/>
      <c r="E896" s="69"/>
      <c r="F896" s="60"/>
      <c r="G896" s="60"/>
      <c r="H896" s="60"/>
      <c r="I896" s="60"/>
      <c r="J896" s="60"/>
      <c r="K896" s="56"/>
      <c r="L896" s="56"/>
      <c r="M896" s="56"/>
      <c r="N896" s="56"/>
      <c r="O896" s="56"/>
      <c r="P896" s="56"/>
      <c r="Q896" s="56"/>
      <c r="R896" s="56"/>
      <c r="S896" s="56"/>
      <c r="T896" s="56"/>
      <c r="U896" s="56"/>
      <c r="V896" s="56"/>
      <c r="W896" s="56"/>
      <c r="X896" s="56"/>
      <c r="Y896" s="56"/>
      <c r="Z896" s="56"/>
      <c r="AA896" s="56"/>
      <c r="AB896" s="56"/>
    </row>
    <row r="897">
      <c r="A897" s="75"/>
      <c r="B897" s="69"/>
      <c r="C897" s="60"/>
      <c r="D897" s="61"/>
      <c r="E897" s="69"/>
      <c r="F897" s="60"/>
      <c r="G897" s="60"/>
      <c r="H897" s="60"/>
      <c r="I897" s="60"/>
      <c r="J897" s="60"/>
      <c r="K897" s="56"/>
      <c r="L897" s="56"/>
      <c r="M897" s="56"/>
      <c r="N897" s="56"/>
      <c r="O897" s="56"/>
      <c r="P897" s="56"/>
      <c r="Q897" s="56"/>
      <c r="R897" s="56"/>
      <c r="S897" s="56"/>
      <c r="T897" s="56"/>
      <c r="U897" s="56"/>
      <c r="V897" s="56"/>
      <c r="W897" s="56"/>
      <c r="X897" s="56"/>
      <c r="Y897" s="56"/>
      <c r="Z897" s="56"/>
      <c r="AA897" s="56"/>
      <c r="AB897" s="56"/>
    </row>
    <row r="898">
      <c r="A898" s="75"/>
      <c r="B898" s="69"/>
      <c r="C898" s="60"/>
      <c r="D898" s="61"/>
      <c r="E898" s="69"/>
      <c r="F898" s="60"/>
      <c r="G898" s="60"/>
      <c r="H898" s="60"/>
      <c r="I898" s="60"/>
      <c r="J898" s="60"/>
      <c r="K898" s="56"/>
      <c r="L898" s="56"/>
      <c r="M898" s="56"/>
      <c r="N898" s="56"/>
      <c r="O898" s="56"/>
      <c r="P898" s="56"/>
      <c r="Q898" s="56"/>
      <c r="R898" s="56"/>
      <c r="S898" s="56"/>
      <c r="T898" s="56"/>
      <c r="U898" s="56"/>
      <c r="V898" s="56"/>
      <c r="W898" s="56"/>
      <c r="X898" s="56"/>
      <c r="Y898" s="56"/>
      <c r="Z898" s="56"/>
      <c r="AA898" s="56"/>
      <c r="AB898" s="56"/>
    </row>
    <row r="899">
      <c r="A899" s="75"/>
      <c r="B899" s="69"/>
      <c r="C899" s="60"/>
      <c r="D899" s="61"/>
      <c r="E899" s="69"/>
      <c r="F899" s="60"/>
      <c r="G899" s="60"/>
      <c r="H899" s="60"/>
      <c r="I899" s="60"/>
      <c r="J899" s="60"/>
      <c r="K899" s="56"/>
      <c r="L899" s="56"/>
      <c r="M899" s="56"/>
      <c r="N899" s="56"/>
      <c r="O899" s="56"/>
      <c r="P899" s="56"/>
      <c r="Q899" s="56"/>
      <c r="R899" s="56"/>
      <c r="S899" s="56"/>
      <c r="T899" s="56"/>
      <c r="U899" s="56"/>
      <c r="V899" s="56"/>
      <c r="W899" s="56"/>
      <c r="X899" s="56"/>
      <c r="Y899" s="56"/>
      <c r="Z899" s="56"/>
      <c r="AA899" s="56"/>
      <c r="AB899" s="56"/>
    </row>
    <row r="900">
      <c r="A900" s="75"/>
      <c r="B900" s="69"/>
      <c r="C900" s="60"/>
      <c r="D900" s="61"/>
      <c r="E900" s="69"/>
      <c r="F900" s="60"/>
      <c r="G900" s="60"/>
      <c r="H900" s="60"/>
      <c r="I900" s="60"/>
      <c r="J900" s="60"/>
      <c r="K900" s="56"/>
      <c r="L900" s="56"/>
      <c r="M900" s="56"/>
      <c r="N900" s="56"/>
      <c r="O900" s="56"/>
      <c r="P900" s="56"/>
      <c r="Q900" s="56"/>
      <c r="R900" s="56"/>
      <c r="S900" s="56"/>
      <c r="T900" s="56"/>
      <c r="U900" s="56"/>
      <c r="V900" s="56"/>
      <c r="W900" s="56"/>
      <c r="X900" s="56"/>
      <c r="Y900" s="56"/>
      <c r="Z900" s="56"/>
      <c r="AA900" s="56"/>
      <c r="AB900" s="56"/>
    </row>
    <row r="901">
      <c r="A901" s="75"/>
      <c r="B901" s="69"/>
      <c r="C901" s="60"/>
      <c r="D901" s="61"/>
      <c r="E901" s="69"/>
      <c r="F901" s="60"/>
      <c r="G901" s="60"/>
      <c r="H901" s="60"/>
      <c r="I901" s="60"/>
      <c r="J901" s="60"/>
      <c r="K901" s="56"/>
      <c r="L901" s="56"/>
      <c r="M901" s="56"/>
      <c r="N901" s="56"/>
      <c r="O901" s="56"/>
      <c r="P901" s="56"/>
      <c r="Q901" s="56"/>
      <c r="R901" s="56"/>
      <c r="S901" s="56"/>
      <c r="T901" s="56"/>
      <c r="U901" s="56"/>
      <c r="V901" s="56"/>
      <c r="W901" s="56"/>
      <c r="X901" s="56"/>
      <c r="Y901" s="56"/>
      <c r="Z901" s="56"/>
      <c r="AA901" s="56"/>
      <c r="AB901" s="56"/>
    </row>
    <row r="902">
      <c r="A902" s="75"/>
      <c r="B902" s="69"/>
      <c r="C902" s="60"/>
      <c r="D902" s="61"/>
      <c r="E902" s="69"/>
      <c r="F902" s="60"/>
      <c r="G902" s="60"/>
      <c r="H902" s="60"/>
      <c r="I902" s="60"/>
      <c r="J902" s="60"/>
      <c r="K902" s="56"/>
      <c r="L902" s="56"/>
      <c r="M902" s="56"/>
      <c r="N902" s="56"/>
      <c r="O902" s="56"/>
      <c r="P902" s="56"/>
      <c r="Q902" s="56"/>
      <c r="R902" s="56"/>
      <c r="S902" s="56"/>
      <c r="T902" s="56"/>
      <c r="U902" s="56"/>
      <c r="V902" s="56"/>
      <c r="W902" s="56"/>
      <c r="X902" s="56"/>
      <c r="Y902" s="56"/>
      <c r="Z902" s="56"/>
      <c r="AA902" s="56"/>
      <c r="AB902" s="56"/>
    </row>
    <row r="903">
      <c r="A903" s="75"/>
      <c r="B903" s="69"/>
      <c r="C903" s="60"/>
      <c r="D903" s="61"/>
      <c r="E903" s="69"/>
      <c r="F903" s="60"/>
      <c r="G903" s="60"/>
      <c r="H903" s="60"/>
      <c r="I903" s="60"/>
      <c r="J903" s="60"/>
      <c r="K903" s="56"/>
      <c r="L903" s="56"/>
      <c r="M903" s="56"/>
      <c r="N903" s="56"/>
      <c r="O903" s="56"/>
      <c r="P903" s="56"/>
      <c r="Q903" s="56"/>
      <c r="R903" s="56"/>
      <c r="S903" s="56"/>
      <c r="T903" s="56"/>
      <c r="U903" s="56"/>
      <c r="V903" s="56"/>
      <c r="W903" s="56"/>
      <c r="X903" s="56"/>
      <c r="Y903" s="56"/>
      <c r="Z903" s="56"/>
      <c r="AA903" s="56"/>
      <c r="AB903" s="56"/>
    </row>
    <row r="904">
      <c r="A904" s="75"/>
      <c r="B904" s="69"/>
      <c r="C904" s="60"/>
      <c r="D904" s="61"/>
      <c r="E904" s="69"/>
      <c r="F904" s="60"/>
      <c r="G904" s="60"/>
      <c r="H904" s="60"/>
      <c r="I904" s="60"/>
      <c r="J904" s="60"/>
      <c r="K904" s="56"/>
      <c r="L904" s="56"/>
      <c r="M904" s="56"/>
      <c r="N904" s="56"/>
      <c r="O904" s="56"/>
      <c r="P904" s="56"/>
      <c r="Q904" s="56"/>
      <c r="R904" s="56"/>
      <c r="S904" s="56"/>
      <c r="T904" s="56"/>
      <c r="U904" s="56"/>
      <c r="V904" s="56"/>
      <c r="W904" s="56"/>
      <c r="X904" s="56"/>
      <c r="Y904" s="56"/>
      <c r="Z904" s="56"/>
      <c r="AA904" s="56"/>
      <c r="AB904" s="56"/>
    </row>
    <row r="905">
      <c r="A905" s="75"/>
      <c r="B905" s="69"/>
      <c r="C905" s="60"/>
      <c r="D905" s="61"/>
      <c r="E905" s="69"/>
      <c r="F905" s="60"/>
      <c r="G905" s="60"/>
      <c r="H905" s="60"/>
      <c r="I905" s="60"/>
      <c r="J905" s="60"/>
      <c r="K905" s="56"/>
      <c r="L905" s="56"/>
      <c r="M905" s="56"/>
      <c r="N905" s="56"/>
      <c r="O905" s="56"/>
      <c r="P905" s="56"/>
      <c r="Q905" s="56"/>
      <c r="R905" s="56"/>
      <c r="S905" s="56"/>
      <c r="T905" s="56"/>
      <c r="U905" s="56"/>
      <c r="V905" s="56"/>
      <c r="W905" s="56"/>
      <c r="X905" s="56"/>
      <c r="Y905" s="56"/>
      <c r="Z905" s="56"/>
      <c r="AA905" s="56"/>
      <c r="AB905" s="56"/>
    </row>
    <row r="906">
      <c r="A906" s="75"/>
      <c r="B906" s="69"/>
      <c r="C906" s="60"/>
      <c r="D906" s="61"/>
      <c r="E906" s="69"/>
      <c r="F906" s="60"/>
      <c r="G906" s="60"/>
      <c r="H906" s="60"/>
      <c r="I906" s="60"/>
      <c r="J906" s="60"/>
      <c r="K906" s="56"/>
      <c r="L906" s="56"/>
      <c r="M906" s="56"/>
      <c r="N906" s="56"/>
      <c r="O906" s="56"/>
      <c r="P906" s="56"/>
      <c r="Q906" s="56"/>
      <c r="R906" s="56"/>
      <c r="S906" s="56"/>
      <c r="T906" s="56"/>
      <c r="U906" s="56"/>
      <c r="V906" s="56"/>
      <c r="W906" s="56"/>
      <c r="X906" s="56"/>
      <c r="Y906" s="56"/>
      <c r="Z906" s="56"/>
      <c r="AA906" s="56"/>
      <c r="AB906" s="56"/>
    </row>
    <row r="907">
      <c r="A907" s="75"/>
      <c r="B907" s="69"/>
      <c r="C907" s="60"/>
      <c r="D907" s="61"/>
      <c r="E907" s="69"/>
      <c r="F907" s="60"/>
      <c r="G907" s="60"/>
      <c r="H907" s="60"/>
      <c r="I907" s="60"/>
      <c r="J907" s="60"/>
      <c r="K907" s="56"/>
      <c r="L907" s="56"/>
      <c r="M907" s="56"/>
      <c r="N907" s="56"/>
      <c r="O907" s="56"/>
      <c r="P907" s="56"/>
      <c r="Q907" s="56"/>
      <c r="R907" s="56"/>
      <c r="S907" s="56"/>
      <c r="T907" s="56"/>
      <c r="U907" s="56"/>
      <c r="V907" s="56"/>
      <c r="W907" s="56"/>
      <c r="X907" s="56"/>
      <c r="Y907" s="56"/>
      <c r="Z907" s="56"/>
      <c r="AA907" s="56"/>
      <c r="AB907" s="56"/>
    </row>
    <row r="908">
      <c r="A908" s="75"/>
      <c r="B908" s="69"/>
      <c r="C908" s="60"/>
      <c r="D908" s="61"/>
      <c r="E908" s="69"/>
      <c r="F908" s="60"/>
      <c r="G908" s="60"/>
      <c r="H908" s="60"/>
      <c r="I908" s="60"/>
      <c r="J908" s="60"/>
      <c r="K908" s="56"/>
      <c r="L908" s="56"/>
      <c r="M908" s="56"/>
      <c r="N908" s="56"/>
      <c r="O908" s="56"/>
      <c r="P908" s="56"/>
      <c r="Q908" s="56"/>
      <c r="R908" s="56"/>
      <c r="S908" s="56"/>
      <c r="T908" s="56"/>
      <c r="U908" s="56"/>
      <c r="V908" s="56"/>
      <c r="W908" s="56"/>
      <c r="X908" s="56"/>
      <c r="Y908" s="56"/>
      <c r="Z908" s="56"/>
      <c r="AA908" s="56"/>
      <c r="AB908" s="56"/>
    </row>
    <row r="909">
      <c r="A909" s="75"/>
      <c r="B909" s="69"/>
      <c r="C909" s="60"/>
      <c r="D909" s="61"/>
      <c r="E909" s="69"/>
      <c r="F909" s="60"/>
      <c r="G909" s="60"/>
      <c r="H909" s="60"/>
      <c r="I909" s="60"/>
      <c r="J909" s="60"/>
      <c r="K909" s="56"/>
      <c r="L909" s="56"/>
      <c r="M909" s="56"/>
      <c r="N909" s="56"/>
      <c r="O909" s="56"/>
      <c r="P909" s="56"/>
      <c r="Q909" s="56"/>
      <c r="R909" s="56"/>
      <c r="S909" s="56"/>
      <c r="T909" s="56"/>
      <c r="U909" s="56"/>
      <c r="V909" s="56"/>
      <c r="W909" s="56"/>
      <c r="X909" s="56"/>
      <c r="Y909" s="56"/>
      <c r="Z909" s="56"/>
      <c r="AA909" s="56"/>
      <c r="AB909" s="56"/>
    </row>
    <row r="910">
      <c r="A910" s="75"/>
      <c r="B910" s="69"/>
      <c r="C910" s="60"/>
      <c r="D910" s="61"/>
      <c r="E910" s="69"/>
      <c r="F910" s="60"/>
      <c r="G910" s="60"/>
      <c r="H910" s="60"/>
      <c r="I910" s="60"/>
      <c r="J910" s="60"/>
      <c r="K910" s="56"/>
      <c r="L910" s="56"/>
      <c r="M910" s="56"/>
      <c r="N910" s="56"/>
      <c r="O910" s="56"/>
      <c r="P910" s="56"/>
      <c r="Q910" s="56"/>
      <c r="R910" s="56"/>
      <c r="S910" s="56"/>
      <c r="T910" s="56"/>
      <c r="U910" s="56"/>
      <c r="V910" s="56"/>
      <c r="W910" s="56"/>
      <c r="X910" s="56"/>
      <c r="Y910" s="56"/>
      <c r="Z910" s="56"/>
      <c r="AA910" s="56"/>
      <c r="AB910" s="56"/>
    </row>
    <row r="911">
      <c r="A911" s="75"/>
      <c r="B911" s="69"/>
      <c r="C911" s="60"/>
      <c r="D911" s="61"/>
      <c r="E911" s="69"/>
      <c r="F911" s="60"/>
      <c r="G911" s="60"/>
      <c r="H911" s="60"/>
      <c r="I911" s="60"/>
      <c r="J911" s="60"/>
      <c r="K911" s="56"/>
      <c r="L911" s="56"/>
      <c r="M911" s="56"/>
      <c r="N911" s="56"/>
      <c r="O911" s="56"/>
      <c r="P911" s="56"/>
      <c r="Q911" s="56"/>
      <c r="R911" s="56"/>
      <c r="S911" s="56"/>
      <c r="T911" s="56"/>
      <c r="U911" s="56"/>
      <c r="V911" s="56"/>
      <c r="W911" s="56"/>
      <c r="X911" s="56"/>
      <c r="Y911" s="56"/>
      <c r="Z911" s="56"/>
      <c r="AA911" s="56"/>
      <c r="AB911" s="56"/>
    </row>
    <row r="912">
      <c r="A912" s="75"/>
      <c r="B912" s="69"/>
      <c r="C912" s="60"/>
      <c r="D912" s="61"/>
      <c r="E912" s="69"/>
      <c r="F912" s="60"/>
      <c r="G912" s="60"/>
      <c r="H912" s="60"/>
      <c r="I912" s="60"/>
      <c r="J912" s="60"/>
      <c r="K912" s="56"/>
      <c r="L912" s="56"/>
      <c r="M912" s="56"/>
      <c r="N912" s="56"/>
      <c r="O912" s="56"/>
      <c r="P912" s="56"/>
      <c r="Q912" s="56"/>
      <c r="R912" s="56"/>
      <c r="S912" s="56"/>
      <c r="T912" s="56"/>
      <c r="U912" s="56"/>
      <c r="V912" s="56"/>
      <c r="W912" s="56"/>
      <c r="X912" s="56"/>
      <c r="Y912" s="56"/>
      <c r="Z912" s="56"/>
      <c r="AA912" s="56"/>
      <c r="AB912" s="56"/>
    </row>
    <row r="913">
      <c r="A913" s="75"/>
      <c r="B913" s="69"/>
      <c r="C913" s="60"/>
      <c r="D913" s="61"/>
      <c r="E913" s="69"/>
      <c r="F913" s="60"/>
      <c r="G913" s="60"/>
      <c r="H913" s="60"/>
      <c r="I913" s="60"/>
      <c r="J913" s="60"/>
      <c r="K913" s="56"/>
      <c r="L913" s="56"/>
      <c r="M913" s="56"/>
      <c r="N913" s="56"/>
      <c r="O913" s="56"/>
      <c r="P913" s="56"/>
      <c r="Q913" s="56"/>
      <c r="R913" s="56"/>
      <c r="S913" s="56"/>
      <c r="T913" s="56"/>
      <c r="U913" s="56"/>
      <c r="V913" s="56"/>
      <c r="W913" s="56"/>
      <c r="X913" s="56"/>
      <c r="Y913" s="56"/>
      <c r="Z913" s="56"/>
      <c r="AA913" s="56"/>
      <c r="AB913" s="56"/>
    </row>
    <row r="914">
      <c r="A914" s="75"/>
      <c r="B914" s="69"/>
      <c r="C914" s="60"/>
      <c r="D914" s="61"/>
      <c r="E914" s="69"/>
      <c r="F914" s="60"/>
      <c r="G914" s="60"/>
      <c r="H914" s="60"/>
      <c r="I914" s="60"/>
      <c r="J914" s="60"/>
      <c r="K914" s="56"/>
      <c r="L914" s="56"/>
      <c r="M914" s="56"/>
      <c r="N914" s="56"/>
      <c r="O914" s="56"/>
      <c r="P914" s="56"/>
      <c r="Q914" s="56"/>
      <c r="R914" s="56"/>
      <c r="S914" s="56"/>
      <c r="T914" s="56"/>
      <c r="U914" s="56"/>
      <c r="V914" s="56"/>
      <c r="W914" s="56"/>
      <c r="X914" s="56"/>
      <c r="Y914" s="56"/>
      <c r="Z914" s="56"/>
      <c r="AA914" s="56"/>
      <c r="AB914" s="56"/>
    </row>
    <row r="915">
      <c r="A915" s="75"/>
      <c r="B915" s="69"/>
      <c r="C915" s="60"/>
      <c r="D915" s="61"/>
      <c r="E915" s="69"/>
      <c r="F915" s="60"/>
      <c r="G915" s="60"/>
      <c r="H915" s="60"/>
      <c r="I915" s="60"/>
      <c r="J915" s="60"/>
      <c r="K915" s="56"/>
      <c r="L915" s="56"/>
      <c r="M915" s="56"/>
      <c r="N915" s="56"/>
      <c r="O915" s="56"/>
      <c r="P915" s="56"/>
      <c r="Q915" s="56"/>
      <c r="R915" s="56"/>
      <c r="S915" s="56"/>
      <c r="T915" s="56"/>
      <c r="U915" s="56"/>
      <c r="V915" s="56"/>
      <c r="W915" s="56"/>
      <c r="X915" s="56"/>
      <c r="Y915" s="56"/>
      <c r="Z915" s="56"/>
      <c r="AA915" s="56"/>
      <c r="AB915" s="56"/>
    </row>
    <row r="916">
      <c r="A916" s="75"/>
      <c r="B916" s="69"/>
      <c r="C916" s="60"/>
      <c r="D916" s="61"/>
      <c r="E916" s="69"/>
      <c r="F916" s="60"/>
      <c r="G916" s="60"/>
      <c r="H916" s="60"/>
      <c r="I916" s="60"/>
      <c r="J916" s="60"/>
      <c r="K916" s="56"/>
      <c r="L916" s="56"/>
      <c r="M916" s="56"/>
      <c r="N916" s="56"/>
      <c r="O916" s="56"/>
      <c r="P916" s="56"/>
      <c r="Q916" s="56"/>
      <c r="R916" s="56"/>
      <c r="S916" s="56"/>
      <c r="T916" s="56"/>
      <c r="U916" s="56"/>
      <c r="V916" s="56"/>
      <c r="W916" s="56"/>
      <c r="X916" s="56"/>
      <c r="Y916" s="56"/>
      <c r="Z916" s="56"/>
      <c r="AA916" s="56"/>
      <c r="AB916" s="56"/>
    </row>
    <row r="917">
      <c r="A917" s="75"/>
      <c r="B917" s="69"/>
      <c r="C917" s="60"/>
      <c r="D917" s="61"/>
      <c r="E917" s="69"/>
      <c r="F917" s="60"/>
      <c r="G917" s="60"/>
      <c r="H917" s="60"/>
      <c r="I917" s="60"/>
      <c r="J917" s="60"/>
      <c r="K917" s="56"/>
      <c r="L917" s="56"/>
      <c r="M917" s="56"/>
      <c r="N917" s="56"/>
      <c r="O917" s="56"/>
      <c r="P917" s="56"/>
      <c r="Q917" s="56"/>
      <c r="R917" s="56"/>
      <c r="S917" s="56"/>
      <c r="T917" s="56"/>
      <c r="U917" s="56"/>
      <c r="V917" s="56"/>
      <c r="W917" s="56"/>
      <c r="X917" s="56"/>
      <c r="Y917" s="56"/>
      <c r="Z917" s="56"/>
      <c r="AA917" s="56"/>
      <c r="AB917" s="56"/>
    </row>
    <row r="918">
      <c r="A918" s="75"/>
      <c r="B918" s="69"/>
      <c r="C918" s="60"/>
      <c r="D918" s="61"/>
      <c r="E918" s="69"/>
      <c r="F918" s="60"/>
      <c r="G918" s="60"/>
      <c r="H918" s="60"/>
      <c r="I918" s="60"/>
      <c r="J918" s="60"/>
      <c r="K918" s="56"/>
      <c r="L918" s="56"/>
      <c r="M918" s="56"/>
      <c r="N918" s="56"/>
      <c r="O918" s="56"/>
      <c r="P918" s="56"/>
      <c r="Q918" s="56"/>
      <c r="R918" s="56"/>
      <c r="S918" s="56"/>
      <c r="T918" s="56"/>
      <c r="U918" s="56"/>
      <c r="V918" s="56"/>
      <c r="W918" s="56"/>
      <c r="X918" s="56"/>
      <c r="Y918" s="56"/>
      <c r="Z918" s="56"/>
      <c r="AA918" s="56"/>
      <c r="AB918" s="56"/>
    </row>
    <row r="919">
      <c r="A919" s="75"/>
      <c r="B919" s="69"/>
      <c r="C919" s="60"/>
      <c r="D919" s="61"/>
      <c r="E919" s="69"/>
      <c r="F919" s="60"/>
      <c r="G919" s="60"/>
      <c r="H919" s="60"/>
      <c r="I919" s="60"/>
      <c r="J919" s="60"/>
      <c r="K919" s="56"/>
      <c r="L919" s="56"/>
      <c r="M919" s="56"/>
      <c r="N919" s="56"/>
      <c r="O919" s="56"/>
      <c r="P919" s="56"/>
      <c r="Q919" s="56"/>
      <c r="R919" s="56"/>
      <c r="S919" s="56"/>
      <c r="T919" s="56"/>
      <c r="U919" s="56"/>
      <c r="V919" s="56"/>
      <c r="W919" s="56"/>
      <c r="X919" s="56"/>
      <c r="Y919" s="56"/>
      <c r="Z919" s="56"/>
      <c r="AA919" s="56"/>
      <c r="AB919" s="56"/>
    </row>
    <row r="920">
      <c r="A920" s="75"/>
      <c r="B920" s="69"/>
      <c r="C920" s="60"/>
      <c r="D920" s="61"/>
      <c r="E920" s="69"/>
      <c r="F920" s="60"/>
      <c r="G920" s="60"/>
      <c r="H920" s="60"/>
      <c r="I920" s="60"/>
      <c r="J920" s="60"/>
      <c r="K920" s="56"/>
      <c r="L920" s="56"/>
      <c r="M920" s="56"/>
      <c r="N920" s="56"/>
      <c r="O920" s="56"/>
      <c r="P920" s="56"/>
      <c r="Q920" s="56"/>
      <c r="R920" s="56"/>
      <c r="S920" s="56"/>
      <c r="T920" s="56"/>
      <c r="U920" s="56"/>
      <c r="V920" s="56"/>
      <c r="W920" s="56"/>
      <c r="X920" s="56"/>
      <c r="Y920" s="56"/>
      <c r="Z920" s="56"/>
      <c r="AA920" s="56"/>
      <c r="AB920" s="56"/>
    </row>
    <row r="921">
      <c r="A921" s="75"/>
      <c r="B921" s="69"/>
      <c r="C921" s="60"/>
      <c r="D921" s="61"/>
      <c r="E921" s="69"/>
      <c r="F921" s="60"/>
      <c r="G921" s="60"/>
      <c r="H921" s="60"/>
      <c r="I921" s="60"/>
      <c r="J921" s="60"/>
      <c r="K921" s="56"/>
      <c r="L921" s="56"/>
      <c r="M921" s="56"/>
      <c r="N921" s="56"/>
      <c r="O921" s="56"/>
      <c r="P921" s="56"/>
      <c r="Q921" s="56"/>
      <c r="R921" s="56"/>
      <c r="S921" s="56"/>
      <c r="T921" s="56"/>
      <c r="U921" s="56"/>
      <c r="V921" s="56"/>
      <c r="W921" s="56"/>
      <c r="X921" s="56"/>
      <c r="Y921" s="56"/>
      <c r="Z921" s="56"/>
      <c r="AA921" s="56"/>
      <c r="AB921" s="56"/>
    </row>
    <row r="922">
      <c r="A922" s="75"/>
      <c r="B922" s="69"/>
      <c r="C922" s="60"/>
      <c r="D922" s="61"/>
      <c r="E922" s="69"/>
      <c r="F922" s="60"/>
      <c r="G922" s="60"/>
      <c r="H922" s="60"/>
      <c r="I922" s="60"/>
      <c r="J922" s="60"/>
      <c r="K922" s="56"/>
      <c r="L922" s="56"/>
      <c r="M922" s="56"/>
      <c r="N922" s="56"/>
      <c r="O922" s="56"/>
      <c r="P922" s="56"/>
      <c r="Q922" s="56"/>
      <c r="R922" s="56"/>
      <c r="S922" s="56"/>
      <c r="T922" s="56"/>
      <c r="U922" s="56"/>
      <c r="V922" s="56"/>
      <c r="W922" s="56"/>
      <c r="X922" s="56"/>
      <c r="Y922" s="56"/>
      <c r="Z922" s="56"/>
      <c r="AA922" s="56"/>
      <c r="AB922" s="56"/>
    </row>
    <row r="923">
      <c r="A923" s="75"/>
      <c r="B923" s="69"/>
      <c r="C923" s="60"/>
      <c r="D923" s="61"/>
      <c r="E923" s="69"/>
      <c r="F923" s="60"/>
      <c r="G923" s="60"/>
      <c r="H923" s="60"/>
      <c r="I923" s="60"/>
      <c r="J923" s="60"/>
      <c r="K923" s="56"/>
      <c r="L923" s="56"/>
      <c r="M923" s="56"/>
      <c r="N923" s="56"/>
      <c r="O923" s="56"/>
      <c r="P923" s="56"/>
      <c r="Q923" s="56"/>
      <c r="R923" s="56"/>
      <c r="S923" s="56"/>
      <c r="T923" s="56"/>
      <c r="U923" s="56"/>
      <c r="V923" s="56"/>
      <c r="W923" s="56"/>
      <c r="X923" s="56"/>
      <c r="Y923" s="56"/>
      <c r="Z923" s="56"/>
      <c r="AA923" s="56"/>
      <c r="AB923" s="56"/>
    </row>
    <row r="924">
      <c r="A924" s="75"/>
      <c r="B924" s="69"/>
      <c r="C924" s="60"/>
      <c r="D924" s="61"/>
      <c r="E924" s="69"/>
      <c r="F924" s="60"/>
      <c r="G924" s="60"/>
      <c r="H924" s="60"/>
      <c r="I924" s="60"/>
      <c r="J924" s="60"/>
      <c r="K924" s="56"/>
      <c r="L924" s="56"/>
      <c r="M924" s="56"/>
      <c r="N924" s="56"/>
      <c r="O924" s="56"/>
      <c r="P924" s="56"/>
      <c r="Q924" s="56"/>
      <c r="R924" s="56"/>
      <c r="S924" s="56"/>
      <c r="T924" s="56"/>
      <c r="U924" s="56"/>
      <c r="V924" s="56"/>
      <c r="W924" s="56"/>
      <c r="X924" s="56"/>
      <c r="Y924" s="56"/>
      <c r="Z924" s="56"/>
      <c r="AA924" s="56"/>
      <c r="AB924" s="56"/>
    </row>
    <row r="925">
      <c r="A925" s="75"/>
      <c r="B925" s="69"/>
      <c r="C925" s="60"/>
      <c r="D925" s="61"/>
      <c r="E925" s="69"/>
      <c r="F925" s="60"/>
      <c r="G925" s="60"/>
      <c r="H925" s="60"/>
      <c r="I925" s="60"/>
      <c r="J925" s="60"/>
      <c r="K925" s="56"/>
      <c r="L925" s="56"/>
      <c r="M925" s="56"/>
      <c r="N925" s="56"/>
      <c r="O925" s="56"/>
      <c r="P925" s="56"/>
      <c r="Q925" s="56"/>
      <c r="R925" s="56"/>
      <c r="S925" s="56"/>
      <c r="T925" s="56"/>
      <c r="U925" s="56"/>
      <c r="V925" s="56"/>
      <c r="W925" s="56"/>
      <c r="X925" s="56"/>
      <c r="Y925" s="56"/>
      <c r="Z925" s="56"/>
      <c r="AA925" s="56"/>
      <c r="AB925" s="56"/>
    </row>
    <row r="926">
      <c r="A926" s="75"/>
      <c r="B926" s="69"/>
      <c r="C926" s="60"/>
      <c r="D926" s="61"/>
      <c r="E926" s="69"/>
      <c r="F926" s="60"/>
      <c r="G926" s="60"/>
      <c r="H926" s="60"/>
      <c r="I926" s="60"/>
      <c r="J926" s="60"/>
      <c r="K926" s="56"/>
      <c r="L926" s="56"/>
      <c r="M926" s="56"/>
      <c r="N926" s="56"/>
      <c r="O926" s="56"/>
      <c r="P926" s="56"/>
      <c r="Q926" s="56"/>
      <c r="R926" s="56"/>
      <c r="S926" s="56"/>
      <c r="T926" s="56"/>
      <c r="U926" s="56"/>
      <c r="V926" s="56"/>
      <c r="W926" s="56"/>
      <c r="X926" s="56"/>
      <c r="Y926" s="56"/>
      <c r="Z926" s="56"/>
      <c r="AA926" s="56"/>
      <c r="AB926" s="56"/>
    </row>
    <row r="927">
      <c r="A927" s="75"/>
      <c r="B927" s="69"/>
      <c r="C927" s="60"/>
      <c r="D927" s="61"/>
      <c r="E927" s="69"/>
      <c r="F927" s="60"/>
      <c r="G927" s="60"/>
      <c r="H927" s="60"/>
      <c r="I927" s="60"/>
      <c r="J927" s="60"/>
      <c r="K927" s="56"/>
      <c r="L927" s="56"/>
      <c r="M927" s="56"/>
      <c r="N927" s="56"/>
      <c r="O927" s="56"/>
      <c r="P927" s="56"/>
      <c r="Q927" s="56"/>
      <c r="R927" s="56"/>
      <c r="S927" s="56"/>
      <c r="T927" s="56"/>
      <c r="U927" s="56"/>
      <c r="V927" s="56"/>
      <c r="W927" s="56"/>
      <c r="X927" s="56"/>
      <c r="Y927" s="56"/>
      <c r="Z927" s="56"/>
      <c r="AA927" s="56"/>
      <c r="AB927" s="56"/>
    </row>
    <row r="928">
      <c r="A928" s="75"/>
      <c r="B928" s="69"/>
      <c r="C928" s="60"/>
      <c r="D928" s="61"/>
      <c r="E928" s="69"/>
      <c r="F928" s="60"/>
      <c r="G928" s="60"/>
      <c r="H928" s="60"/>
      <c r="I928" s="60"/>
      <c r="J928" s="60"/>
      <c r="K928" s="56"/>
      <c r="L928" s="56"/>
      <c r="M928" s="56"/>
      <c r="N928" s="56"/>
      <c r="O928" s="56"/>
      <c r="P928" s="56"/>
      <c r="Q928" s="56"/>
      <c r="R928" s="56"/>
      <c r="S928" s="56"/>
      <c r="T928" s="56"/>
      <c r="U928" s="56"/>
      <c r="V928" s="56"/>
      <c r="W928" s="56"/>
      <c r="X928" s="56"/>
      <c r="Y928" s="56"/>
      <c r="Z928" s="56"/>
      <c r="AA928" s="56"/>
      <c r="AB928" s="56"/>
    </row>
    <row r="929">
      <c r="A929" s="75"/>
      <c r="B929" s="69"/>
      <c r="C929" s="60"/>
      <c r="D929" s="61"/>
      <c r="E929" s="69"/>
      <c r="F929" s="60"/>
      <c r="G929" s="60"/>
      <c r="H929" s="60"/>
      <c r="I929" s="60"/>
      <c r="J929" s="60"/>
      <c r="K929" s="56"/>
      <c r="L929" s="56"/>
      <c r="M929" s="56"/>
      <c r="N929" s="56"/>
      <c r="O929" s="56"/>
      <c r="P929" s="56"/>
      <c r="Q929" s="56"/>
      <c r="R929" s="56"/>
      <c r="S929" s="56"/>
      <c r="T929" s="56"/>
      <c r="U929" s="56"/>
      <c r="V929" s="56"/>
      <c r="W929" s="56"/>
      <c r="X929" s="56"/>
      <c r="Y929" s="56"/>
      <c r="Z929" s="56"/>
      <c r="AA929" s="56"/>
      <c r="AB929" s="56"/>
    </row>
    <row r="930">
      <c r="A930" s="75"/>
      <c r="B930" s="69"/>
      <c r="C930" s="60"/>
      <c r="D930" s="61"/>
      <c r="E930" s="69"/>
      <c r="F930" s="60"/>
      <c r="G930" s="60"/>
      <c r="H930" s="60"/>
      <c r="I930" s="60"/>
      <c r="J930" s="60"/>
      <c r="K930" s="56"/>
      <c r="L930" s="56"/>
      <c r="M930" s="56"/>
      <c r="N930" s="56"/>
      <c r="O930" s="56"/>
      <c r="P930" s="56"/>
      <c r="Q930" s="56"/>
      <c r="R930" s="56"/>
      <c r="S930" s="56"/>
      <c r="T930" s="56"/>
      <c r="U930" s="56"/>
      <c r="V930" s="56"/>
      <c r="W930" s="56"/>
      <c r="X930" s="56"/>
      <c r="Y930" s="56"/>
      <c r="Z930" s="56"/>
      <c r="AA930" s="56"/>
      <c r="AB930" s="56"/>
    </row>
    <row r="931">
      <c r="A931" s="75"/>
      <c r="B931" s="69"/>
      <c r="C931" s="60"/>
      <c r="D931" s="61"/>
      <c r="E931" s="69"/>
      <c r="F931" s="60"/>
      <c r="G931" s="60"/>
      <c r="H931" s="60"/>
      <c r="I931" s="60"/>
      <c r="J931" s="60"/>
      <c r="K931" s="56"/>
      <c r="L931" s="56"/>
      <c r="M931" s="56"/>
      <c r="N931" s="56"/>
      <c r="O931" s="56"/>
      <c r="P931" s="56"/>
      <c r="Q931" s="56"/>
      <c r="R931" s="56"/>
      <c r="S931" s="56"/>
      <c r="T931" s="56"/>
      <c r="U931" s="56"/>
      <c r="V931" s="56"/>
      <c r="W931" s="56"/>
      <c r="X931" s="56"/>
      <c r="Y931" s="56"/>
      <c r="Z931" s="56"/>
      <c r="AA931" s="56"/>
      <c r="AB931" s="56"/>
    </row>
    <row r="932">
      <c r="A932" s="75"/>
      <c r="B932" s="69"/>
      <c r="C932" s="60"/>
      <c r="D932" s="61"/>
      <c r="E932" s="69"/>
      <c r="F932" s="60"/>
      <c r="G932" s="60"/>
      <c r="H932" s="60"/>
      <c r="I932" s="60"/>
      <c r="J932" s="60"/>
      <c r="K932" s="56"/>
      <c r="L932" s="56"/>
      <c r="M932" s="56"/>
      <c r="N932" s="56"/>
      <c r="O932" s="56"/>
      <c r="P932" s="56"/>
      <c r="Q932" s="56"/>
      <c r="R932" s="56"/>
      <c r="S932" s="56"/>
      <c r="T932" s="56"/>
      <c r="U932" s="56"/>
      <c r="V932" s="56"/>
      <c r="W932" s="56"/>
      <c r="X932" s="56"/>
      <c r="Y932" s="56"/>
      <c r="Z932" s="56"/>
      <c r="AA932" s="56"/>
      <c r="AB932" s="56"/>
    </row>
    <row r="933">
      <c r="A933" s="75"/>
      <c r="B933" s="69"/>
      <c r="C933" s="60"/>
      <c r="D933" s="61"/>
      <c r="E933" s="69"/>
      <c r="F933" s="60"/>
      <c r="G933" s="60"/>
      <c r="H933" s="60"/>
      <c r="I933" s="60"/>
      <c r="J933" s="60"/>
      <c r="K933" s="56"/>
      <c r="L933" s="56"/>
      <c r="M933" s="56"/>
      <c r="N933" s="56"/>
      <c r="O933" s="56"/>
      <c r="P933" s="56"/>
      <c r="Q933" s="56"/>
      <c r="R933" s="56"/>
      <c r="S933" s="56"/>
      <c r="T933" s="56"/>
      <c r="U933" s="56"/>
      <c r="V933" s="56"/>
      <c r="W933" s="56"/>
      <c r="X933" s="56"/>
      <c r="Y933" s="56"/>
      <c r="Z933" s="56"/>
      <c r="AA933" s="56"/>
      <c r="AB933" s="56"/>
    </row>
    <row r="934">
      <c r="A934" s="75"/>
      <c r="B934" s="69"/>
      <c r="C934" s="60"/>
      <c r="D934" s="61"/>
      <c r="E934" s="69"/>
      <c r="F934" s="60"/>
      <c r="G934" s="60"/>
      <c r="H934" s="60"/>
      <c r="I934" s="60"/>
      <c r="J934" s="60"/>
      <c r="K934" s="56"/>
      <c r="L934" s="56"/>
      <c r="M934" s="56"/>
      <c r="N934" s="56"/>
      <c r="O934" s="56"/>
      <c r="P934" s="56"/>
      <c r="Q934" s="56"/>
      <c r="R934" s="56"/>
      <c r="S934" s="56"/>
      <c r="T934" s="56"/>
      <c r="U934" s="56"/>
      <c r="V934" s="56"/>
      <c r="W934" s="56"/>
      <c r="X934" s="56"/>
      <c r="Y934" s="56"/>
      <c r="Z934" s="56"/>
      <c r="AA934" s="56"/>
      <c r="AB934" s="56"/>
    </row>
    <row r="935">
      <c r="A935" s="75"/>
      <c r="B935" s="69"/>
      <c r="C935" s="60"/>
      <c r="D935" s="61"/>
      <c r="E935" s="69"/>
      <c r="F935" s="60"/>
      <c r="G935" s="60"/>
      <c r="H935" s="60"/>
      <c r="I935" s="60"/>
      <c r="J935" s="60"/>
      <c r="K935" s="56"/>
      <c r="L935" s="56"/>
      <c r="M935" s="56"/>
      <c r="N935" s="56"/>
      <c r="O935" s="56"/>
      <c r="P935" s="56"/>
      <c r="Q935" s="56"/>
      <c r="R935" s="56"/>
      <c r="S935" s="56"/>
      <c r="T935" s="56"/>
      <c r="U935" s="56"/>
      <c r="V935" s="56"/>
      <c r="W935" s="56"/>
      <c r="X935" s="56"/>
      <c r="Y935" s="56"/>
      <c r="Z935" s="56"/>
      <c r="AA935" s="56"/>
      <c r="AB935" s="56"/>
    </row>
    <row r="936">
      <c r="A936" s="75"/>
      <c r="B936" s="69"/>
      <c r="C936" s="60"/>
      <c r="D936" s="61"/>
      <c r="E936" s="69"/>
      <c r="F936" s="60"/>
      <c r="G936" s="60"/>
      <c r="H936" s="60"/>
      <c r="I936" s="60"/>
      <c r="J936" s="60"/>
      <c r="K936" s="56"/>
      <c r="L936" s="56"/>
      <c r="M936" s="56"/>
      <c r="N936" s="56"/>
      <c r="O936" s="56"/>
      <c r="P936" s="56"/>
      <c r="Q936" s="56"/>
      <c r="R936" s="56"/>
      <c r="S936" s="56"/>
      <c r="T936" s="56"/>
      <c r="U936" s="56"/>
      <c r="V936" s="56"/>
      <c r="W936" s="56"/>
      <c r="X936" s="56"/>
      <c r="Y936" s="56"/>
      <c r="Z936" s="56"/>
      <c r="AA936" s="56"/>
      <c r="AB936" s="56"/>
    </row>
    <row r="937">
      <c r="A937" s="75"/>
      <c r="B937" s="69"/>
      <c r="C937" s="60"/>
      <c r="D937" s="61"/>
      <c r="E937" s="69"/>
      <c r="F937" s="60"/>
      <c r="G937" s="60"/>
      <c r="H937" s="60"/>
      <c r="I937" s="60"/>
      <c r="J937" s="60"/>
      <c r="K937" s="56"/>
      <c r="L937" s="56"/>
      <c r="M937" s="56"/>
      <c r="N937" s="56"/>
      <c r="O937" s="56"/>
      <c r="P937" s="56"/>
      <c r="Q937" s="56"/>
      <c r="R937" s="56"/>
      <c r="S937" s="56"/>
      <c r="T937" s="56"/>
      <c r="U937" s="56"/>
      <c r="V937" s="56"/>
      <c r="W937" s="56"/>
      <c r="X937" s="56"/>
      <c r="Y937" s="56"/>
      <c r="Z937" s="56"/>
      <c r="AA937" s="56"/>
      <c r="AB937" s="56"/>
    </row>
    <row r="938">
      <c r="A938" s="75"/>
      <c r="B938" s="69"/>
      <c r="C938" s="60"/>
      <c r="D938" s="61"/>
      <c r="E938" s="69"/>
      <c r="F938" s="60"/>
      <c r="G938" s="60"/>
      <c r="H938" s="60"/>
      <c r="I938" s="60"/>
      <c r="J938" s="60"/>
      <c r="K938" s="56"/>
      <c r="L938" s="56"/>
      <c r="M938" s="56"/>
      <c r="N938" s="56"/>
      <c r="O938" s="56"/>
      <c r="P938" s="56"/>
      <c r="Q938" s="56"/>
      <c r="R938" s="56"/>
      <c r="S938" s="56"/>
      <c r="T938" s="56"/>
      <c r="U938" s="56"/>
      <c r="V938" s="56"/>
      <c r="W938" s="56"/>
      <c r="X938" s="56"/>
      <c r="Y938" s="56"/>
      <c r="Z938" s="56"/>
      <c r="AA938" s="56"/>
      <c r="AB938" s="56"/>
    </row>
    <row r="939">
      <c r="A939" s="75"/>
      <c r="B939" s="69"/>
      <c r="C939" s="60"/>
      <c r="D939" s="61"/>
      <c r="E939" s="69"/>
      <c r="F939" s="60"/>
      <c r="G939" s="60"/>
      <c r="H939" s="60"/>
      <c r="I939" s="60"/>
      <c r="J939" s="60"/>
      <c r="K939" s="56"/>
      <c r="L939" s="56"/>
      <c r="M939" s="56"/>
      <c r="N939" s="56"/>
      <c r="O939" s="56"/>
      <c r="P939" s="56"/>
      <c r="Q939" s="56"/>
      <c r="R939" s="56"/>
      <c r="S939" s="56"/>
      <c r="T939" s="56"/>
      <c r="U939" s="56"/>
      <c r="V939" s="56"/>
      <c r="W939" s="56"/>
      <c r="X939" s="56"/>
      <c r="Y939" s="56"/>
      <c r="Z939" s="56"/>
      <c r="AA939" s="56"/>
      <c r="AB939" s="56"/>
    </row>
    <row r="940">
      <c r="A940" s="75"/>
      <c r="B940" s="69"/>
      <c r="C940" s="60"/>
      <c r="D940" s="61"/>
      <c r="E940" s="69"/>
      <c r="F940" s="60"/>
      <c r="G940" s="60"/>
      <c r="H940" s="60"/>
      <c r="I940" s="60"/>
      <c r="J940" s="60"/>
      <c r="K940" s="56"/>
      <c r="L940" s="56"/>
      <c r="M940" s="56"/>
      <c r="N940" s="56"/>
      <c r="O940" s="56"/>
      <c r="P940" s="56"/>
      <c r="Q940" s="56"/>
      <c r="R940" s="56"/>
      <c r="S940" s="56"/>
      <c r="T940" s="56"/>
      <c r="U940" s="56"/>
      <c r="V940" s="56"/>
      <c r="W940" s="56"/>
      <c r="X940" s="56"/>
      <c r="Y940" s="56"/>
      <c r="Z940" s="56"/>
      <c r="AA940" s="56"/>
      <c r="AB940" s="56"/>
    </row>
    <row r="941">
      <c r="A941" s="75"/>
      <c r="B941" s="69"/>
      <c r="C941" s="60"/>
      <c r="D941" s="61"/>
      <c r="E941" s="69"/>
      <c r="F941" s="60"/>
      <c r="G941" s="60"/>
      <c r="H941" s="60"/>
      <c r="I941" s="60"/>
      <c r="J941" s="60"/>
      <c r="K941" s="56"/>
      <c r="L941" s="56"/>
      <c r="M941" s="56"/>
      <c r="N941" s="56"/>
      <c r="O941" s="56"/>
      <c r="P941" s="56"/>
      <c r="Q941" s="56"/>
      <c r="R941" s="56"/>
      <c r="S941" s="56"/>
      <c r="T941" s="56"/>
      <c r="U941" s="56"/>
      <c r="V941" s="56"/>
      <c r="W941" s="56"/>
      <c r="X941" s="56"/>
      <c r="Y941" s="56"/>
      <c r="Z941" s="56"/>
      <c r="AA941" s="56"/>
      <c r="AB941" s="56"/>
    </row>
    <row r="942">
      <c r="A942" s="75"/>
      <c r="B942" s="69"/>
      <c r="C942" s="60"/>
      <c r="D942" s="61"/>
      <c r="E942" s="69"/>
      <c r="F942" s="60"/>
      <c r="G942" s="60"/>
      <c r="H942" s="60"/>
      <c r="I942" s="60"/>
      <c r="J942" s="60"/>
      <c r="K942" s="56"/>
      <c r="L942" s="56"/>
      <c r="M942" s="56"/>
      <c r="N942" s="56"/>
      <c r="O942" s="56"/>
      <c r="P942" s="56"/>
      <c r="Q942" s="56"/>
      <c r="R942" s="56"/>
      <c r="S942" s="56"/>
      <c r="T942" s="56"/>
      <c r="U942" s="56"/>
      <c r="V942" s="56"/>
      <c r="W942" s="56"/>
      <c r="X942" s="56"/>
      <c r="Y942" s="56"/>
      <c r="Z942" s="56"/>
      <c r="AA942" s="56"/>
      <c r="AB942" s="56"/>
    </row>
    <row r="943">
      <c r="A943" s="75"/>
      <c r="B943" s="69"/>
      <c r="C943" s="60"/>
      <c r="D943" s="61"/>
      <c r="E943" s="69"/>
      <c r="F943" s="60"/>
      <c r="G943" s="60"/>
      <c r="H943" s="60"/>
      <c r="I943" s="60"/>
      <c r="J943" s="60"/>
      <c r="K943" s="56"/>
      <c r="L943" s="56"/>
      <c r="M943" s="56"/>
      <c r="N943" s="56"/>
      <c r="O943" s="56"/>
      <c r="P943" s="56"/>
      <c r="Q943" s="56"/>
      <c r="R943" s="56"/>
      <c r="S943" s="56"/>
      <c r="T943" s="56"/>
      <c r="U943" s="56"/>
      <c r="V943" s="56"/>
      <c r="W943" s="56"/>
      <c r="X943" s="56"/>
      <c r="Y943" s="56"/>
      <c r="Z943" s="56"/>
      <c r="AA943" s="56"/>
      <c r="AB943" s="56"/>
    </row>
    <row r="944">
      <c r="A944" s="75"/>
      <c r="B944" s="69"/>
      <c r="C944" s="60"/>
      <c r="D944" s="61"/>
      <c r="E944" s="69"/>
      <c r="F944" s="60"/>
      <c r="G944" s="60"/>
      <c r="H944" s="60"/>
      <c r="I944" s="60"/>
      <c r="J944" s="60"/>
      <c r="K944" s="56"/>
      <c r="L944" s="56"/>
      <c r="M944" s="56"/>
      <c r="N944" s="56"/>
      <c r="O944" s="56"/>
      <c r="P944" s="56"/>
      <c r="Q944" s="56"/>
      <c r="R944" s="56"/>
      <c r="S944" s="56"/>
      <c r="T944" s="56"/>
      <c r="U944" s="56"/>
      <c r="V944" s="56"/>
      <c r="W944" s="56"/>
      <c r="X944" s="56"/>
      <c r="Y944" s="56"/>
      <c r="Z944" s="56"/>
      <c r="AA944" s="56"/>
      <c r="AB944" s="56"/>
    </row>
    <row r="945">
      <c r="A945" s="75"/>
      <c r="B945" s="69"/>
      <c r="C945" s="60"/>
      <c r="D945" s="61"/>
      <c r="E945" s="69"/>
      <c r="F945" s="60"/>
      <c r="G945" s="60"/>
      <c r="H945" s="60"/>
      <c r="I945" s="60"/>
      <c r="J945" s="60"/>
      <c r="K945" s="56"/>
      <c r="L945" s="56"/>
      <c r="M945" s="56"/>
      <c r="N945" s="56"/>
      <c r="O945" s="56"/>
      <c r="P945" s="56"/>
      <c r="Q945" s="56"/>
      <c r="R945" s="56"/>
      <c r="S945" s="56"/>
      <c r="T945" s="56"/>
      <c r="U945" s="56"/>
      <c r="V945" s="56"/>
      <c r="W945" s="56"/>
      <c r="X945" s="56"/>
      <c r="Y945" s="56"/>
      <c r="Z945" s="56"/>
      <c r="AA945" s="56"/>
      <c r="AB945" s="56"/>
    </row>
    <row r="946">
      <c r="A946" s="75"/>
      <c r="B946" s="69"/>
      <c r="C946" s="60"/>
      <c r="D946" s="61"/>
      <c r="E946" s="69"/>
      <c r="F946" s="60"/>
      <c r="G946" s="60"/>
      <c r="H946" s="60"/>
      <c r="I946" s="60"/>
      <c r="J946" s="60"/>
      <c r="K946" s="56"/>
      <c r="L946" s="56"/>
      <c r="M946" s="56"/>
      <c r="N946" s="56"/>
      <c r="O946" s="56"/>
      <c r="P946" s="56"/>
      <c r="Q946" s="56"/>
      <c r="R946" s="56"/>
      <c r="S946" s="56"/>
      <c r="T946" s="56"/>
      <c r="U946" s="56"/>
      <c r="V946" s="56"/>
      <c r="W946" s="56"/>
      <c r="X946" s="56"/>
      <c r="Y946" s="56"/>
      <c r="Z946" s="56"/>
      <c r="AA946" s="56"/>
      <c r="AB946" s="56"/>
    </row>
    <row r="947">
      <c r="A947" s="75"/>
      <c r="B947" s="69"/>
      <c r="C947" s="60"/>
      <c r="D947" s="61"/>
      <c r="E947" s="69"/>
      <c r="F947" s="60"/>
      <c r="G947" s="60"/>
      <c r="H947" s="60"/>
      <c r="I947" s="60"/>
      <c r="J947" s="60"/>
      <c r="K947" s="56"/>
      <c r="L947" s="56"/>
      <c r="M947" s="56"/>
      <c r="N947" s="56"/>
      <c r="O947" s="56"/>
      <c r="P947" s="56"/>
      <c r="Q947" s="56"/>
      <c r="R947" s="56"/>
      <c r="S947" s="56"/>
      <c r="T947" s="56"/>
      <c r="U947" s="56"/>
      <c r="V947" s="56"/>
      <c r="W947" s="56"/>
      <c r="X947" s="56"/>
      <c r="Y947" s="56"/>
      <c r="Z947" s="56"/>
      <c r="AA947" s="56"/>
      <c r="AB947" s="56"/>
    </row>
    <row r="948">
      <c r="A948" s="75"/>
      <c r="B948" s="69"/>
      <c r="C948" s="60"/>
      <c r="D948" s="61"/>
      <c r="E948" s="69"/>
      <c r="F948" s="60"/>
      <c r="G948" s="60"/>
      <c r="H948" s="60"/>
      <c r="I948" s="60"/>
      <c r="J948" s="60"/>
      <c r="K948" s="56"/>
      <c r="L948" s="56"/>
      <c r="M948" s="56"/>
      <c r="N948" s="56"/>
      <c r="O948" s="56"/>
      <c r="P948" s="56"/>
      <c r="Q948" s="56"/>
      <c r="R948" s="56"/>
      <c r="S948" s="56"/>
      <c r="T948" s="56"/>
      <c r="U948" s="56"/>
      <c r="V948" s="56"/>
      <c r="W948" s="56"/>
      <c r="X948" s="56"/>
      <c r="Y948" s="56"/>
      <c r="Z948" s="56"/>
      <c r="AA948" s="56"/>
      <c r="AB948" s="56"/>
    </row>
    <row r="949">
      <c r="A949" s="75"/>
      <c r="B949" s="69"/>
      <c r="C949" s="60"/>
      <c r="D949" s="61"/>
      <c r="E949" s="69"/>
      <c r="F949" s="60"/>
      <c r="G949" s="60"/>
      <c r="H949" s="60"/>
      <c r="I949" s="60"/>
      <c r="J949" s="60"/>
      <c r="K949" s="56"/>
      <c r="L949" s="56"/>
      <c r="M949" s="56"/>
      <c r="N949" s="56"/>
      <c r="O949" s="56"/>
      <c r="P949" s="56"/>
      <c r="Q949" s="56"/>
      <c r="R949" s="56"/>
      <c r="S949" s="56"/>
      <c r="T949" s="56"/>
      <c r="U949" s="56"/>
      <c r="V949" s="56"/>
      <c r="W949" s="56"/>
      <c r="X949" s="56"/>
      <c r="Y949" s="56"/>
      <c r="Z949" s="56"/>
      <c r="AA949" s="56"/>
      <c r="AB949" s="56"/>
    </row>
    <row r="950">
      <c r="A950" s="75"/>
      <c r="B950" s="69"/>
      <c r="C950" s="60"/>
      <c r="D950" s="61"/>
      <c r="E950" s="69"/>
      <c r="F950" s="60"/>
      <c r="G950" s="60"/>
      <c r="H950" s="60"/>
      <c r="I950" s="60"/>
      <c r="J950" s="60"/>
      <c r="K950" s="56"/>
      <c r="L950" s="56"/>
      <c r="M950" s="56"/>
      <c r="N950" s="56"/>
      <c r="O950" s="56"/>
      <c r="P950" s="56"/>
      <c r="Q950" s="56"/>
      <c r="R950" s="56"/>
      <c r="S950" s="56"/>
      <c r="T950" s="56"/>
      <c r="U950" s="56"/>
      <c r="V950" s="56"/>
      <c r="W950" s="56"/>
      <c r="X950" s="56"/>
      <c r="Y950" s="56"/>
      <c r="Z950" s="56"/>
      <c r="AA950" s="56"/>
      <c r="AB950" s="56"/>
    </row>
    <row r="951">
      <c r="A951" s="75"/>
      <c r="B951" s="69"/>
      <c r="C951" s="60"/>
      <c r="D951" s="61"/>
      <c r="E951" s="69"/>
      <c r="F951" s="60"/>
      <c r="G951" s="60"/>
      <c r="H951" s="60"/>
      <c r="I951" s="60"/>
      <c r="J951" s="60"/>
      <c r="K951" s="56"/>
      <c r="L951" s="56"/>
      <c r="M951" s="56"/>
      <c r="N951" s="56"/>
      <c r="O951" s="56"/>
      <c r="P951" s="56"/>
      <c r="Q951" s="56"/>
      <c r="R951" s="56"/>
      <c r="S951" s="56"/>
      <c r="T951" s="56"/>
      <c r="U951" s="56"/>
      <c r="V951" s="56"/>
      <c r="W951" s="56"/>
      <c r="X951" s="56"/>
      <c r="Y951" s="56"/>
      <c r="Z951" s="56"/>
      <c r="AA951" s="56"/>
      <c r="AB951" s="56"/>
    </row>
    <row r="952">
      <c r="A952" s="75"/>
      <c r="B952" s="69"/>
      <c r="C952" s="60"/>
      <c r="D952" s="61"/>
      <c r="E952" s="69"/>
      <c r="F952" s="60"/>
      <c r="G952" s="60"/>
      <c r="H952" s="60"/>
      <c r="I952" s="60"/>
      <c r="J952" s="60"/>
      <c r="K952" s="56"/>
      <c r="L952" s="56"/>
      <c r="M952" s="56"/>
      <c r="N952" s="56"/>
      <c r="O952" s="56"/>
      <c r="P952" s="56"/>
      <c r="Q952" s="56"/>
      <c r="R952" s="56"/>
      <c r="S952" s="56"/>
      <c r="T952" s="56"/>
      <c r="U952" s="56"/>
      <c r="V952" s="56"/>
      <c r="W952" s="56"/>
      <c r="X952" s="56"/>
      <c r="Y952" s="56"/>
      <c r="Z952" s="56"/>
      <c r="AA952" s="56"/>
      <c r="AB952" s="56"/>
    </row>
    <row r="953">
      <c r="A953" s="75"/>
      <c r="B953" s="69"/>
      <c r="C953" s="60"/>
      <c r="D953" s="61"/>
      <c r="E953" s="69"/>
      <c r="F953" s="60"/>
      <c r="G953" s="60"/>
      <c r="H953" s="60"/>
      <c r="I953" s="60"/>
      <c r="J953" s="60"/>
      <c r="K953" s="56"/>
      <c r="L953" s="56"/>
      <c r="M953" s="56"/>
      <c r="N953" s="56"/>
      <c r="O953" s="56"/>
      <c r="P953" s="56"/>
      <c r="Q953" s="56"/>
      <c r="R953" s="56"/>
      <c r="S953" s="56"/>
      <c r="T953" s="56"/>
      <c r="U953" s="56"/>
      <c r="V953" s="56"/>
      <c r="W953" s="56"/>
      <c r="X953" s="56"/>
      <c r="Y953" s="56"/>
      <c r="Z953" s="56"/>
      <c r="AA953" s="56"/>
      <c r="AB953" s="56"/>
    </row>
    <row r="954">
      <c r="A954" s="75"/>
      <c r="B954" s="69"/>
      <c r="C954" s="60"/>
      <c r="D954" s="61"/>
      <c r="E954" s="69"/>
      <c r="F954" s="60"/>
      <c r="G954" s="60"/>
      <c r="H954" s="60"/>
      <c r="I954" s="60"/>
      <c r="J954" s="60"/>
      <c r="K954" s="56"/>
      <c r="L954" s="56"/>
      <c r="M954" s="56"/>
      <c r="N954" s="56"/>
      <c r="O954" s="56"/>
      <c r="P954" s="56"/>
      <c r="Q954" s="56"/>
      <c r="R954" s="56"/>
      <c r="S954" s="56"/>
      <c r="T954" s="56"/>
      <c r="U954" s="56"/>
      <c r="V954" s="56"/>
      <c r="W954" s="56"/>
      <c r="X954" s="56"/>
      <c r="Y954" s="56"/>
      <c r="Z954" s="56"/>
      <c r="AA954" s="56"/>
      <c r="AB954" s="56"/>
    </row>
    <row r="955">
      <c r="A955" s="75"/>
      <c r="B955" s="69"/>
      <c r="C955" s="60"/>
      <c r="D955" s="61"/>
      <c r="E955" s="69"/>
      <c r="F955" s="60"/>
      <c r="G955" s="60"/>
      <c r="H955" s="60"/>
      <c r="I955" s="60"/>
      <c r="J955" s="60"/>
      <c r="K955" s="56"/>
      <c r="L955" s="56"/>
      <c r="M955" s="56"/>
      <c r="N955" s="56"/>
      <c r="O955" s="56"/>
      <c r="P955" s="56"/>
      <c r="Q955" s="56"/>
      <c r="R955" s="56"/>
      <c r="S955" s="56"/>
      <c r="T955" s="56"/>
      <c r="U955" s="56"/>
      <c r="V955" s="56"/>
      <c r="W955" s="56"/>
      <c r="X955" s="56"/>
      <c r="Y955" s="56"/>
      <c r="Z955" s="56"/>
      <c r="AA955" s="56"/>
      <c r="AB955" s="56"/>
    </row>
    <row r="956">
      <c r="A956" s="75"/>
      <c r="B956" s="69"/>
      <c r="C956" s="60"/>
      <c r="D956" s="61"/>
      <c r="E956" s="69"/>
      <c r="F956" s="60"/>
      <c r="G956" s="60"/>
      <c r="H956" s="60"/>
      <c r="I956" s="60"/>
      <c r="J956" s="60"/>
      <c r="K956" s="56"/>
      <c r="L956" s="56"/>
      <c r="M956" s="56"/>
      <c r="N956" s="56"/>
      <c r="O956" s="56"/>
      <c r="P956" s="56"/>
      <c r="Q956" s="56"/>
      <c r="R956" s="56"/>
      <c r="S956" s="56"/>
      <c r="T956" s="56"/>
      <c r="U956" s="56"/>
      <c r="V956" s="56"/>
      <c r="W956" s="56"/>
      <c r="X956" s="56"/>
      <c r="Y956" s="56"/>
      <c r="Z956" s="56"/>
      <c r="AA956" s="56"/>
      <c r="AB956" s="56"/>
    </row>
    <row r="957">
      <c r="A957" s="75"/>
      <c r="B957" s="69"/>
      <c r="C957" s="60"/>
      <c r="D957" s="61"/>
      <c r="E957" s="69"/>
      <c r="F957" s="60"/>
      <c r="G957" s="60"/>
      <c r="H957" s="60"/>
      <c r="I957" s="60"/>
      <c r="J957" s="60"/>
      <c r="K957" s="56"/>
      <c r="L957" s="56"/>
      <c r="M957" s="56"/>
      <c r="N957" s="56"/>
      <c r="O957" s="56"/>
      <c r="P957" s="56"/>
      <c r="Q957" s="56"/>
      <c r="R957" s="56"/>
      <c r="S957" s="56"/>
      <c r="T957" s="56"/>
      <c r="U957" s="56"/>
      <c r="V957" s="56"/>
      <c r="W957" s="56"/>
      <c r="X957" s="56"/>
      <c r="Y957" s="56"/>
      <c r="Z957" s="56"/>
      <c r="AA957" s="56"/>
      <c r="AB957" s="56"/>
    </row>
    <row r="958">
      <c r="A958" s="75"/>
      <c r="B958" s="69"/>
      <c r="C958" s="60"/>
      <c r="D958" s="61"/>
      <c r="E958" s="69"/>
      <c r="F958" s="60"/>
      <c r="G958" s="60"/>
      <c r="H958" s="60"/>
      <c r="I958" s="60"/>
      <c r="J958" s="60"/>
      <c r="K958" s="56"/>
      <c r="L958" s="56"/>
      <c r="M958" s="56"/>
      <c r="N958" s="56"/>
      <c r="O958" s="56"/>
      <c r="P958" s="56"/>
      <c r="Q958" s="56"/>
      <c r="R958" s="56"/>
      <c r="S958" s="56"/>
      <c r="T958" s="56"/>
      <c r="U958" s="56"/>
      <c r="V958" s="56"/>
      <c r="W958" s="56"/>
      <c r="X958" s="56"/>
      <c r="Y958" s="56"/>
      <c r="Z958" s="56"/>
      <c r="AA958" s="56"/>
      <c r="AB958" s="56"/>
    </row>
    <row r="959">
      <c r="A959" s="75"/>
      <c r="B959" s="69"/>
      <c r="C959" s="60"/>
      <c r="D959" s="61"/>
      <c r="E959" s="69"/>
      <c r="F959" s="60"/>
      <c r="G959" s="60"/>
      <c r="H959" s="60"/>
      <c r="I959" s="60"/>
      <c r="J959" s="60"/>
      <c r="K959" s="56"/>
      <c r="L959" s="56"/>
      <c r="M959" s="56"/>
      <c r="N959" s="56"/>
      <c r="O959" s="56"/>
      <c r="P959" s="56"/>
      <c r="Q959" s="56"/>
      <c r="R959" s="56"/>
      <c r="S959" s="56"/>
      <c r="T959" s="56"/>
      <c r="U959" s="56"/>
      <c r="V959" s="56"/>
      <c r="W959" s="56"/>
      <c r="X959" s="56"/>
      <c r="Y959" s="56"/>
      <c r="Z959" s="56"/>
      <c r="AA959" s="56"/>
      <c r="AB959" s="56"/>
    </row>
    <row r="960">
      <c r="A960" s="75"/>
      <c r="B960" s="69"/>
      <c r="C960" s="60"/>
      <c r="D960" s="61"/>
      <c r="E960" s="69"/>
      <c r="F960" s="60"/>
      <c r="G960" s="60"/>
      <c r="H960" s="60"/>
      <c r="I960" s="60"/>
      <c r="J960" s="60"/>
      <c r="K960" s="56"/>
      <c r="L960" s="56"/>
      <c r="M960" s="56"/>
      <c r="N960" s="56"/>
      <c r="O960" s="56"/>
      <c r="P960" s="56"/>
      <c r="Q960" s="56"/>
      <c r="R960" s="56"/>
      <c r="S960" s="56"/>
      <c r="T960" s="56"/>
      <c r="U960" s="56"/>
      <c r="V960" s="56"/>
      <c r="W960" s="56"/>
      <c r="X960" s="56"/>
      <c r="Y960" s="56"/>
      <c r="Z960" s="56"/>
      <c r="AA960" s="56"/>
      <c r="AB960" s="56"/>
    </row>
    <row r="961">
      <c r="A961" s="75"/>
      <c r="B961" s="69"/>
      <c r="C961" s="60"/>
      <c r="D961" s="61"/>
      <c r="E961" s="69"/>
      <c r="F961" s="60"/>
      <c r="G961" s="60"/>
      <c r="H961" s="60"/>
      <c r="I961" s="60"/>
      <c r="J961" s="60"/>
      <c r="K961" s="56"/>
      <c r="L961" s="56"/>
      <c r="M961" s="56"/>
      <c r="N961" s="56"/>
      <c r="O961" s="56"/>
      <c r="P961" s="56"/>
      <c r="Q961" s="56"/>
      <c r="R961" s="56"/>
      <c r="S961" s="56"/>
      <c r="T961" s="56"/>
      <c r="U961" s="56"/>
      <c r="V961" s="56"/>
      <c r="W961" s="56"/>
      <c r="X961" s="56"/>
      <c r="Y961" s="56"/>
      <c r="Z961" s="56"/>
      <c r="AA961" s="56"/>
      <c r="AB961" s="56"/>
    </row>
    <row r="962">
      <c r="A962" s="75"/>
      <c r="B962" s="69"/>
      <c r="C962" s="60"/>
      <c r="D962" s="61"/>
      <c r="E962" s="69"/>
      <c r="F962" s="60"/>
      <c r="G962" s="60"/>
      <c r="H962" s="60"/>
      <c r="I962" s="60"/>
      <c r="J962" s="60"/>
      <c r="K962" s="56"/>
      <c r="L962" s="56"/>
      <c r="M962" s="56"/>
      <c r="N962" s="56"/>
      <c r="O962" s="56"/>
      <c r="P962" s="56"/>
      <c r="Q962" s="56"/>
      <c r="R962" s="56"/>
      <c r="S962" s="56"/>
      <c r="T962" s="56"/>
      <c r="U962" s="56"/>
      <c r="V962" s="56"/>
      <c r="W962" s="56"/>
      <c r="X962" s="56"/>
      <c r="Y962" s="56"/>
      <c r="Z962" s="56"/>
      <c r="AA962" s="56"/>
      <c r="AB962" s="56"/>
    </row>
    <row r="963">
      <c r="A963" s="75"/>
      <c r="B963" s="69"/>
      <c r="C963" s="60"/>
      <c r="D963" s="61"/>
      <c r="E963" s="69"/>
      <c r="F963" s="60"/>
      <c r="G963" s="60"/>
      <c r="H963" s="60"/>
      <c r="I963" s="60"/>
      <c r="J963" s="60"/>
      <c r="K963" s="56"/>
      <c r="L963" s="56"/>
      <c r="M963" s="56"/>
      <c r="N963" s="56"/>
      <c r="O963" s="56"/>
      <c r="P963" s="56"/>
      <c r="Q963" s="56"/>
      <c r="R963" s="56"/>
      <c r="S963" s="56"/>
      <c r="T963" s="56"/>
      <c r="U963" s="56"/>
      <c r="V963" s="56"/>
      <c r="W963" s="56"/>
      <c r="X963" s="56"/>
      <c r="Y963" s="56"/>
      <c r="Z963" s="56"/>
      <c r="AA963" s="56"/>
      <c r="AB963" s="56"/>
    </row>
    <row r="964">
      <c r="A964" s="75"/>
      <c r="B964" s="69"/>
      <c r="C964" s="60"/>
      <c r="D964" s="61"/>
      <c r="E964" s="69"/>
      <c r="F964" s="60"/>
      <c r="G964" s="60"/>
      <c r="H964" s="60"/>
      <c r="I964" s="60"/>
      <c r="J964" s="60"/>
      <c r="K964" s="56"/>
      <c r="L964" s="56"/>
      <c r="M964" s="56"/>
      <c r="N964" s="56"/>
      <c r="O964" s="56"/>
      <c r="P964" s="56"/>
      <c r="Q964" s="56"/>
      <c r="R964" s="56"/>
      <c r="S964" s="56"/>
      <c r="T964" s="56"/>
      <c r="U964" s="56"/>
      <c r="V964" s="56"/>
      <c r="W964" s="56"/>
      <c r="X964" s="56"/>
      <c r="Y964" s="56"/>
      <c r="Z964" s="56"/>
      <c r="AA964" s="56"/>
      <c r="AB964" s="56"/>
    </row>
    <row r="965">
      <c r="A965" s="75"/>
      <c r="B965" s="69"/>
      <c r="C965" s="60"/>
      <c r="D965" s="61"/>
      <c r="E965" s="69"/>
      <c r="F965" s="60"/>
      <c r="G965" s="60"/>
      <c r="H965" s="60"/>
      <c r="I965" s="60"/>
      <c r="J965" s="60"/>
      <c r="K965" s="56"/>
      <c r="L965" s="56"/>
      <c r="M965" s="56"/>
      <c r="N965" s="56"/>
      <c r="O965" s="56"/>
      <c r="P965" s="56"/>
      <c r="Q965" s="56"/>
      <c r="R965" s="56"/>
      <c r="S965" s="56"/>
      <c r="T965" s="56"/>
      <c r="U965" s="56"/>
      <c r="V965" s="56"/>
      <c r="W965" s="56"/>
      <c r="X965" s="56"/>
      <c r="Y965" s="56"/>
      <c r="Z965" s="56"/>
      <c r="AA965" s="56"/>
      <c r="AB965" s="56"/>
    </row>
    <row r="966">
      <c r="A966" s="75"/>
      <c r="B966" s="69"/>
      <c r="C966" s="60"/>
      <c r="D966" s="61"/>
      <c r="E966" s="69"/>
      <c r="F966" s="60"/>
      <c r="G966" s="60"/>
      <c r="H966" s="60"/>
      <c r="I966" s="60"/>
      <c r="J966" s="60"/>
      <c r="K966" s="56"/>
      <c r="L966" s="56"/>
      <c r="M966" s="56"/>
      <c r="N966" s="56"/>
      <c r="O966" s="56"/>
      <c r="P966" s="56"/>
      <c r="Q966" s="56"/>
      <c r="R966" s="56"/>
      <c r="S966" s="56"/>
      <c r="T966" s="56"/>
      <c r="U966" s="56"/>
      <c r="V966" s="56"/>
      <c r="W966" s="56"/>
      <c r="X966" s="56"/>
      <c r="Y966" s="56"/>
      <c r="Z966" s="56"/>
      <c r="AA966" s="56"/>
      <c r="AB966" s="56"/>
    </row>
    <row r="967">
      <c r="A967" s="75"/>
      <c r="B967" s="69"/>
      <c r="C967" s="60"/>
      <c r="D967" s="61"/>
      <c r="E967" s="69"/>
      <c r="F967" s="60"/>
      <c r="G967" s="60"/>
      <c r="H967" s="60"/>
      <c r="I967" s="60"/>
      <c r="J967" s="60"/>
      <c r="K967" s="56"/>
      <c r="L967" s="56"/>
      <c r="M967" s="56"/>
      <c r="N967" s="56"/>
      <c r="O967" s="56"/>
      <c r="P967" s="56"/>
      <c r="Q967" s="56"/>
      <c r="R967" s="56"/>
      <c r="S967" s="56"/>
      <c r="T967" s="56"/>
      <c r="U967" s="56"/>
      <c r="V967" s="56"/>
      <c r="W967" s="56"/>
      <c r="X967" s="56"/>
      <c r="Y967" s="56"/>
      <c r="Z967" s="56"/>
      <c r="AA967" s="56"/>
      <c r="AB967" s="56"/>
    </row>
    <row r="968">
      <c r="A968" s="75"/>
      <c r="B968" s="69"/>
      <c r="C968" s="60"/>
      <c r="D968" s="61"/>
      <c r="E968" s="69"/>
      <c r="F968" s="60"/>
      <c r="G968" s="60"/>
      <c r="H968" s="60"/>
      <c r="I968" s="60"/>
      <c r="J968" s="60"/>
      <c r="K968" s="56"/>
      <c r="L968" s="56"/>
      <c r="M968" s="56"/>
      <c r="N968" s="56"/>
      <c r="O968" s="56"/>
      <c r="P968" s="56"/>
      <c r="Q968" s="56"/>
      <c r="R968" s="56"/>
      <c r="S968" s="56"/>
      <c r="T968" s="56"/>
      <c r="U968" s="56"/>
      <c r="V968" s="56"/>
      <c r="W968" s="56"/>
      <c r="X968" s="56"/>
      <c r="Y968" s="56"/>
      <c r="Z968" s="56"/>
      <c r="AA968" s="56"/>
      <c r="AB968" s="56"/>
    </row>
    <row r="969">
      <c r="A969" s="75"/>
      <c r="B969" s="69"/>
      <c r="C969" s="60"/>
      <c r="D969" s="61"/>
      <c r="E969" s="69"/>
      <c r="F969" s="60"/>
      <c r="G969" s="60"/>
      <c r="H969" s="60"/>
      <c r="I969" s="60"/>
      <c r="J969" s="60"/>
      <c r="K969" s="56"/>
      <c r="L969" s="56"/>
      <c r="M969" s="56"/>
      <c r="N969" s="56"/>
      <c r="O969" s="56"/>
      <c r="P969" s="56"/>
      <c r="Q969" s="56"/>
      <c r="R969" s="56"/>
      <c r="S969" s="56"/>
      <c r="T969" s="56"/>
      <c r="U969" s="56"/>
      <c r="V969" s="56"/>
      <c r="W969" s="56"/>
      <c r="X969" s="56"/>
      <c r="Y969" s="56"/>
      <c r="Z969" s="56"/>
      <c r="AA969" s="56"/>
      <c r="AB969" s="56"/>
    </row>
    <row r="970">
      <c r="A970" s="75"/>
      <c r="B970" s="69"/>
      <c r="C970" s="60"/>
      <c r="D970" s="61"/>
      <c r="E970" s="69"/>
      <c r="F970" s="60"/>
      <c r="G970" s="60"/>
      <c r="H970" s="60"/>
      <c r="I970" s="60"/>
      <c r="J970" s="60"/>
      <c r="K970" s="56"/>
      <c r="L970" s="56"/>
      <c r="M970" s="56"/>
      <c r="N970" s="56"/>
      <c r="O970" s="56"/>
      <c r="P970" s="56"/>
      <c r="Q970" s="56"/>
      <c r="R970" s="56"/>
      <c r="S970" s="56"/>
      <c r="T970" s="56"/>
      <c r="U970" s="56"/>
      <c r="V970" s="56"/>
      <c r="W970" s="56"/>
      <c r="X970" s="56"/>
      <c r="Y970" s="56"/>
      <c r="Z970" s="56"/>
      <c r="AA970" s="56"/>
      <c r="AB970" s="56"/>
    </row>
    <row r="971">
      <c r="A971" s="75"/>
      <c r="B971" s="69"/>
      <c r="C971" s="60"/>
      <c r="D971" s="61"/>
      <c r="E971" s="69"/>
      <c r="F971" s="60"/>
      <c r="G971" s="60"/>
      <c r="H971" s="60"/>
      <c r="I971" s="60"/>
      <c r="J971" s="60"/>
      <c r="K971" s="56"/>
      <c r="L971" s="56"/>
      <c r="M971" s="56"/>
      <c r="N971" s="56"/>
      <c r="O971" s="56"/>
      <c r="P971" s="56"/>
      <c r="Q971" s="56"/>
      <c r="R971" s="56"/>
      <c r="S971" s="56"/>
      <c r="T971" s="56"/>
      <c r="U971" s="56"/>
      <c r="V971" s="56"/>
      <c r="W971" s="56"/>
      <c r="X971" s="56"/>
      <c r="Y971" s="56"/>
      <c r="Z971" s="56"/>
      <c r="AA971" s="56"/>
      <c r="AB971" s="56"/>
    </row>
    <row r="972">
      <c r="A972" s="75"/>
      <c r="B972" s="69"/>
      <c r="C972" s="60"/>
      <c r="D972" s="61"/>
      <c r="E972" s="69"/>
      <c r="F972" s="60"/>
      <c r="G972" s="60"/>
      <c r="H972" s="60"/>
      <c r="I972" s="60"/>
      <c r="J972" s="60"/>
      <c r="K972" s="56"/>
      <c r="L972" s="56"/>
      <c r="M972" s="56"/>
      <c r="N972" s="56"/>
      <c r="O972" s="56"/>
      <c r="P972" s="56"/>
      <c r="Q972" s="56"/>
      <c r="R972" s="56"/>
      <c r="S972" s="56"/>
      <c r="T972" s="56"/>
      <c r="U972" s="56"/>
      <c r="V972" s="56"/>
      <c r="W972" s="56"/>
      <c r="X972" s="56"/>
      <c r="Y972" s="56"/>
      <c r="Z972" s="56"/>
      <c r="AA972" s="56"/>
      <c r="AB972" s="56"/>
    </row>
    <row r="973">
      <c r="A973" s="75"/>
      <c r="B973" s="69"/>
      <c r="C973" s="60"/>
      <c r="D973" s="61"/>
      <c r="E973" s="69"/>
      <c r="F973" s="60"/>
      <c r="G973" s="60"/>
      <c r="H973" s="60"/>
      <c r="I973" s="60"/>
      <c r="J973" s="60"/>
      <c r="K973" s="56"/>
      <c r="L973" s="56"/>
      <c r="M973" s="56"/>
      <c r="N973" s="56"/>
      <c r="O973" s="56"/>
      <c r="P973" s="56"/>
      <c r="Q973" s="56"/>
      <c r="R973" s="56"/>
      <c r="S973" s="56"/>
      <c r="T973" s="56"/>
      <c r="U973" s="56"/>
      <c r="V973" s="56"/>
      <c r="W973" s="56"/>
      <c r="X973" s="56"/>
      <c r="Y973" s="56"/>
      <c r="Z973" s="56"/>
      <c r="AA973" s="56"/>
      <c r="AB973" s="56"/>
    </row>
    <row r="974">
      <c r="A974" s="75"/>
      <c r="B974" s="69"/>
      <c r="C974" s="60"/>
      <c r="D974" s="61"/>
      <c r="E974" s="69"/>
      <c r="F974" s="60"/>
      <c r="G974" s="60"/>
      <c r="H974" s="60"/>
      <c r="I974" s="60"/>
      <c r="J974" s="60"/>
      <c r="K974" s="56"/>
      <c r="L974" s="56"/>
      <c r="M974" s="56"/>
      <c r="N974" s="56"/>
      <c r="O974" s="56"/>
      <c r="P974" s="56"/>
      <c r="Q974" s="56"/>
      <c r="R974" s="56"/>
      <c r="S974" s="56"/>
      <c r="T974" s="56"/>
      <c r="U974" s="56"/>
      <c r="V974" s="56"/>
      <c r="W974" s="56"/>
      <c r="X974" s="56"/>
      <c r="Y974" s="56"/>
      <c r="Z974" s="56"/>
      <c r="AA974" s="56"/>
      <c r="AB974" s="56"/>
    </row>
    <row r="975">
      <c r="A975" s="75"/>
      <c r="B975" s="69"/>
      <c r="C975" s="60"/>
      <c r="D975" s="61"/>
      <c r="E975" s="69"/>
      <c r="F975" s="60"/>
      <c r="G975" s="60"/>
      <c r="H975" s="60"/>
      <c r="I975" s="60"/>
      <c r="J975" s="60"/>
      <c r="K975" s="56"/>
      <c r="L975" s="56"/>
      <c r="M975" s="56"/>
      <c r="N975" s="56"/>
      <c r="O975" s="56"/>
      <c r="P975" s="56"/>
      <c r="Q975" s="56"/>
      <c r="R975" s="56"/>
      <c r="S975" s="56"/>
      <c r="T975" s="56"/>
      <c r="U975" s="56"/>
      <c r="V975" s="56"/>
      <c r="W975" s="56"/>
      <c r="X975" s="56"/>
      <c r="Y975" s="56"/>
      <c r="Z975" s="56"/>
      <c r="AA975" s="56"/>
      <c r="AB975" s="56"/>
    </row>
    <row r="976">
      <c r="A976" s="75"/>
      <c r="B976" s="69"/>
      <c r="C976" s="60"/>
      <c r="D976" s="61"/>
      <c r="E976" s="69"/>
      <c r="F976" s="60"/>
      <c r="G976" s="60"/>
      <c r="H976" s="60"/>
      <c r="I976" s="60"/>
      <c r="J976" s="60"/>
      <c r="K976" s="56"/>
      <c r="L976" s="56"/>
      <c r="M976" s="56"/>
      <c r="N976" s="56"/>
      <c r="O976" s="56"/>
      <c r="P976" s="56"/>
      <c r="Q976" s="56"/>
      <c r="R976" s="56"/>
      <c r="S976" s="56"/>
      <c r="T976" s="56"/>
      <c r="U976" s="56"/>
      <c r="V976" s="56"/>
      <c r="W976" s="56"/>
      <c r="X976" s="56"/>
      <c r="Y976" s="56"/>
      <c r="Z976" s="56"/>
      <c r="AA976" s="56"/>
      <c r="AB976" s="56"/>
    </row>
    <row r="977">
      <c r="A977" s="75"/>
      <c r="B977" s="69"/>
      <c r="C977" s="60"/>
      <c r="D977" s="61"/>
      <c r="E977" s="69"/>
      <c r="F977" s="60"/>
      <c r="G977" s="60"/>
      <c r="H977" s="60"/>
      <c r="I977" s="60"/>
      <c r="J977" s="60"/>
      <c r="K977" s="56"/>
      <c r="L977" s="56"/>
      <c r="M977" s="56"/>
      <c r="N977" s="56"/>
      <c r="O977" s="56"/>
      <c r="P977" s="56"/>
      <c r="Q977" s="56"/>
      <c r="R977" s="56"/>
      <c r="S977" s="56"/>
      <c r="T977" s="56"/>
      <c r="U977" s="56"/>
      <c r="V977" s="56"/>
      <c r="W977" s="56"/>
      <c r="X977" s="56"/>
      <c r="Y977" s="56"/>
      <c r="Z977" s="56"/>
      <c r="AA977" s="56"/>
      <c r="AB977" s="56"/>
    </row>
    <row r="978">
      <c r="A978" s="75"/>
      <c r="B978" s="69"/>
      <c r="C978" s="60"/>
      <c r="D978" s="61"/>
      <c r="E978" s="69"/>
      <c r="F978" s="60"/>
      <c r="G978" s="60"/>
      <c r="H978" s="60"/>
      <c r="I978" s="60"/>
      <c r="J978" s="60"/>
      <c r="K978" s="56"/>
      <c r="L978" s="56"/>
      <c r="M978" s="56"/>
      <c r="N978" s="56"/>
      <c r="O978" s="56"/>
      <c r="P978" s="56"/>
      <c r="Q978" s="56"/>
      <c r="R978" s="56"/>
      <c r="S978" s="56"/>
      <c r="T978" s="56"/>
      <c r="U978" s="56"/>
      <c r="V978" s="56"/>
      <c r="W978" s="56"/>
      <c r="X978" s="56"/>
      <c r="Y978" s="56"/>
      <c r="Z978" s="56"/>
      <c r="AA978" s="56"/>
      <c r="AB978"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978">
    <cfRule type="colorScale" priority="1">
      <colorScale>
        <cfvo type="formula" val="0"/>
        <cfvo type="formula" val="1"/>
        <color rgb="FFFFFFFF"/>
        <color rgb="FFE67C73"/>
      </colorScale>
    </cfRule>
  </conditionalFormatting>
  <conditionalFormatting sqref="E2:E978">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8">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hidden="1" min="10" max="11" width="12.63"/>
  </cols>
  <sheetData>
    <row r="1">
      <c r="A1" s="1" t="s">
        <v>0</v>
      </c>
      <c r="B1" s="1" t="s">
        <v>1</v>
      </c>
      <c r="C1" s="1" t="s">
        <v>2</v>
      </c>
      <c r="D1" s="1" t="s">
        <v>3</v>
      </c>
      <c r="E1" s="2" t="s">
        <v>4</v>
      </c>
      <c r="F1" s="2" t="s">
        <v>5</v>
      </c>
      <c r="G1" s="2" t="s">
        <v>6</v>
      </c>
      <c r="H1" s="2" t="s">
        <v>7</v>
      </c>
      <c r="I1" s="2" t="s">
        <v>8</v>
      </c>
      <c r="J1" s="1" t="s">
        <v>273</v>
      </c>
      <c r="K1" s="1" t="s">
        <v>274</v>
      </c>
    </row>
    <row r="2">
      <c r="A2" s="92" t="str">
        <f>'🤖 Claude Haiku 3.5'!$A$2</f>
        <v>http://elpais.com/ccaa/2019/10/14/catalunya/1571053877_702844.html</v>
      </c>
      <c r="B2" s="6" t="str">
        <f t="shared" ref="B2:B5" si="1">"Claude Sonnet 3.5"</f>
        <v>Claude Sonnet 3.5</v>
      </c>
      <c r="C2" s="7" t="str">
        <f>'🤖 Claude Haiku 3.5'!C2</f>
        <v>Base</v>
      </c>
      <c r="D2" s="93">
        <f>'🤖 Claude Haiku 3.5'!E2</f>
        <v>0.2568027211</v>
      </c>
      <c r="E2" s="7">
        <f>'🤖 Claude Haiku 3.5'!F2</f>
        <v>5</v>
      </c>
      <c r="F2" s="7">
        <f>'🤖 Claude Haiku 3.5'!G2</f>
        <v>4</v>
      </c>
      <c r="G2" s="7">
        <f>'🤖 Claude Haiku 3.5'!H2</f>
        <v>4</v>
      </c>
      <c r="H2" s="7">
        <f>'🤖 Claude Haiku 3.5'!I2</f>
        <v>4</v>
      </c>
      <c r="I2" s="7">
        <f>'🤖 Claude Haiku 3.5'!J2</f>
        <v>4</v>
      </c>
    </row>
    <row r="3">
      <c r="A3" s="92" t="str">
        <f>'🤖 Claude Haiku 3.5'!$A$2</f>
        <v>http://elpais.com/ccaa/2019/10/14/catalunya/1571053877_702844.html</v>
      </c>
      <c r="B3" s="6" t="str">
        <f t="shared" si="1"/>
        <v>Claude Sonnet 3.5</v>
      </c>
      <c r="C3" s="7" t="str">
        <f>'🤖 Claude Haiku 3.5'!C3</f>
        <v>CoT</v>
      </c>
      <c r="D3" s="93">
        <f>'🤖 Claude Haiku 3.5'!E3</f>
        <v>0.1887755102</v>
      </c>
      <c r="E3" s="7">
        <f>'🤖 Claude Haiku 3.5'!F3</f>
        <v>5</v>
      </c>
      <c r="F3" s="7">
        <f>'🤖 Claude Haiku 3.5'!G3</f>
        <v>5</v>
      </c>
      <c r="G3" s="7">
        <f>'🤖 Claude Haiku 3.5'!H3</f>
        <v>5</v>
      </c>
      <c r="H3" s="7">
        <f>'🤖 Claude Haiku 3.5'!I3</f>
        <v>4</v>
      </c>
      <c r="I3" s="7">
        <f>'🤖 Claude Haiku 3.5'!J3</f>
        <v>3</v>
      </c>
    </row>
    <row r="4">
      <c r="A4" s="92" t="str">
        <f>'🤖 Claude Haiku 3.5'!$A$2</f>
        <v>http://elpais.com/ccaa/2019/10/14/catalunya/1571053877_702844.html</v>
      </c>
      <c r="B4" s="6" t="str">
        <f t="shared" si="1"/>
        <v>Claude Sonnet 3.5</v>
      </c>
      <c r="C4" s="7" t="str">
        <f>'🤖 Claude Haiku 3.5'!C4</f>
        <v>5W1H</v>
      </c>
      <c r="D4" s="93">
        <f>'🤖 Claude Haiku 3.5'!E4</f>
        <v>0.2329931973</v>
      </c>
      <c r="E4" s="7">
        <f>'🤖 Claude Haiku 3.5'!F4</f>
        <v>2</v>
      </c>
      <c r="F4" s="7">
        <f>'🤖 Claude Haiku 3.5'!G4</f>
        <v>4</v>
      </c>
      <c r="G4" s="7">
        <f>'🤖 Claude Haiku 3.5'!H4</f>
        <v>4</v>
      </c>
      <c r="H4" s="7">
        <f>'🤖 Claude Haiku 3.5'!I4</f>
        <v>4</v>
      </c>
      <c r="I4" s="7">
        <f>'🤖 Claude Haiku 3.5'!J4</f>
        <v>5</v>
      </c>
    </row>
    <row r="5">
      <c r="A5" s="92" t="str">
        <f>'🤖 Claude Haiku 3.5'!$A$2</f>
        <v>http://elpais.com/ccaa/2019/10/14/catalunya/1571053877_702844.html</v>
      </c>
      <c r="B5" s="6" t="str">
        <f t="shared" si="1"/>
        <v>Claude Sonnet 3.5</v>
      </c>
      <c r="C5" s="7" t="str">
        <f>'🤖 Claude Haiku 3.5'!C5</f>
        <v>tldr</v>
      </c>
      <c r="D5" s="93">
        <f>'🤖 Claude Haiku 3.5'!E5</f>
        <v>0.156462585</v>
      </c>
      <c r="E5" s="7">
        <f>'🤖 Claude Haiku 3.5'!F5</f>
        <v>4</v>
      </c>
      <c r="F5" s="7">
        <f>'🤖 Claude Haiku 3.5'!G5</f>
        <v>5</v>
      </c>
      <c r="G5" s="7">
        <f>'🤖 Claude Haiku 3.5'!H5</f>
        <v>5</v>
      </c>
      <c r="H5" s="7">
        <f>'🤖 Claude Haiku 3.5'!I5</f>
        <v>4</v>
      </c>
      <c r="I5" s="7">
        <f>'🤖 Claude Haiku 3.5'!J5</f>
        <v>4</v>
      </c>
    </row>
    <row r="6">
      <c r="A6" s="94"/>
      <c r="B6" s="6"/>
      <c r="C6" s="7"/>
      <c r="D6" s="3"/>
      <c r="E6" s="7"/>
      <c r="F6" s="7"/>
      <c r="G6" s="7"/>
      <c r="H6" s="7"/>
      <c r="I6" s="7"/>
    </row>
    <row r="7">
      <c r="A7" s="92" t="str">
        <f>'🤖 Claude Haiku 3.5'!$A$7</f>
        <v>http://elpais.com/cultura/2019/10/15/actualidad/1571152626_720988.html</v>
      </c>
      <c r="B7" s="6" t="str">
        <f t="shared" ref="B7:B10" si="2">"Claude Sonnet 3.5"</f>
        <v>Claude Sonnet 3.5</v>
      </c>
      <c r="C7" s="7" t="str">
        <f>'🤖 Claude Haiku 3.5'!C7</f>
        <v>Base</v>
      </c>
      <c r="D7" s="93">
        <f>'🤖 Claude Haiku 3.5'!E7</f>
        <v>0.1945205479</v>
      </c>
      <c r="E7" s="7">
        <f>'🤖 Claude Haiku 3.5'!F7</f>
        <v>5</v>
      </c>
      <c r="F7" s="7">
        <f>'🤖 Claude Haiku 3.5'!G7</f>
        <v>5</v>
      </c>
      <c r="G7" s="7">
        <f>'🤖 Claude Haiku 3.5'!H7</f>
        <v>5</v>
      </c>
      <c r="H7" s="7">
        <f>'🤖 Claude Haiku 3.5'!I7</f>
        <v>4</v>
      </c>
      <c r="I7" s="7">
        <f>'🤖 Claude Haiku 3.5'!J7</f>
        <v>5</v>
      </c>
    </row>
    <row r="8">
      <c r="A8" s="92" t="str">
        <f>'🤖 Claude Haiku 3.5'!$A$7</f>
        <v>http://elpais.com/cultura/2019/10/15/actualidad/1571152626_720988.html</v>
      </c>
      <c r="B8" s="6" t="str">
        <f t="shared" si="2"/>
        <v>Claude Sonnet 3.5</v>
      </c>
      <c r="C8" s="7" t="str">
        <f>'🤖 Claude Haiku 3.5'!C8</f>
        <v>CoT</v>
      </c>
      <c r="D8" s="93">
        <f>'🤖 Claude Haiku 3.5'!E8</f>
        <v>0.1438356164</v>
      </c>
      <c r="E8" s="7">
        <f>'🤖 Claude Haiku 3.5'!F8</f>
        <v>3</v>
      </c>
      <c r="F8" s="7">
        <f>'🤖 Claude Haiku 3.5'!G8</f>
        <v>5</v>
      </c>
      <c r="G8" s="7">
        <f>'🤖 Claude Haiku 3.5'!H8</f>
        <v>5</v>
      </c>
      <c r="H8" s="7">
        <f>'🤖 Claude Haiku 3.5'!I8</f>
        <v>4</v>
      </c>
      <c r="I8" s="7">
        <f>'🤖 Claude Haiku 3.5'!J8</f>
        <v>3</v>
      </c>
    </row>
    <row r="9">
      <c r="A9" s="92" t="str">
        <f>'🤖 Claude Haiku 3.5'!$A$7</f>
        <v>http://elpais.com/cultura/2019/10/15/actualidad/1571152626_720988.html</v>
      </c>
      <c r="B9" s="6" t="str">
        <f t="shared" si="2"/>
        <v>Claude Sonnet 3.5</v>
      </c>
      <c r="C9" s="7" t="str">
        <f>'🤖 Claude Haiku 3.5'!C9</f>
        <v>5W1H</v>
      </c>
      <c r="D9" s="93">
        <f>'🤖 Claude Haiku 3.5'!E9</f>
        <v>0.1835616438</v>
      </c>
      <c r="E9" s="7">
        <f>'🤖 Claude Haiku 3.5'!F9</f>
        <v>3</v>
      </c>
      <c r="F9" s="7">
        <f>'🤖 Claude Haiku 3.5'!G9</f>
        <v>5</v>
      </c>
      <c r="G9" s="7">
        <f>'🤖 Claude Haiku 3.5'!H9</f>
        <v>5</v>
      </c>
      <c r="H9" s="7">
        <f>'🤖 Claude Haiku 3.5'!I9</f>
        <v>4</v>
      </c>
      <c r="I9" s="7">
        <f>'🤖 Claude Haiku 3.5'!J9</f>
        <v>5</v>
      </c>
    </row>
    <row r="10">
      <c r="A10" s="92" t="str">
        <f>'🤖 Claude Haiku 3.5'!$A$7</f>
        <v>http://elpais.com/cultura/2019/10/15/actualidad/1571152626_720988.html</v>
      </c>
      <c r="B10" s="6" t="str">
        <f t="shared" si="2"/>
        <v>Claude Sonnet 3.5</v>
      </c>
      <c r="C10" s="7" t="str">
        <f>'🤖 Claude Haiku 3.5'!C10</f>
        <v>tldr</v>
      </c>
      <c r="D10" s="93">
        <f>'🤖 Claude Haiku 3.5'!E10</f>
        <v>0.1890410959</v>
      </c>
      <c r="E10" s="7">
        <f>'🤖 Claude Haiku 3.5'!F10</f>
        <v>2</v>
      </c>
      <c r="F10" s="7">
        <f>'🤖 Claude Haiku 3.5'!G10</f>
        <v>5</v>
      </c>
      <c r="G10" s="7">
        <f>'🤖 Claude Haiku 3.5'!H10</f>
        <v>1</v>
      </c>
      <c r="H10" s="7">
        <f>'🤖 Claude Haiku 3.5'!I10</f>
        <v>4</v>
      </c>
      <c r="I10" s="7">
        <f>'🤖 Claude Haiku 3.5'!J10</f>
        <v>3</v>
      </c>
    </row>
    <row r="11">
      <c r="A11" s="94"/>
      <c r="B11" s="6"/>
      <c r="C11" s="7"/>
      <c r="D11" s="3"/>
      <c r="E11" s="7"/>
      <c r="F11" s="7"/>
      <c r="G11" s="7"/>
      <c r="H11" s="7"/>
      <c r="I11" s="7"/>
    </row>
    <row r="12">
      <c r="A12" s="92" t="str">
        <f>'🤖 Claude Haiku 3.5'!$A$12</f>
        <v>http://elpais.com/ccaa/2019/07/23/madrid/1563898491_008005.html</v>
      </c>
      <c r="B12" s="6" t="str">
        <f t="shared" ref="B12:B15" si="3">"Claude Sonnet 3.5"</f>
        <v>Claude Sonnet 3.5</v>
      </c>
      <c r="C12" s="7" t="str">
        <f>'🤖 Claude Haiku 3.5'!C12</f>
        <v>Base</v>
      </c>
      <c r="D12" s="93">
        <f>'🤖 Claude Haiku 3.5'!E12</f>
        <v>0.2686170213</v>
      </c>
      <c r="E12" s="7">
        <f>'🤖 Claude Haiku 3.5'!F12</f>
        <v>2</v>
      </c>
      <c r="F12" s="7">
        <f>'🤖 Claude Haiku 3.5'!G12</f>
        <v>5</v>
      </c>
      <c r="G12" s="7">
        <f>'🤖 Claude Haiku 3.5'!H12</f>
        <v>5</v>
      </c>
      <c r="H12" s="7">
        <f>'🤖 Claude Haiku 3.5'!I12</f>
        <v>4</v>
      </c>
      <c r="I12" s="7">
        <f>'🤖 Claude Haiku 3.5'!J12</f>
        <v>2</v>
      </c>
    </row>
    <row r="13">
      <c r="A13" s="92" t="str">
        <f>'🤖 Claude Haiku 3.5'!$A$12</f>
        <v>http://elpais.com/ccaa/2019/07/23/madrid/1563898491_008005.html</v>
      </c>
      <c r="B13" s="6" t="str">
        <f t="shared" si="3"/>
        <v>Claude Sonnet 3.5</v>
      </c>
      <c r="C13" s="7" t="str">
        <f>'🤖 Claude Haiku 3.5'!C13</f>
        <v>CoT</v>
      </c>
      <c r="D13" s="93">
        <f>'🤖 Claude Haiku 3.5'!E13</f>
        <v>0.2765957447</v>
      </c>
      <c r="E13" s="7">
        <f>'🤖 Claude Haiku 3.5'!F13</f>
        <v>3</v>
      </c>
      <c r="F13" s="7">
        <f>'🤖 Claude Haiku 3.5'!G13</f>
        <v>5</v>
      </c>
      <c r="G13" s="7">
        <f>'🤖 Claude Haiku 3.5'!H13</f>
        <v>5</v>
      </c>
      <c r="H13" s="7">
        <f>'🤖 Claude Haiku 3.5'!I13</f>
        <v>4</v>
      </c>
      <c r="I13" s="7">
        <f>'🤖 Claude Haiku 3.5'!J13</f>
        <v>4</v>
      </c>
    </row>
    <row r="14">
      <c r="A14" s="92" t="str">
        <f>'🤖 Claude Haiku 3.5'!$A$12</f>
        <v>http://elpais.com/ccaa/2019/07/23/madrid/1563898491_008005.html</v>
      </c>
      <c r="B14" s="6" t="str">
        <f t="shared" si="3"/>
        <v>Claude Sonnet 3.5</v>
      </c>
      <c r="C14" s="7" t="str">
        <f>'🤖 Claude Haiku 3.5'!C14</f>
        <v>5W1H</v>
      </c>
      <c r="D14" s="93">
        <f>'🤖 Claude Haiku 3.5'!E14</f>
        <v>0.2925531915</v>
      </c>
      <c r="E14" s="7">
        <f>'🤖 Claude Haiku 3.5'!F14</f>
        <v>2</v>
      </c>
      <c r="F14" s="7">
        <f>'🤖 Claude Haiku 3.5'!G14</f>
        <v>5</v>
      </c>
      <c r="G14" s="7">
        <f>'🤖 Claude Haiku 3.5'!H14</f>
        <v>5</v>
      </c>
      <c r="H14" s="7">
        <f>'🤖 Claude Haiku 3.5'!I14</f>
        <v>4</v>
      </c>
      <c r="I14" s="7">
        <f>'🤖 Claude Haiku 3.5'!J14</f>
        <v>5</v>
      </c>
    </row>
    <row r="15">
      <c r="A15" s="92" t="str">
        <f>'🤖 Claude Haiku 3.5'!$A$12</f>
        <v>http://elpais.com/ccaa/2019/07/23/madrid/1563898491_008005.html</v>
      </c>
      <c r="B15" s="6" t="str">
        <f t="shared" si="3"/>
        <v>Claude Sonnet 3.5</v>
      </c>
      <c r="C15" s="7" t="str">
        <f>'🤖 Claude Haiku 3.5'!C15</f>
        <v>tldr</v>
      </c>
      <c r="D15" s="93">
        <f>'🤖 Claude Haiku 3.5'!E15</f>
        <v>0.2207446809</v>
      </c>
      <c r="E15" s="7">
        <f>'🤖 Claude Haiku 3.5'!F15</f>
        <v>2</v>
      </c>
      <c r="F15" s="7">
        <f>'🤖 Claude Haiku 3.5'!G15</f>
        <v>5</v>
      </c>
      <c r="G15" s="7">
        <f>'🤖 Claude Haiku 3.5'!H15</f>
        <v>1</v>
      </c>
      <c r="H15" s="7">
        <f>'🤖 Claude Haiku 3.5'!I15</f>
        <v>4</v>
      </c>
      <c r="I15" s="7">
        <f>'🤖 Claude Haiku 3.5'!J15</f>
        <v>2</v>
      </c>
    </row>
    <row r="16">
      <c r="A16" s="94"/>
      <c r="B16" s="6"/>
      <c r="C16" s="7"/>
      <c r="D16" s="3"/>
      <c r="E16" s="7"/>
      <c r="F16" s="7"/>
      <c r="G16" s="7"/>
      <c r="H16" s="7"/>
      <c r="I16" s="7"/>
    </row>
    <row r="17">
      <c r="A17" s="92" t="str">
        <f>'🤖 Claude Haiku 3.5'!$A$17</f>
        <v>http://elpais.com/elpais/2019/06/28/estilo/1561733550_082135.html</v>
      </c>
      <c r="B17" s="6" t="str">
        <f t="shared" ref="B17:B20" si="4">"Claude Sonnet 3.5"</f>
        <v>Claude Sonnet 3.5</v>
      </c>
      <c r="C17" s="7" t="str">
        <f>'🤖 Claude Haiku 3.5'!C17</f>
        <v>Base</v>
      </c>
      <c r="D17" s="93">
        <f>'🤖 Claude Haiku 3.5'!E17</f>
        <v>0.2275280899</v>
      </c>
      <c r="E17" s="7">
        <f>'🤖 Claude Haiku 3.5'!F17</f>
        <v>3</v>
      </c>
      <c r="F17" s="7">
        <f>'🤖 Claude Haiku 3.5'!G17</f>
        <v>5</v>
      </c>
      <c r="G17" s="7">
        <f>'🤖 Claude Haiku 3.5'!H17</f>
        <v>5</v>
      </c>
      <c r="H17" s="7">
        <f>'🤖 Claude Haiku 3.5'!I17</f>
        <v>5</v>
      </c>
      <c r="I17" s="7">
        <f>'🤖 Claude Haiku 3.5'!J17</f>
        <v>5</v>
      </c>
    </row>
    <row r="18">
      <c r="A18" s="92" t="str">
        <f>'🤖 Claude Haiku 3.5'!$A$17</f>
        <v>http://elpais.com/elpais/2019/06/28/estilo/1561733550_082135.html</v>
      </c>
      <c r="B18" s="6" t="str">
        <f t="shared" si="4"/>
        <v>Claude Sonnet 3.5</v>
      </c>
      <c r="C18" s="7" t="str">
        <f>'🤖 Claude Haiku 3.5'!C18</f>
        <v>CoT</v>
      </c>
      <c r="D18" s="93">
        <f>'🤖 Claude Haiku 3.5'!E18</f>
        <v>0.2401685393</v>
      </c>
      <c r="E18" s="7">
        <f>'🤖 Claude Haiku 3.5'!F18</f>
        <v>5</v>
      </c>
      <c r="F18" s="7">
        <f>'🤖 Claude Haiku 3.5'!G18</f>
        <v>5</v>
      </c>
      <c r="G18" s="7">
        <f>'🤖 Claude Haiku 3.5'!H18</f>
        <v>5</v>
      </c>
      <c r="H18" s="7">
        <f>'🤖 Claude Haiku 3.5'!I18</f>
        <v>4</v>
      </c>
      <c r="I18" s="7">
        <f>'🤖 Claude Haiku 3.5'!J18</f>
        <v>5</v>
      </c>
    </row>
    <row r="19">
      <c r="A19" s="92" t="str">
        <f>'🤖 Claude Haiku 3.5'!$A$17</f>
        <v>http://elpais.com/elpais/2019/06/28/estilo/1561733550_082135.html</v>
      </c>
      <c r="B19" s="6" t="str">
        <f t="shared" si="4"/>
        <v>Claude Sonnet 3.5</v>
      </c>
      <c r="C19" s="7" t="str">
        <f>'🤖 Claude Haiku 3.5'!C19</f>
        <v>5W1H</v>
      </c>
      <c r="D19" s="93">
        <f>'🤖 Claude Haiku 3.5'!E19</f>
        <v>0.2654494382</v>
      </c>
      <c r="E19" s="7">
        <f>'🤖 Claude Haiku 3.5'!F19</f>
        <v>4</v>
      </c>
      <c r="F19" s="7">
        <f>'🤖 Claude Haiku 3.5'!G19</f>
        <v>5</v>
      </c>
      <c r="G19" s="7">
        <f>'🤖 Claude Haiku 3.5'!H19</f>
        <v>5</v>
      </c>
      <c r="H19" s="7">
        <f>'🤖 Claude Haiku 3.5'!I19</f>
        <v>4</v>
      </c>
      <c r="I19" s="7">
        <f>'🤖 Claude Haiku 3.5'!J19</f>
        <v>5</v>
      </c>
    </row>
    <row r="20">
      <c r="A20" s="92" t="str">
        <f>'🤖 Claude Haiku 3.5'!$A$17</f>
        <v>http://elpais.com/elpais/2019/06/28/estilo/1561733550_082135.html</v>
      </c>
      <c r="B20" s="6" t="str">
        <f t="shared" si="4"/>
        <v>Claude Sonnet 3.5</v>
      </c>
      <c r="C20" s="7" t="str">
        <f>'🤖 Claude Haiku 3.5'!C20</f>
        <v>tldr</v>
      </c>
      <c r="D20" s="93">
        <f>'🤖 Claude Haiku 3.5'!E20</f>
        <v>0.3146067416</v>
      </c>
      <c r="E20" s="7">
        <f>'🤖 Claude Haiku 3.5'!F20</f>
        <v>3</v>
      </c>
      <c r="F20" s="7">
        <f>'🤖 Claude Haiku 3.5'!G20</f>
        <v>5</v>
      </c>
      <c r="G20" s="7">
        <f>'🤖 Claude Haiku 3.5'!H20</f>
        <v>1</v>
      </c>
      <c r="H20" s="7">
        <f>'🤖 Claude Haiku 3.5'!I20</f>
        <v>4</v>
      </c>
      <c r="I20" s="7">
        <f>'🤖 Claude Haiku 3.5'!J20</f>
        <v>5</v>
      </c>
    </row>
    <row r="21">
      <c r="A21" s="94"/>
      <c r="B21" s="6"/>
      <c r="C21" s="7"/>
      <c r="D21" s="3"/>
      <c r="E21" s="7"/>
      <c r="F21" s="7"/>
      <c r="G21" s="7"/>
      <c r="H21" s="7"/>
      <c r="I21" s="7"/>
    </row>
    <row r="22">
      <c r="A22" s="92" t="str">
        <f>'🤖 Claude Haiku 3.5'!$A$22</f>
        <v>http://elpais.com/internacional/2019/08/06/mexico/1565054211_863699.html</v>
      </c>
      <c r="B22" s="6" t="str">
        <f t="shared" ref="B22:B25" si="5">"Claude Sonnet 3.5"</f>
        <v>Claude Sonnet 3.5</v>
      </c>
      <c r="C22" s="7" t="str">
        <f>'🤖 Claude Haiku 3.5'!C22</f>
        <v>Base</v>
      </c>
      <c r="D22" s="93">
        <f>'🤖 Claude Haiku 3.5'!E22</f>
        <v>0.1395717684</v>
      </c>
      <c r="E22" s="7">
        <f>'🤖 Claude Haiku 3.5'!F22</f>
        <v>4</v>
      </c>
      <c r="F22" s="7">
        <f>'🤖 Claude Haiku 3.5'!G22</f>
        <v>5</v>
      </c>
      <c r="G22" s="7">
        <f>'🤖 Claude Haiku 3.5'!H22</f>
        <v>5</v>
      </c>
      <c r="H22" s="7">
        <f>'🤖 Claude Haiku 3.5'!I22</f>
        <v>4</v>
      </c>
      <c r="I22" s="7">
        <f>'🤖 Claude Haiku 3.5'!J22</f>
        <v>4</v>
      </c>
    </row>
    <row r="23">
      <c r="A23" s="92" t="str">
        <f>'🤖 Claude Haiku 3.5'!$A$22</f>
        <v>http://elpais.com/internacional/2019/08/06/mexico/1565054211_863699.html</v>
      </c>
      <c r="B23" s="6" t="str">
        <f t="shared" si="5"/>
        <v>Claude Sonnet 3.5</v>
      </c>
      <c r="C23" s="7" t="str">
        <f>'🤖 Claude Haiku 3.5'!C23</f>
        <v>CoT</v>
      </c>
      <c r="D23" s="93">
        <f>'🤖 Claude Haiku 3.5'!E23</f>
        <v>0.1609833466</v>
      </c>
      <c r="E23" s="7">
        <f>'🤖 Claude Haiku 3.5'!F23</f>
        <v>4</v>
      </c>
      <c r="F23" s="7">
        <f>'🤖 Claude Haiku 3.5'!G23</f>
        <v>5</v>
      </c>
      <c r="G23" s="7">
        <f>'🤖 Claude Haiku 3.5'!H23</f>
        <v>5</v>
      </c>
      <c r="H23" s="7">
        <f>'🤖 Claude Haiku 3.5'!I23</f>
        <v>4</v>
      </c>
      <c r="I23" s="7">
        <f>'🤖 Claude Haiku 3.5'!J23</f>
        <v>4</v>
      </c>
    </row>
    <row r="24">
      <c r="A24" s="92" t="str">
        <f>'🤖 Claude Haiku 3.5'!$A$22</f>
        <v>http://elpais.com/internacional/2019/08/06/mexico/1565054211_863699.html</v>
      </c>
      <c r="B24" s="6" t="str">
        <f t="shared" si="5"/>
        <v>Claude Sonnet 3.5</v>
      </c>
      <c r="C24" s="7" t="str">
        <f>'🤖 Claude Haiku 3.5'!C24</f>
        <v>5W1H</v>
      </c>
      <c r="D24" s="93">
        <f>'🤖 Claude Haiku 3.5'!E24</f>
        <v>0.1570182395</v>
      </c>
      <c r="E24" s="7">
        <f>'🤖 Claude Haiku 3.5'!F24</f>
        <v>3</v>
      </c>
      <c r="F24" s="7">
        <f>'🤖 Claude Haiku 3.5'!G24</f>
        <v>4</v>
      </c>
      <c r="G24" s="7">
        <f>'🤖 Claude Haiku 3.5'!H24</f>
        <v>5</v>
      </c>
      <c r="H24" s="7">
        <f>'🤖 Claude Haiku 3.5'!I24</f>
        <v>4</v>
      </c>
      <c r="I24" s="7">
        <f>'🤖 Claude Haiku 3.5'!J24</f>
        <v>4</v>
      </c>
    </row>
    <row r="25">
      <c r="A25" s="92" t="str">
        <f>'🤖 Claude Haiku 3.5'!$A$22</f>
        <v>http://elpais.com/internacional/2019/08/06/mexico/1565054211_863699.html</v>
      </c>
      <c r="B25" s="6" t="str">
        <f t="shared" si="5"/>
        <v>Claude Sonnet 3.5</v>
      </c>
      <c r="C25" s="7" t="str">
        <f>'🤖 Claude Haiku 3.5'!C25</f>
        <v>tldr</v>
      </c>
      <c r="D25" s="93">
        <f>'🤖 Claude Haiku 3.5'!E25</f>
        <v>0.1506740682</v>
      </c>
      <c r="E25" s="7">
        <f>'🤖 Claude Haiku 3.5'!F25</f>
        <v>3</v>
      </c>
      <c r="F25" s="7">
        <f>'🤖 Claude Haiku 3.5'!G25</f>
        <v>5</v>
      </c>
      <c r="G25" s="7">
        <f>'🤖 Claude Haiku 3.5'!H25</f>
        <v>1</v>
      </c>
      <c r="H25" s="7">
        <f>'🤖 Claude Haiku 3.5'!I25</f>
        <v>4</v>
      </c>
      <c r="I25" s="7">
        <f>'🤖 Claude Haiku 3.5'!J25</f>
        <v>4</v>
      </c>
    </row>
    <row r="26">
      <c r="A26" s="94"/>
      <c r="B26" s="6"/>
      <c r="C26" s="7"/>
      <c r="D26" s="3"/>
      <c r="E26" s="7"/>
      <c r="F26" s="7"/>
      <c r="G26" s="7"/>
      <c r="H26" s="7"/>
      <c r="I26" s="7"/>
    </row>
    <row r="27">
      <c r="A27" s="92" t="str">
        <f>'🤖 Command R+'!$A$2</f>
        <v>http://elpais.com/ccaa/2019/10/14/catalunya/1571053877_702844.html</v>
      </c>
      <c r="B27" s="6" t="s">
        <v>24</v>
      </c>
      <c r="C27" s="7" t="str">
        <f>'🤖 Command R+'!C2</f>
        <v>Base</v>
      </c>
      <c r="D27" s="93">
        <f>'🤖 Command R+'!E2</f>
        <v>0.3129251701</v>
      </c>
      <c r="E27" s="7">
        <f>'🤖 Command R+'!F2</f>
        <v>4</v>
      </c>
      <c r="F27" s="7">
        <f>'🤖 Command R+'!G2</f>
        <v>3</v>
      </c>
      <c r="G27" s="7">
        <f>'🤖 Command R+'!H2</f>
        <v>4</v>
      </c>
      <c r="H27" s="7">
        <f>'🤖 Command R+'!I2</f>
        <v>5</v>
      </c>
      <c r="I27" s="7">
        <f>'🤖 Command R+'!J2</f>
        <v>4</v>
      </c>
    </row>
    <row r="28">
      <c r="A28" s="92" t="str">
        <f>'🤖 Command R+'!$A$2</f>
        <v>http://elpais.com/ccaa/2019/10/14/catalunya/1571053877_702844.html</v>
      </c>
      <c r="B28" s="6" t="s">
        <v>24</v>
      </c>
      <c r="C28" s="7" t="str">
        <f>'🤖 Command R+'!C3</f>
        <v>CoT</v>
      </c>
      <c r="D28" s="93">
        <f>'🤖 Command R+'!E3</f>
        <v>0.1955782313</v>
      </c>
      <c r="E28" s="7">
        <f>'🤖 Command R+'!F3</f>
        <v>5</v>
      </c>
      <c r="F28" s="7">
        <f>'🤖 Command R+'!G3</f>
        <v>4</v>
      </c>
      <c r="G28" s="7">
        <f>'🤖 Command R+'!H3</f>
        <v>5</v>
      </c>
      <c r="H28" s="7">
        <f>'🤖 Command R+'!I3</f>
        <v>5</v>
      </c>
      <c r="I28" s="7">
        <f>'🤖 Command R+'!J3</f>
        <v>3</v>
      </c>
    </row>
    <row r="29">
      <c r="A29" s="92" t="str">
        <f>'🤖 Command R+'!$A$2</f>
        <v>http://elpais.com/ccaa/2019/10/14/catalunya/1571053877_702844.html</v>
      </c>
      <c r="B29" s="6" t="s">
        <v>24</v>
      </c>
      <c r="C29" s="7" t="str">
        <f>'🤖 Command R+'!C4</f>
        <v>5W1H</v>
      </c>
      <c r="D29" s="93">
        <f>'🤖 Command R+'!E4</f>
        <v>0.1581632653</v>
      </c>
      <c r="E29" s="7">
        <f>'🤖 Command R+'!F4</f>
        <v>3</v>
      </c>
      <c r="F29" s="7">
        <f>'🤖 Command R+'!G4</f>
        <v>4</v>
      </c>
      <c r="G29" s="7">
        <f>'🤖 Command R+'!H4</f>
        <v>5</v>
      </c>
      <c r="H29" s="7">
        <f>'🤖 Command R+'!I4</f>
        <v>5</v>
      </c>
      <c r="I29" s="7">
        <f>'🤖 Command R+'!J4</f>
        <v>5</v>
      </c>
    </row>
    <row r="30">
      <c r="A30" s="92" t="str">
        <f>'🤖 Command R+'!$A$2</f>
        <v>http://elpais.com/ccaa/2019/10/14/catalunya/1571053877_702844.html</v>
      </c>
      <c r="B30" s="6" t="s">
        <v>24</v>
      </c>
      <c r="C30" s="7" t="str">
        <f>'🤖 Command R+'!C5</f>
        <v>tldr</v>
      </c>
      <c r="D30" s="93">
        <f>'🤖 Command R+'!E5</f>
        <v>0.2057823129</v>
      </c>
      <c r="E30" s="7">
        <f>'🤖 Command R+'!F5</f>
        <v>5</v>
      </c>
      <c r="F30" s="7">
        <f>'🤖 Command R+'!G5</f>
        <v>5</v>
      </c>
      <c r="G30" s="7">
        <f>'🤖 Command R+'!H5</f>
        <v>5</v>
      </c>
      <c r="H30" s="7">
        <f>'🤖 Command R+'!I5</f>
        <v>5</v>
      </c>
      <c r="I30" s="7">
        <f>'🤖 Command R+'!J5</f>
        <v>4</v>
      </c>
    </row>
    <row r="31">
      <c r="A31" s="94"/>
      <c r="B31" s="6"/>
      <c r="C31" s="7"/>
      <c r="D31" s="3"/>
      <c r="E31" s="7"/>
      <c r="F31" s="7"/>
      <c r="G31" s="7"/>
      <c r="H31" s="7"/>
      <c r="I31" s="7"/>
    </row>
    <row r="32">
      <c r="A32" s="92" t="str">
        <f>'🤖 Command R+'!$A$7</f>
        <v>http://elpais.com/cultura/2019/10/15/actualidad/1571152626_720988.html</v>
      </c>
      <c r="B32" s="6" t="s">
        <v>24</v>
      </c>
      <c r="C32" s="7" t="str">
        <f>'🤖 Command R+'!C7</f>
        <v>Base</v>
      </c>
      <c r="D32" s="93">
        <f>'🤖 Command R+'!E7</f>
        <v>0.1876712329</v>
      </c>
      <c r="E32" s="7">
        <f>'🤖 Command R+'!F7</f>
        <v>5</v>
      </c>
      <c r="F32" s="7">
        <f>'🤖 Command R+'!G7</f>
        <v>5</v>
      </c>
      <c r="G32" s="7">
        <f>'🤖 Command R+'!H7</f>
        <v>5</v>
      </c>
      <c r="H32" s="7">
        <f>'🤖 Command R+'!I7</f>
        <v>5</v>
      </c>
      <c r="I32" s="7">
        <f>'🤖 Command R+'!J7</f>
        <v>3</v>
      </c>
    </row>
    <row r="33">
      <c r="A33" s="92" t="str">
        <f>'🤖 Command R+'!$A$7</f>
        <v>http://elpais.com/cultura/2019/10/15/actualidad/1571152626_720988.html</v>
      </c>
      <c r="B33" s="6" t="s">
        <v>24</v>
      </c>
      <c r="C33" s="7" t="str">
        <f>'🤖 Command R+'!C8</f>
        <v>CoT</v>
      </c>
      <c r="D33" s="93">
        <f>'🤖 Command R+'!E8</f>
        <v>0.1232876712</v>
      </c>
      <c r="E33" s="7">
        <f>'🤖 Command R+'!F8</f>
        <v>5</v>
      </c>
      <c r="F33" s="7">
        <f>'🤖 Command R+'!G8</f>
        <v>5</v>
      </c>
      <c r="G33" s="7">
        <f>'🤖 Command R+'!H8</f>
        <v>5</v>
      </c>
      <c r="H33" s="7">
        <f>'🤖 Command R+'!I8</f>
        <v>5</v>
      </c>
      <c r="I33" s="7">
        <f>'🤖 Command R+'!J8</f>
        <v>3</v>
      </c>
    </row>
    <row r="34">
      <c r="A34" s="92" t="str">
        <f>'🤖 Command R+'!$A$7</f>
        <v>http://elpais.com/cultura/2019/10/15/actualidad/1571152626_720988.html</v>
      </c>
      <c r="B34" s="6" t="s">
        <v>24</v>
      </c>
      <c r="C34" s="7" t="str">
        <f>'🤖 Command R+'!C9</f>
        <v>5W1H</v>
      </c>
      <c r="D34" s="93">
        <f>'🤖 Command R+'!E9</f>
        <v>0.1808219178</v>
      </c>
      <c r="E34" s="7">
        <f>'🤖 Command R+'!F9</f>
        <v>3</v>
      </c>
      <c r="F34" s="7">
        <f>'🤖 Command R+'!G9</f>
        <v>5</v>
      </c>
      <c r="G34" s="7">
        <f>'🤖 Command R+'!H9</f>
        <v>5</v>
      </c>
      <c r="H34" s="7">
        <f>'🤖 Command R+'!I9</f>
        <v>5</v>
      </c>
      <c r="I34" s="7">
        <f>'🤖 Command R+'!J9</f>
        <v>5</v>
      </c>
    </row>
    <row r="35">
      <c r="A35" s="92" t="str">
        <f>'🤖 Command R+'!$A$7</f>
        <v>http://elpais.com/cultura/2019/10/15/actualidad/1571152626_720988.html</v>
      </c>
      <c r="B35" s="6" t="s">
        <v>24</v>
      </c>
      <c r="C35" s="7" t="str">
        <f>'🤖 Command R+'!C10</f>
        <v>tldr</v>
      </c>
      <c r="D35" s="93">
        <f>'🤖 Command R+'!E10</f>
        <v>0.1657534247</v>
      </c>
      <c r="E35" s="7">
        <f>'🤖 Command R+'!F10</f>
        <v>5</v>
      </c>
      <c r="F35" s="7">
        <f>'🤖 Command R+'!G10</f>
        <v>5</v>
      </c>
      <c r="G35" s="7">
        <f>'🤖 Command R+'!H10</f>
        <v>5</v>
      </c>
      <c r="H35" s="7">
        <f>'🤖 Command R+'!I10</f>
        <v>5</v>
      </c>
      <c r="I35" s="7">
        <f>'🤖 Command R+'!J10</f>
        <v>3</v>
      </c>
    </row>
    <row r="36">
      <c r="A36" s="94"/>
      <c r="B36" s="6"/>
      <c r="C36" s="7"/>
      <c r="D36" s="3"/>
      <c r="E36" s="7"/>
      <c r="F36" s="7"/>
      <c r="G36" s="7"/>
      <c r="H36" s="7"/>
      <c r="I36" s="7"/>
    </row>
    <row r="37">
      <c r="A37" s="92" t="str">
        <f>'🤖 Command R+'!$A$12</f>
        <v>http://elpais.com/ccaa/2019/07/23/madrid/1563898491_008005.html</v>
      </c>
      <c r="B37" s="6" t="s">
        <v>24</v>
      </c>
      <c r="C37" s="7" t="str">
        <f>'🤖 Command R+'!C12</f>
        <v>Base</v>
      </c>
      <c r="D37" s="93">
        <f>'🤖 Command R+'!E12</f>
        <v>0.4734042553</v>
      </c>
      <c r="E37" s="7">
        <f>'🤖 Command R+'!F12</f>
        <v>5</v>
      </c>
      <c r="F37" s="7">
        <f>'🤖 Command R+'!G12</f>
        <v>5</v>
      </c>
      <c r="G37" s="7">
        <f>'🤖 Command R+'!H12</f>
        <v>5</v>
      </c>
      <c r="H37" s="7">
        <f>'🤖 Command R+'!I12</f>
        <v>5</v>
      </c>
      <c r="I37" s="7">
        <f>'🤖 Command R+'!J12</f>
        <v>2</v>
      </c>
    </row>
    <row r="38">
      <c r="A38" s="92" t="str">
        <f>'🤖 Command R+'!$A$12</f>
        <v>http://elpais.com/ccaa/2019/07/23/madrid/1563898491_008005.html</v>
      </c>
      <c r="B38" s="6" t="s">
        <v>24</v>
      </c>
      <c r="C38" s="7" t="str">
        <f>'🤖 Command R+'!C13</f>
        <v>CoT</v>
      </c>
      <c r="D38" s="93">
        <f>'🤖 Command R+'!E13</f>
        <v>0.2234042553</v>
      </c>
      <c r="E38" s="7">
        <f>'🤖 Command R+'!F13</f>
        <v>5</v>
      </c>
      <c r="F38" s="7">
        <f>'🤖 Command R+'!G13</f>
        <v>5</v>
      </c>
      <c r="G38" s="7">
        <f>'🤖 Command R+'!H13</f>
        <v>5</v>
      </c>
      <c r="H38" s="7">
        <f>'🤖 Command R+'!I13</f>
        <v>5</v>
      </c>
      <c r="I38" s="7">
        <f>'🤖 Command R+'!J13</f>
        <v>2</v>
      </c>
    </row>
    <row r="39">
      <c r="A39" s="92" t="str">
        <f>'🤖 Command R+'!$A$12</f>
        <v>http://elpais.com/ccaa/2019/07/23/madrid/1563898491_008005.html</v>
      </c>
      <c r="B39" s="6" t="s">
        <v>24</v>
      </c>
      <c r="C39" s="7" t="str">
        <f>'🤖 Command R+'!C14</f>
        <v>5W1H</v>
      </c>
      <c r="D39" s="93">
        <f>'🤖 Command R+'!E14</f>
        <v>0.6888297872</v>
      </c>
      <c r="E39" s="7">
        <f>'🤖 Command R+'!F14</f>
        <v>4</v>
      </c>
      <c r="F39" s="7">
        <f>'🤖 Command R+'!G14</f>
        <v>5</v>
      </c>
      <c r="G39" s="7">
        <f>'🤖 Command R+'!H14</f>
        <v>5</v>
      </c>
      <c r="H39" s="7">
        <f>'🤖 Command R+'!I14</f>
        <v>5</v>
      </c>
      <c r="I39" s="7">
        <f>'🤖 Command R+'!J14</f>
        <v>5</v>
      </c>
    </row>
    <row r="40">
      <c r="A40" s="92" t="str">
        <f>'🤖 Command R+'!$A$12</f>
        <v>http://elpais.com/ccaa/2019/07/23/madrid/1563898491_008005.html</v>
      </c>
      <c r="B40" s="6" t="s">
        <v>24</v>
      </c>
      <c r="C40" s="7" t="str">
        <f>'🤖 Command R+'!C15</f>
        <v>tldr</v>
      </c>
      <c r="D40" s="93">
        <f>'🤖 Command R+'!E15</f>
        <v>0.3643617021</v>
      </c>
      <c r="E40" s="7">
        <f>'🤖 Command R+'!F15</f>
        <v>4</v>
      </c>
      <c r="F40" s="7">
        <f>'🤖 Command R+'!G15</f>
        <v>5</v>
      </c>
      <c r="G40" s="7">
        <f>'🤖 Command R+'!H15</f>
        <v>5</v>
      </c>
      <c r="H40" s="7">
        <f>'🤖 Command R+'!I15</f>
        <v>5</v>
      </c>
      <c r="I40" s="7">
        <f>'🤖 Command R+'!J15</f>
        <v>2</v>
      </c>
    </row>
    <row r="41">
      <c r="A41" s="94"/>
      <c r="B41" s="6"/>
      <c r="C41" s="7"/>
      <c r="D41" s="3"/>
      <c r="E41" s="7"/>
      <c r="F41" s="7"/>
      <c r="G41" s="7"/>
      <c r="H41" s="7"/>
      <c r="I41" s="7"/>
    </row>
    <row r="42">
      <c r="A42" s="92" t="str">
        <f>'🤖 Command R+'!$A$17</f>
        <v>http://elpais.com/elpais/2019/06/28/estilo/1561733550_082135.html</v>
      </c>
      <c r="B42" s="6" t="s">
        <v>24</v>
      </c>
      <c r="C42" s="7" t="str">
        <f>'🤖 Command R+'!C17</f>
        <v>Base</v>
      </c>
      <c r="D42" s="93">
        <f>'🤖 Command R+'!E17</f>
        <v>0.2907303371</v>
      </c>
      <c r="E42" s="7">
        <f>'🤖 Command R+'!F17</f>
        <v>5</v>
      </c>
      <c r="F42" s="7">
        <f>'🤖 Command R+'!G17</f>
        <v>5</v>
      </c>
      <c r="G42" s="7">
        <f>'🤖 Command R+'!H17</f>
        <v>5</v>
      </c>
      <c r="H42" s="7">
        <f>'🤖 Command R+'!I17</f>
        <v>3</v>
      </c>
      <c r="I42" s="7">
        <f>'🤖 Command R+'!J17</f>
        <v>5</v>
      </c>
    </row>
    <row r="43">
      <c r="A43" s="92" t="str">
        <f>'🤖 Command R+'!$A$17</f>
        <v>http://elpais.com/elpais/2019/06/28/estilo/1561733550_082135.html</v>
      </c>
      <c r="B43" s="6" t="s">
        <v>24</v>
      </c>
      <c r="C43" s="7" t="str">
        <f>'🤖 Command R+'!C18</f>
        <v>CoT</v>
      </c>
      <c r="D43" s="93">
        <f>'🤖 Command R+'!E18</f>
        <v>0.1193820225</v>
      </c>
      <c r="E43" s="7">
        <f>'🤖 Command R+'!F18</f>
        <v>5</v>
      </c>
      <c r="F43" s="7">
        <f>'🤖 Command R+'!G18</f>
        <v>5</v>
      </c>
      <c r="G43" s="7">
        <f>'🤖 Command R+'!H18</f>
        <v>5</v>
      </c>
      <c r="H43" s="7">
        <f>'🤖 Command R+'!I18</f>
        <v>5</v>
      </c>
      <c r="I43" s="7">
        <f>'🤖 Command R+'!J18</f>
        <v>2</v>
      </c>
    </row>
    <row r="44">
      <c r="A44" s="92" t="str">
        <f>'🤖 Command R+'!$A$17</f>
        <v>http://elpais.com/elpais/2019/06/28/estilo/1561733550_082135.html</v>
      </c>
      <c r="B44" s="6" t="s">
        <v>24</v>
      </c>
      <c r="C44" s="7" t="str">
        <f>'🤖 Command R+'!C19</f>
        <v>5W1H</v>
      </c>
      <c r="D44" s="93">
        <f>'🤖 Command R+'!E19</f>
        <v>0.183988764</v>
      </c>
      <c r="E44" s="7">
        <f>'🤖 Command R+'!F19</f>
        <v>3</v>
      </c>
      <c r="F44" s="7">
        <f>'🤖 Command R+'!G19</f>
        <v>5</v>
      </c>
      <c r="G44" s="7">
        <f>'🤖 Command R+'!H19</f>
        <v>5</v>
      </c>
      <c r="H44" s="7">
        <f>'🤖 Command R+'!I19</f>
        <v>5</v>
      </c>
      <c r="I44" s="7">
        <f>'🤖 Command R+'!J19</f>
        <v>4</v>
      </c>
    </row>
    <row r="45">
      <c r="A45" s="92" t="str">
        <f>'🤖 Command R+'!$A$17</f>
        <v>http://elpais.com/elpais/2019/06/28/estilo/1561733550_082135.html</v>
      </c>
      <c r="B45" s="6" t="s">
        <v>24</v>
      </c>
      <c r="C45" s="7" t="str">
        <f>'🤖 Command R+'!C20</f>
        <v>tldr</v>
      </c>
      <c r="D45" s="93">
        <f>'🤖 Command R+'!E20</f>
        <v>0.3735955056</v>
      </c>
      <c r="E45" s="7">
        <f>'🤖 Command R+'!F20</f>
        <v>4</v>
      </c>
      <c r="F45" s="7">
        <f>'🤖 Command R+'!G20</f>
        <v>5</v>
      </c>
      <c r="G45" s="7">
        <f>'🤖 Command R+'!H20</f>
        <v>1</v>
      </c>
      <c r="H45" s="7">
        <f>'🤖 Command R+'!I20</f>
        <v>3</v>
      </c>
      <c r="I45" s="7">
        <f>'🤖 Command R+'!J20</f>
        <v>5</v>
      </c>
    </row>
    <row r="46">
      <c r="A46" s="94"/>
      <c r="B46" s="6"/>
      <c r="C46" s="7"/>
      <c r="D46" s="3"/>
      <c r="E46" s="7"/>
      <c r="F46" s="7"/>
      <c r="G46" s="7"/>
      <c r="H46" s="7"/>
      <c r="I46" s="7"/>
    </row>
    <row r="47">
      <c r="A47" s="92" t="str">
        <f>'🤖 Command R+'!$A$22</f>
        <v>http://elpais.com/internacional/2019/08/06/mexico/1565054211_863699.html</v>
      </c>
      <c r="B47" s="6" t="s">
        <v>24</v>
      </c>
      <c r="C47" s="7" t="str">
        <f>'🤖 Command R+'!C22</f>
        <v>Base</v>
      </c>
      <c r="D47" s="93">
        <f>'🤖 Command R+'!E22</f>
        <v>0.1490880254</v>
      </c>
      <c r="E47" s="7">
        <f>'🤖 Command R+'!F22</f>
        <v>5</v>
      </c>
      <c r="F47" s="7">
        <f>'🤖 Command R+'!G22</f>
        <v>5</v>
      </c>
      <c r="G47" s="7">
        <f>'🤖 Command R+'!H22</f>
        <v>5</v>
      </c>
      <c r="H47" s="7">
        <f>'🤖 Command R+'!I22</f>
        <v>5</v>
      </c>
      <c r="I47" s="7">
        <f>'🤖 Command R+'!J22</f>
        <v>4</v>
      </c>
    </row>
    <row r="48">
      <c r="A48" s="92" t="str">
        <f>'🤖 Command R+'!$A$22</f>
        <v>http://elpais.com/internacional/2019/08/06/mexico/1565054211_863699.html</v>
      </c>
      <c r="B48" s="6" t="s">
        <v>24</v>
      </c>
      <c r="C48" s="7" t="str">
        <f>'🤖 Command R+'!C23</f>
        <v>CoT</v>
      </c>
      <c r="D48" s="93">
        <f>'🤖 Command R+'!E23</f>
        <v>0.1038858049</v>
      </c>
      <c r="E48" s="7">
        <f>'🤖 Command R+'!F23</f>
        <v>5</v>
      </c>
      <c r="F48" s="7">
        <f>'🤖 Command R+'!G23</f>
        <v>4</v>
      </c>
      <c r="G48" s="7">
        <f>'🤖 Command R+'!H23</f>
        <v>5</v>
      </c>
      <c r="H48" s="7">
        <f>'🤖 Command R+'!I23</f>
        <v>5</v>
      </c>
      <c r="I48" s="7">
        <f>'🤖 Command R+'!J23</f>
        <v>4</v>
      </c>
    </row>
    <row r="49">
      <c r="A49" s="92" t="str">
        <f>'🤖 Command R+'!$A$22</f>
        <v>http://elpais.com/internacional/2019/08/06/mexico/1565054211_863699.html</v>
      </c>
      <c r="B49" s="6" t="s">
        <v>24</v>
      </c>
      <c r="C49" s="7" t="str">
        <f>'🤖 Command R+'!C24</f>
        <v>5W1H</v>
      </c>
      <c r="D49" s="93">
        <f>'🤖 Command R+'!E24</f>
        <v>0.1895321174</v>
      </c>
      <c r="E49" s="7">
        <f>'🤖 Command R+'!F24</f>
        <v>4</v>
      </c>
      <c r="F49" s="7">
        <f>'🤖 Command R+'!G24</f>
        <v>5</v>
      </c>
      <c r="G49" s="7">
        <f>'🤖 Command R+'!H24</f>
        <v>5</v>
      </c>
      <c r="H49" s="7">
        <f>'🤖 Command R+'!I24</f>
        <v>5</v>
      </c>
      <c r="I49" s="7">
        <f>'🤖 Command R+'!J24</f>
        <v>5</v>
      </c>
    </row>
    <row r="50">
      <c r="A50" s="92" t="str">
        <f>'🤖 Command R+'!$A$22</f>
        <v>http://elpais.com/internacional/2019/08/06/mexico/1565054211_863699.html</v>
      </c>
      <c r="B50" s="6" t="s">
        <v>24</v>
      </c>
      <c r="C50" s="7" t="str">
        <f>'🤖 Command R+'!C25</f>
        <v>tldr</v>
      </c>
      <c r="D50" s="93">
        <f>'🤖 Command R+'!E25</f>
        <v>0.1229183188</v>
      </c>
      <c r="E50" s="7">
        <f>'🤖 Command R+'!F25</f>
        <v>5</v>
      </c>
      <c r="F50" s="7">
        <f>'🤖 Command R+'!G25</f>
        <v>5</v>
      </c>
      <c r="G50" s="7">
        <f>'🤖 Command R+'!H25</f>
        <v>5</v>
      </c>
      <c r="H50" s="7">
        <f>'🤖 Command R+'!I25</f>
        <v>5</v>
      </c>
      <c r="I50" s="7">
        <f>'🤖 Command R+'!J25</f>
        <v>4</v>
      </c>
    </row>
    <row r="51">
      <c r="A51" s="94"/>
      <c r="B51" s="6"/>
      <c r="C51" s="7"/>
      <c r="D51" s="3"/>
      <c r="E51" s="7"/>
      <c r="F51" s="7"/>
      <c r="G51" s="7"/>
      <c r="H51" s="7"/>
      <c r="I51" s="7"/>
    </row>
    <row r="52">
      <c r="A52" s="92" t="str">
        <f>'🤖 GPT 4o'!$A$2</f>
        <v>http://elpais.com/ccaa/2019/10/14/catalunya/1571053877_702844.html</v>
      </c>
      <c r="B52" s="6" t="s">
        <v>25</v>
      </c>
      <c r="C52" s="7" t="str">
        <f>'🤖 GPT 4o'!C2</f>
        <v>Base</v>
      </c>
      <c r="D52" s="93">
        <f>'🤖 GPT 4o'!E2</f>
        <v>0.2857142857</v>
      </c>
      <c r="E52" s="7">
        <f>'🤖 GPT 4o'!F2</f>
        <v>5</v>
      </c>
      <c r="F52" s="7">
        <f>'🤖 GPT 4o'!G2</f>
        <v>5</v>
      </c>
      <c r="G52" s="7">
        <f>'🤖 GPT 4o'!H2</f>
        <v>5</v>
      </c>
      <c r="H52" s="7">
        <f>'🤖 GPT 4o'!I2</f>
        <v>5</v>
      </c>
      <c r="I52" s="7">
        <f>'🤖 GPT 4o'!J2</f>
        <v>4</v>
      </c>
    </row>
    <row r="53">
      <c r="A53" s="92" t="str">
        <f>'🤖 GPT 4o'!$A$2</f>
        <v>http://elpais.com/ccaa/2019/10/14/catalunya/1571053877_702844.html</v>
      </c>
      <c r="B53" s="6" t="s">
        <v>25</v>
      </c>
      <c r="C53" s="7" t="str">
        <f>'🤖 GPT 4o'!C3</f>
        <v>CoT</v>
      </c>
      <c r="D53" s="93">
        <f>'🤖 GPT 4o'!E3</f>
        <v>0.2329931973</v>
      </c>
      <c r="E53" s="7">
        <f>'🤖 GPT 4o'!F3</f>
        <v>5</v>
      </c>
      <c r="F53" s="7">
        <f>'🤖 GPT 4o'!G3</f>
        <v>5</v>
      </c>
      <c r="G53" s="7">
        <f>'🤖 GPT 4o'!H3</f>
        <v>5</v>
      </c>
      <c r="H53" s="7">
        <f>'🤖 GPT 4o'!I3</f>
        <v>5</v>
      </c>
      <c r="I53" s="7">
        <f>'🤖 GPT 4o'!J3</f>
        <v>4</v>
      </c>
    </row>
    <row r="54">
      <c r="A54" s="92" t="str">
        <f>'🤖 GPT 4o'!$A$2</f>
        <v>http://elpais.com/ccaa/2019/10/14/catalunya/1571053877_702844.html</v>
      </c>
      <c r="B54" s="6" t="s">
        <v>25</v>
      </c>
      <c r="C54" s="7" t="str">
        <f>'🤖 GPT 4o'!C4</f>
        <v>5W1H</v>
      </c>
      <c r="D54" s="93">
        <f>'🤖 GPT 4o'!E4</f>
        <v>0.3401360544</v>
      </c>
      <c r="E54" s="7">
        <f>'🤖 GPT 4o'!F4</f>
        <v>3</v>
      </c>
      <c r="F54" s="7">
        <f>'🤖 GPT 4o'!G4</f>
        <v>4</v>
      </c>
      <c r="G54" s="7">
        <f>'🤖 GPT 4o'!H4</f>
        <v>5</v>
      </c>
      <c r="H54" s="7">
        <f>'🤖 GPT 4o'!I4</f>
        <v>4</v>
      </c>
      <c r="I54" s="7">
        <f>'🤖 GPT 4o'!J4</f>
        <v>5</v>
      </c>
    </row>
    <row r="55">
      <c r="A55" s="92" t="str">
        <f>'🤖 GPT 4o'!$A$2</f>
        <v>http://elpais.com/ccaa/2019/10/14/catalunya/1571053877_702844.html</v>
      </c>
      <c r="B55" s="6" t="s">
        <v>25</v>
      </c>
      <c r="C55" s="7" t="str">
        <f>'🤖 GPT 4o'!C5</f>
        <v>tldr</v>
      </c>
      <c r="D55" s="93">
        <f>'🤖 GPT 4o'!E5</f>
        <v>0.1887755102</v>
      </c>
      <c r="E55" s="7">
        <f>'🤖 GPT 4o'!F5</f>
        <v>4</v>
      </c>
      <c r="F55" s="7">
        <f>'🤖 GPT 4o'!G5</f>
        <v>5</v>
      </c>
      <c r="G55" s="7">
        <f>'🤖 GPT 4o'!H5</f>
        <v>5</v>
      </c>
      <c r="H55" s="7">
        <f>'🤖 GPT 4o'!I5</f>
        <v>5</v>
      </c>
      <c r="I55" s="7">
        <f>'🤖 GPT 4o'!J5</f>
        <v>4</v>
      </c>
    </row>
    <row r="56">
      <c r="A56" s="94"/>
      <c r="B56" s="6"/>
      <c r="C56" s="7"/>
      <c r="D56" s="3"/>
      <c r="E56" s="7"/>
      <c r="F56" s="7"/>
      <c r="G56" s="7"/>
      <c r="H56" s="7"/>
      <c r="I56" s="7"/>
    </row>
    <row r="57">
      <c r="A57" s="92" t="str">
        <f>'🤖 GPT 4o'!$A$7</f>
        <v>http://elpais.com/cultura/2019/10/15/actualidad/1571152626_720988.html</v>
      </c>
      <c r="B57" s="6" t="s">
        <v>25</v>
      </c>
      <c r="C57" s="7" t="str">
        <f>'🤖 GPT 4o'!C7</f>
        <v>Base</v>
      </c>
      <c r="D57" s="93">
        <f>'🤖 GPT 4o'!E7</f>
        <v>0.2452054795</v>
      </c>
      <c r="E57" s="7">
        <f>'🤖 GPT 4o'!F7</f>
        <v>5</v>
      </c>
      <c r="F57" s="7">
        <f>'🤖 GPT 4o'!G7</f>
        <v>5</v>
      </c>
      <c r="G57" s="7">
        <f>'🤖 GPT 4o'!H7</f>
        <v>5</v>
      </c>
      <c r="H57" s="7">
        <f>'🤖 GPT 4o'!I7</f>
        <v>5</v>
      </c>
      <c r="I57" s="7">
        <f>'🤖 GPT 4o'!J7</f>
        <v>5</v>
      </c>
    </row>
    <row r="58">
      <c r="A58" s="92" t="str">
        <f>'🤖 GPT 4o'!$A$7</f>
        <v>http://elpais.com/cultura/2019/10/15/actualidad/1571152626_720988.html</v>
      </c>
      <c r="B58" s="6" t="s">
        <v>25</v>
      </c>
      <c r="C58" s="7" t="str">
        <f>'🤖 GPT 4o'!C8</f>
        <v>CoT</v>
      </c>
      <c r="D58" s="93">
        <f>'🤖 GPT 4o'!E8</f>
        <v>0.2205479452</v>
      </c>
      <c r="E58" s="7">
        <f>'🤖 GPT 4o'!F8</f>
        <v>5</v>
      </c>
      <c r="F58" s="7">
        <f>'🤖 GPT 4o'!G8</f>
        <v>5</v>
      </c>
      <c r="G58" s="7">
        <f>'🤖 GPT 4o'!H8</f>
        <v>5</v>
      </c>
      <c r="H58" s="7">
        <f>'🤖 GPT 4o'!I8</f>
        <v>4</v>
      </c>
      <c r="I58" s="7">
        <f>'🤖 GPT 4o'!J8</f>
        <v>5</v>
      </c>
    </row>
    <row r="59">
      <c r="A59" s="92" t="str">
        <f>'🤖 GPT 4o'!$A$7</f>
        <v>http://elpais.com/cultura/2019/10/15/actualidad/1571152626_720988.html</v>
      </c>
      <c r="B59" s="6" t="s">
        <v>25</v>
      </c>
      <c r="C59" s="7" t="str">
        <f>'🤖 GPT 4o'!C9</f>
        <v>5W1H</v>
      </c>
      <c r="D59" s="93">
        <f>'🤖 GPT 4o'!E9</f>
        <v>0.2328767123</v>
      </c>
      <c r="E59" s="7">
        <f>'🤖 GPT 4o'!F9</f>
        <v>4</v>
      </c>
      <c r="F59" s="7">
        <f>'🤖 GPT 4o'!G9</f>
        <v>5</v>
      </c>
      <c r="G59" s="7">
        <f>'🤖 GPT 4o'!H9</f>
        <v>5</v>
      </c>
      <c r="H59" s="7">
        <f>'🤖 GPT 4o'!I9</f>
        <v>5</v>
      </c>
      <c r="I59" s="7">
        <f>'🤖 GPT 4o'!J9</f>
        <v>5</v>
      </c>
    </row>
    <row r="60">
      <c r="A60" s="92" t="str">
        <f>'🤖 GPT 4o'!$A$7</f>
        <v>http://elpais.com/cultura/2019/10/15/actualidad/1571152626_720988.html</v>
      </c>
      <c r="B60" s="6" t="s">
        <v>25</v>
      </c>
      <c r="C60" s="7" t="str">
        <f>'🤖 GPT 4o'!C10</f>
        <v>tldr</v>
      </c>
      <c r="D60" s="93">
        <f>'🤖 GPT 4o'!E10</f>
        <v>0.1397260274</v>
      </c>
      <c r="E60" s="7">
        <f>'🤖 GPT 4o'!F10</f>
        <v>5</v>
      </c>
      <c r="F60" s="7">
        <f>'🤖 GPT 4o'!G10</f>
        <v>5</v>
      </c>
      <c r="G60" s="7">
        <f>'🤖 GPT 4o'!H10</f>
        <v>5</v>
      </c>
      <c r="H60" s="7">
        <f>'🤖 GPT 4o'!I10</f>
        <v>5</v>
      </c>
      <c r="I60" s="7">
        <f>'🤖 GPT 4o'!J10</f>
        <v>5</v>
      </c>
    </row>
    <row r="61">
      <c r="A61" s="94"/>
      <c r="B61" s="6"/>
      <c r="C61" s="7"/>
      <c r="D61" s="3"/>
      <c r="E61" s="7"/>
      <c r="F61" s="7"/>
      <c r="G61" s="7"/>
      <c r="H61" s="7"/>
      <c r="I61" s="7"/>
    </row>
    <row r="62">
      <c r="A62" s="92" t="str">
        <f>'🤖 GPT 4o'!$A$12</f>
        <v>http://elpais.com/ccaa/2019/07/23/madrid/1563898491_008005.html</v>
      </c>
      <c r="B62" s="6" t="s">
        <v>25</v>
      </c>
      <c r="C62" s="7" t="str">
        <f>'🤖 GPT 4o'!C12</f>
        <v>Base</v>
      </c>
      <c r="D62" s="93">
        <f>'🤖 GPT 4o'!E12</f>
        <v>0.3377659574</v>
      </c>
      <c r="E62" s="7">
        <f>'🤖 GPT 4o'!F12</f>
        <v>5</v>
      </c>
      <c r="F62" s="7">
        <f>'🤖 GPT 4o'!G12</f>
        <v>5</v>
      </c>
      <c r="G62" s="7">
        <f>'🤖 GPT 4o'!H12</f>
        <v>5</v>
      </c>
      <c r="H62" s="7">
        <f>'🤖 GPT 4o'!I12</f>
        <v>5</v>
      </c>
      <c r="I62" s="7">
        <f>'🤖 GPT 4o'!J12</f>
        <v>2</v>
      </c>
    </row>
    <row r="63">
      <c r="A63" s="92" t="str">
        <f>'🤖 GPT 4o'!$A$12</f>
        <v>http://elpais.com/ccaa/2019/07/23/madrid/1563898491_008005.html</v>
      </c>
      <c r="B63" s="6" t="s">
        <v>25</v>
      </c>
      <c r="C63" s="7" t="str">
        <f>'🤖 GPT 4o'!C13</f>
        <v>CoT</v>
      </c>
      <c r="D63" s="93">
        <f>'🤖 GPT 4o'!E13</f>
        <v>0.2473404255</v>
      </c>
      <c r="E63" s="7">
        <f>'🤖 GPT 4o'!F13</f>
        <v>5</v>
      </c>
      <c r="F63" s="7">
        <f>'🤖 GPT 4o'!G13</f>
        <v>5</v>
      </c>
      <c r="G63" s="7">
        <f>'🤖 GPT 4o'!H13</f>
        <v>5</v>
      </c>
      <c r="H63" s="7">
        <f>'🤖 GPT 4o'!I13</f>
        <v>5</v>
      </c>
      <c r="I63" s="7">
        <f>'🤖 GPT 4o'!J13</f>
        <v>3</v>
      </c>
    </row>
    <row r="64">
      <c r="A64" s="92" t="str">
        <f>'🤖 GPT 4o'!$A$12</f>
        <v>http://elpais.com/ccaa/2019/07/23/madrid/1563898491_008005.html</v>
      </c>
      <c r="B64" s="6" t="s">
        <v>25</v>
      </c>
      <c r="C64" s="7" t="str">
        <f>'🤖 GPT 4o'!C14</f>
        <v>5W1H</v>
      </c>
      <c r="D64" s="93">
        <f>'🤖 GPT 4o'!E14</f>
        <v>0.5824468085</v>
      </c>
      <c r="E64" s="7">
        <f>'🤖 GPT 4o'!F14</f>
        <v>4</v>
      </c>
      <c r="F64" s="7">
        <f>'🤖 GPT 4o'!G14</f>
        <v>5</v>
      </c>
      <c r="G64" s="7">
        <f>'🤖 GPT 4o'!H14</f>
        <v>5</v>
      </c>
      <c r="H64" s="7">
        <f>'🤖 GPT 4o'!I14</f>
        <v>4</v>
      </c>
      <c r="I64" s="7">
        <f>'🤖 GPT 4o'!J14</f>
        <v>5</v>
      </c>
    </row>
    <row r="65">
      <c r="A65" s="92" t="str">
        <f>'🤖 GPT 4o'!$A$12</f>
        <v>http://elpais.com/ccaa/2019/07/23/madrid/1563898491_008005.html</v>
      </c>
      <c r="B65" s="6" t="s">
        <v>25</v>
      </c>
      <c r="C65" s="7" t="str">
        <f>'🤖 GPT 4o'!C15</f>
        <v>tldr</v>
      </c>
      <c r="D65" s="93">
        <f>'🤖 GPT 4o'!E15</f>
        <v>0.2207446809</v>
      </c>
      <c r="E65" s="7">
        <f>'🤖 GPT 4o'!F15</f>
        <v>5</v>
      </c>
      <c r="F65" s="7">
        <f>'🤖 GPT 4o'!G15</f>
        <v>5</v>
      </c>
      <c r="G65" s="7">
        <f>'🤖 GPT 4o'!H15</f>
        <v>5</v>
      </c>
      <c r="H65" s="7">
        <f>'🤖 GPT 4o'!I15</f>
        <v>5</v>
      </c>
      <c r="I65" s="7">
        <f>'🤖 GPT 4o'!J15</f>
        <v>3</v>
      </c>
    </row>
    <row r="66">
      <c r="A66" s="94"/>
      <c r="B66" s="6"/>
      <c r="C66" s="7"/>
      <c r="D66" s="3"/>
      <c r="E66" s="7"/>
      <c r="F66" s="7"/>
      <c r="G66" s="7"/>
      <c r="H66" s="7"/>
      <c r="I66" s="7"/>
    </row>
    <row r="67">
      <c r="A67" s="92" t="str">
        <f>'🤖 GPT 4o'!$A$17</f>
        <v>http://elpais.com/elpais/2019/06/28/estilo/1561733550_082135.html</v>
      </c>
      <c r="B67" s="6" t="s">
        <v>25</v>
      </c>
      <c r="C67" s="7" t="str">
        <f>'🤖 GPT 4o'!C17</f>
        <v>Base</v>
      </c>
      <c r="D67" s="93">
        <f>'🤖 GPT 4o'!E17</f>
        <v>0.1994382022</v>
      </c>
      <c r="E67" s="7">
        <f>'🤖 GPT 4o'!F17</f>
        <v>4</v>
      </c>
      <c r="F67" s="7">
        <f>'🤖 GPT 4o'!G17</f>
        <v>5</v>
      </c>
      <c r="G67" s="7">
        <f>'🤖 GPT 4o'!H17</f>
        <v>5</v>
      </c>
      <c r="H67" s="7">
        <f>'🤖 GPT 4o'!I17</f>
        <v>3</v>
      </c>
      <c r="I67" s="7">
        <f>'🤖 GPT 4o'!J17</f>
        <v>5</v>
      </c>
    </row>
    <row r="68">
      <c r="A68" s="92" t="str">
        <f>'🤖 GPT 4o'!$A$17</f>
        <v>http://elpais.com/elpais/2019/06/28/estilo/1561733550_082135.html</v>
      </c>
      <c r="B68" s="6" t="s">
        <v>25</v>
      </c>
      <c r="C68" s="7" t="str">
        <f>'🤖 GPT 4o'!C18</f>
        <v>CoT</v>
      </c>
      <c r="D68" s="93">
        <f>'🤖 GPT 4o'!E18</f>
        <v>0.1516853933</v>
      </c>
      <c r="E68" s="7">
        <f>'🤖 GPT 4o'!F18</f>
        <v>4</v>
      </c>
      <c r="F68" s="7">
        <f>'🤖 GPT 4o'!G18</f>
        <v>5</v>
      </c>
      <c r="G68" s="7">
        <f>'🤖 GPT 4o'!H18</f>
        <v>5</v>
      </c>
      <c r="H68" s="7">
        <f>'🤖 GPT 4o'!I18</f>
        <v>3</v>
      </c>
      <c r="I68" s="7">
        <f>'🤖 GPT 4o'!J18</f>
        <v>5</v>
      </c>
    </row>
    <row r="69">
      <c r="A69" s="92" t="str">
        <f>'🤖 GPT 4o'!$A$17</f>
        <v>http://elpais.com/elpais/2019/06/28/estilo/1561733550_082135.html</v>
      </c>
      <c r="B69" s="6" t="s">
        <v>25</v>
      </c>
      <c r="C69" s="7" t="str">
        <f>'🤖 GPT 4o'!C19</f>
        <v>5W1H</v>
      </c>
      <c r="D69" s="93">
        <f>'🤖 GPT 4o'!E19</f>
        <v>0.2935393258</v>
      </c>
      <c r="E69" s="7">
        <f>'🤖 GPT 4o'!F19</f>
        <v>4</v>
      </c>
      <c r="F69" s="7">
        <f>'🤖 GPT 4o'!G19</f>
        <v>5</v>
      </c>
      <c r="G69" s="7">
        <f>'🤖 GPT 4o'!H19</f>
        <v>5</v>
      </c>
      <c r="H69" s="7">
        <f>'🤖 GPT 4o'!I19</f>
        <v>4</v>
      </c>
      <c r="I69" s="7">
        <f>'🤖 GPT 4o'!J19</f>
        <v>5</v>
      </c>
    </row>
    <row r="70">
      <c r="A70" s="92" t="str">
        <f>'🤖 GPT 4o'!$A$17</f>
        <v>http://elpais.com/elpais/2019/06/28/estilo/1561733550_082135.html</v>
      </c>
      <c r="B70" s="6" t="s">
        <v>25</v>
      </c>
      <c r="C70" s="7" t="str">
        <f>'🤖 GPT 4o'!C20</f>
        <v>tldr</v>
      </c>
      <c r="D70" s="93">
        <f>'🤖 GPT 4o'!E20</f>
        <v>0.1643258427</v>
      </c>
      <c r="E70" s="7">
        <f>'🤖 GPT 4o'!F20</f>
        <v>5</v>
      </c>
      <c r="F70" s="7">
        <f>'🤖 GPT 4o'!G20</f>
        <v>5</v>
      </c>
      <c r="G70" s="7">
        <f>'🤖 GPT 4o'!H20</f>
        <v>5</v>
      </c>
      <c r="H70" s="7">
        <f>'🤖 GPT 4o'!I20</f>
        <v>3</v>
      </c>
      <c r="I70" s="7">
        <f>'🤖 GPT 4o'!J20</f>
        <v>5</v>
      </c>
    </row>
    <row r="71">
      <c r="A71" s="94"/>
      <c r="B71" s="6"/>
      <c r="C71" s="7"/>
      <c r="D71" s="3"/>
      <c r="E71" s="7"/>
      <c r="F71" s="7"/>
      <c r="G71" s="7"/>
      <c r="H71" s="7"/>
      <c r="I71" s="7"/>
    </row>
    <row r="72">
      <c r="A72" s="92" t="str">
        <f>'🤖 GPT 4o'!$A$22</f>
        <v>http://elpais.com/internacional/2019/08/06/mexico/1565054211_863699.html</v>
      </c>
      <c r="B72" s="6" t="s">
        <v>25</v>
      </c>
      <c r="C72" s="7" t="str">
        <f>'🤖 GPT 4o'!C22</f>
        <v>Base</v>
      </c>
      <c r="D72" s="93">
        <f>'🤖 GPT 4o'!E22</f>
        <v>0.1102299762</v>
      </c>
      <c r="E72" s="7">
        <f>'🤖 GPT 4o'!F22</f>
        <v>5</v>
      </c>
      <c r="F72" s="7">
        <f>'🤖 GPT 4o'!G22</f>
        <v>4</v>
      </c>
      <c r="G72" s="7">
        <f>'🤖 GPT 4o'!H22</f>
        <v>5</v>
      </c>
      <c r="H72" s="7">
        <f>'🤖 GPT 4o'!I22</f>
        <v>5</v>
      </c>
      <c r="I72" s="7">
        <f>'🤖 GPT 4o'!J22</f>
        <v>4</v>
      </c>
    </row>
    <row r="73">
      <c r="A73" s="92" t="str">
        <f>'🤖 GPT 4o'!$A$22</f>
        <v>http://elpais.com/internacional/2019/08/06/mexico/1565054211_863699.html</v>
      </c>
      <c r="B73" s="6" t="s">
        <v>25</v>
      </c>
      <c r="C73" s="7" t="str">
        <f>'🤖 GPT 4o'!C23</f>
        <v>CoT</v>
      </c>
      <c r="D73" s="93">
        <f>'🤖 GPT 4o'!E23</f>
        <v>0.08326724822</v>
      </c>
      <c r="E73" s="7">
        <f>'🤖 GPT 4o'!F23</f>
        <v>5</v>
      </c>
      <c r="F73" s="7">
        <f>'🤖 GPT 4o'!G23</f>
        <v>4</v>
      </c>
      <c r="G73" s="7">
        <f>'🤖 GPT 4o'!H23</f>
        <v>5</v>
      </c>
      <c r="H73" s="7">
        <f>'🤖 GPT 4o'!I23</f>
        <v>5</v>
      </c>
      <c r="I73" s="7">
        <f>'🤖 GPT 4o'!J23</f>
        <v>4</v>
      </c>
    </row>
    <row r="74">
      <c r="A74" s="92" t="str">
        <f>'🤖 GPT 4o'!$A$22</f>
        <v>http://elpais.com/internacional/2019/08/06/mexico/1565054211_863699.html</v>
      </c>
      <c r="B74" s="6" t="s">
        <v>25</v>
      </c>
      <c r="C74" s="7" t="str">
        <f>'🤖 GPT 4o'!C24</f>
        <v>5W1H</v>
      </c>
      <c r="D74" s="93">
        <f>'🤖 GPT 4o'!E24</f>
        <v>0.1554321967</v>
      </c>
      <c r="E74" s="7">
        <f>'🤖 GPT 4o'!F24</f>
        <v>4</v>
      </c>
      <c r="F74" s="7">
        <f>'🤖 GPT 4o'!G24</f>
        <v>5</v>
      </c>
      <c r="G74" s="7">
        <f>'🤖 GPT 4o'!H24</f>
        <v>5</v>
      </c>
      <c r="H74" s="7">
        <f>'🤖 GPT 4o'!I24</f>
        <v>4</v>
      </c>
      <c r="I74" s="7">
        <f>'🤖 GPT 4o'!J24</f>
        <v>5</v>
      </c>
    </row>
    <row r="75">
      <c r="A75" s="92" t="str">
        <f>'🤖 GPT 4o'!$A$22</f>
        <v>http://elpais.com/internacional/2019/08/06/mexico/1565054211_863699.html</v>
      </c>
      <c r="B75" s="6" t="s">
        <v>25</v>
      </c>
      <c r="C75" s="7" t="str">
        <f>'🤖 GPT 4o'!C25</f>
        <v>tldr</v>
      </c>
      <c r="D75" s="93">
        <f>'🤖 GPT 4o'!E25</f>
        <v>0.08168120539</v>
      </c>
      <c r="E75" s="7">
        <f>'🤖 GPT 4o'!F25</f>
        <v>5</v>
      </c>
      <c r="F75" s="7">
        <f>'🤖 GPT 4o'!G25</f>
        <v>5</v>
      </c>
      <c r="G75" s="7">
        <f>'🤖 GPT 4o'!H25</f>
        <v>5</v>
      </c>
      <c r="H75" s="7">
        <f>'🤖 GPT 4o'!I25</f>
        <v>5</v>
      </c>
      <c r="I75" s="7">
        <f>'🤖 GPT 4o'!J25</f>
        <v>3</v>
      </c>
    </row>
    <row r="76">
      <c r="A76" s="94"/>
      <c r="B76" s="6"/>
      <c r="C76" s="7"/>
      <c r="D76" s="3"/>
      <c r="E76" s="7"/>
      <c r="F76" s="7"/>
      <c r="G76" s="7"/>
      <c r="H76" s="7"/>
      <c r="I76" s="7"/>
    </row>
    <row r="77">
      <c r="A77" s="92" t="str">
        <f>'🤖 Reka Flash'!$A$2</f>
        <v>http://elpais.com/ccaa/2019/10/14/catalunya/1571053877_702844.html</v>
      </c>
      <c r="B77" s="6" t="s">
        <v>26</v>
      </c>
      <c r="C77" s="7" t="str">
        <f>'🤖 Reka Flash'!C2</f>
        <v>Base</v>
      </c>
      <c r="D77" s="93">
        <f>'🤖 Reka Flash'!E2</f>
        <v>0.2176870748</v>
      </c>
      <c r="E77" s="7">
        <f>'🤖 Reka Flash'!F2</f>
        <v>5</v>
      </c>
      <c r="F77" s="7">
        <f>'🤖 Reka Flash'!G2</f>
        <v>4</v>
      </c>
      <c r="G77" s="7">
        <f>'🤖 Reka Flash'!H2</f>
        <v>4</v>
      </c>
      <c r="H77" s="7">
        <f>'🤖 Reka Flash'!I2</f>
        <v>5</v>
      </c>
      <c r="I77" s="7">
        <f>'🤖 Reka Flash'!J2</f>
        <v>4</v>
      </c>
    </row>
    <row r="78">
      <c r="A78" s="92" t="str">
        <f>'🤖 Reka Flash'!$A$2</f>
        <v>http://elpais.com/ccaa/2019/10/14/catalunya/1571053877_702844.html</v>
      </c>
      <c r="B78" s="6" t="s">
        <v>26</v>
      </c>
      <c r="C78" s="7" t="str">
        <f>'🤖 Reka Flash'!C3</f>
        <v>CoT</v>
      </c>
      <c r="D78" s="93">
        <f>'🤖 Reka Flash'!E3</f>
        <v>0.2108843537</v>
      </c>
      <c r="E78" s="7">
        <f>'🤖 Reka Flash'!F3</f>
        <v>5</v>
      </c>
      <c r="F78" s="7">
        <f>'🤖 Reka Flash'!G3</f>
        <v>3</v>
      </c>
      <c r="G78" s="7">
        <f>'🤖 Reka Flash'!H3</f>
        <v>5</v>
      </c>
      <c r="H78" s="7">
        <f>'🤖 Reka Flash'!I3</f>
        <v>4</v>
      </c>
      <c r="I78" s="7">
        <f>'🤖 Reka Flash'!J3</f>
        <v>4</v>
      </c>
    </row>
    <row r="79">
      <c r="A79" s="92" t="str">
        <f>'🤖 Reka Flash'!$A$2</f>
        <v>http://elpais.com/ccaa/2019/10/14/catalunya/1571053877_702844.html</v>
      </c>
      <c r="B79" s="6" t="s">
        <v>26</v>
      </c>
      <c r="C79" s="7" t="str">
        <f>'🤖 Reka Flash'!C4</f>
        <v>5W1H</v>
      </c>
      <c r="D79" s="93">
        <f>'🤖 Reka Flash'!E4</f>
        <v>0.3707482993</v>
      </c>
      <c r="E79" s="7">
        <f>'🤖 Reka Flash'!F4</f>
        <v>3</v>
      </c>
      <c r="F79" s="7">
        <f>'🤖 Reka Flash'!G4</f>
        <v>4</v>
      </c>
      <c r="G79" s="7">
        <f>'🤖 Reka Flash'!H4</f>
        <v>5</v>
      </c>
      <c r="H79" s="7">
        <f>'🤖 Reka Flash'!I4</f>
        <v>5</v>
      </c>
      <c r="I79" s="7">
        <f>'🤖 Reka Flash'!J4</f>
        <v>5</v>
      </c>
    </row>
    <row r="80">
      <c r="A80" s="92" t="str">
        <f>'🤖 Reka Flash'!$A$2</f>
        <v>http://elpais.com/ccaa/2019/10/14/catalunya/1571053877_702844.html</v>
      </c>
      <c r="B80" s="6" t="s">
        <v>26</v>
      </c>
      <c r="C80" s="7" t="str">
        <f>'🤖 Reka Flash'!C5</f>
        <v>tldr</v>
      </c>
      <c r="D80" s="93">
        <f>'🤖 Reka Flash'!E5</f>
        <v>0.2040816327</v>
      </c>
      <c r="E80" s="7">
        <f>'🤖 Reka Flash'!F5</f>
        <v>5</v>
      </c>
      <c r="F80" s="7">
        <f>'🤖 Reka Flash'!G5</f>
        <v>3</v>
      </c>
      <c r="G80" s="7">
        <f>'🤖 Reka Flash'!H5</f>
        <v>3</v>
      </c>
      <c r="H80" s="7">
        <f>'🤖 Reka Flash'!I5</f>
        <v>5</v>
      </c>
      <c r="I80" s="7">
        <f>'🤖 Reka Flash'!J5</f>
        <v>4</v>
      </c>
    </row>
    <row r="81">
      <c r="A81" s="94"/>
      <c r="B81" s="6"/>
      <c r="C81" s="7"/>
      <c r="D81" s="3"/>
      <c r="E81" s="7"/>
      <c r="F81" s="7"/>
      <c r="G81" s="7"/>
      <c r="H81" s="7"/>
      <c r="I81" s="7"/>
    </row>
    <row r="82">
      <c r="A82" s="92" t="str">
        <f>'🤖 Reka Flash'!$A$7</f>
        <v>http://elpais.com/cultura/2019/10/15/actualidad/1571152626_720988.html</v>
      </c>
      <c r="B82" s="6" t="s">
        <v>26</v>
      </c>
      <c r="C82" s="7" t="str">
        <f>'🤖 Reka Flash'!C7</f>
        <v>Base</v>
      </c>
      <c r="D82" s="93">
        <f>'🤖 Reka Flash'!E7</f>
        <v>0.2890410959</v>
      </c>
      <c r="E82" s="7">
        <f>'🤖 Reka Flash'!F7</f>
        <v>5</v>
      </c>
      <c r="F82" s="7">
        <f>'🤖 Reka Flash'!G7</f>
        <v>5</v>
      </c>
      <c r="G82" s="7">
        <f>'🤖 Reka Flash'!H7</f>
        <v>5</v>
      </c>
      <c r="H82" s="7">
        <f>'🤖 Reka Flash'!I7</f>
        <v>4</v>
      </c>
      <c r="I82" s="7">
        <f>'🤖 Reka Flash'!J7</f>
        <v>3</v>
      </c>
    </row>
    <row r="83">
      <c r="A83" s="92" t="str">
        <f>'🤖 Reka Flash'!$A$7</f>
        <v>http://elpais.com/cultura/2019/10/15/actualidad/1571152626_720988.html</v>
      </c>
      <c r="B83" s="6" t="s">
        <v>26</v>
      </c>
      <c r="C83" s="7" t="str">
        <f>'🤖 Reka Flash'!C8</f>
        <v>CoT</v>
      </c>
      <c r="D83" s="93">
        <f>'🤖 Reka Flash'!E8</f>
        <v>0.2150684932</v>
      </c>
      <c r="E83" s="7">
        <f>'🤖 Reka Flash'!F8</f>
        <v>5</v>
      </c>
      <c r="F83" s="7">
        <f>'🤖 Reka Flash'!G8</f>
        <v>5</v>
      </c>
      <c r="G83" s="7">
        <f>'🤖 Reka Flash'!H8</f>
        <v>5</v>
      </c>
      <c r="H83" s="7">
        <f>'🤖 Reka Flash'!I8</f>
        <v>4</v>
      </c>
      <c r="I83" s="7">
        <f>'🤖 Reka Flash'!J8</f>
        <v>3</v>
      </c>
    </row>
    <row r="84">
      <c r="A84" s="92" t="str">
        <f>'🤖 Reka Flash'!$A$7</f>
        <v>http://elpais.com/cultura/2019/10/15/actualidad/1571152626_720988.html</v>
      </c>
      <c r="B84" s="6" t="s">
        <v>26</v>
      </c>
      <c r="C84" s="7" t="str">
        <f>'🤖 Reka Flash'!C9</f>
        <v>5W1H</v>
      </c>
      <c r="D84" s="93">
        <f>'🤖 Reka Flash'!E9</f>
        <v>0.2424657534</v>
      </c>
      <c r="E84" s="7">
        <f>'🤖 Reka Flash'!F9</f>
        <v>5</v>
      </c>
      <c r="F84" s="7">
        <f>'🤖 Reka Flash'!G9</f>
        <v>5</v>
      </c>
      <c r="G84" s="7">
        <f>'🤖 Reka Flash'!H9</f>
        <v>5</v>
      </c>
      <c r="H84" s="7">
        <f>'🤖 Reka Flash'!I9</f>
        <v>5</v>
      </c>
      <c r="I84" s="7">
        <f>'🤖 Reka Flash'!J9</f>
        <v>5</v>
      </c>
    </row>
    <row r="85">
      <c r="A85" s="92" t="str">
        <f>'🤖 Reka Flash'!$A$7</f>
        <v>http://elpais.com/cultura/2019/10/15/actualidad/1571152626_720988.html</v>
      </c>
      <c r="B85" s="6" t="s">
        <v>26</v>
      </c>
      <c r="C85" s="7" t="str">
        <f>'🤖 Reka Flash'!C10</f>
        <v>tldr</v>
      </c>
      <c r="D85" s="93">
        <f>'🤖 Reka Flash'!E10</f>
        <v>0.1643835616</v>
      </c>
      <c r="E85" s="7">
        <f>'🤖 Reka Flash'!F10</f>
        <v>5</v>
      </c>
      <c r="F85" s="7">
        <f>'🤖 Reka Flash'!G10</f>
        <v>5</v>
      </c>
      <c r="G85" s="7">
        <f>'🤖 Reka Flash'!H10</f>
        <v>5</v>
      </c>
      <c r="H85" s="7">
        <f>'🤖 Reka Flash'!I10</f>
        <v>5</v>
      </c>
      <c r="I85" s="7">
        <f>'🤖 Reka Flash'!J10</f>
        <v>3</v>
      </c>
    </row>
    <row r="86">
      <c r="A86" s="94"/>
      <c r="B86" s="6"/>
      <c r="C86" s="7"/>
      <c r="D86" s="3"/>
      <c r="E86" s="7"/>
      <c r="F86" s="7"/>
      <c r="G86" s="7"/>
      <c r="H86" s="7"/>
      <c r="I86" s="7"/>
    </row>
    <row r="87">
      <c r="A87" s="92" t="str">
        <f>'🤖 Reka Flash'!$A$12</f>
        <v>http://elpais.com/ccaa/2019/07/23/madrid/1563898491_008005.html</v>
      </c>
      <c r="B87" s="6" t="s">
        <v>26</v>
      </c>
      <c r="C87" s="7" t="str">
        <f>'🤖 Reka Flash'!C12</f>
        <v>Base</v>
      </c>
      <c r="D87" s="93">
        <f>'🤖 Reka Flash'!E12</f>
        <v>0.25</v>
      </c>
      <c r="E87" s="7">
        <f>'🤖 Reka Flash'!F12</f>
        <v>5</v>
      </c>
      <c r="F87" s="7">
        <f>'🤖 Reka Flash'!G12</f>
        <v>5</v>
      </c>
      <c r="G87" s="7">
        <f>'🤖 Reka Flash'!H12</f>
        <v>5</v>
      </c>
      <c r="H87" s="7">
        <f>'🤖 Reka Flash'!I12</f>
        <v>5</v>
      </c>
      <c r="I87" s="7">
        <f>'🤖 Reka Flash'!J12</f>
        <v>2</v>
      </c>
    </row>
    <row r="88">
      <c r="A88" s="92" t="str">
        <f>'🤖 Reka Flash'!$A$12</f>
        <v>http://elpais.com/ccaa/2019/07/23/madrid/1563898491_008005.html</v>
      </c>
      <c r="B88" s="6" t="s">
        <v>26</v>
      </c>
      <c r="C88" s="7" t="str">
        <f>'🤖 Reka Flash'!C13</f>
        <v>CoT</v>
      </c>
      <c r="D88" s="93">
        <f>'🤖 Reka Flash'!E13</f>
        <v>0.25</v>
      </c>
      <c r="E88" s="7">
        <f>'🤖 Reka Flash'!F13</f>
        <v>5</v>
      </c>
      <c r="F88" s="7">
        <f>'🤖 Reka Flash'!G13</f>
        <v>5</v>
      </c>
      <c r="G88" s="7">
        <f>'🤖 Reka Flash'!H13</f>
        <v>5</v>
      </c>
      <c r="H88" s="7">
        <f>'🤖 Reka Flash'!I13</f>
        <v>4</v>
      </c>
      <c r="I88" s="7">
        <f>'🤖 Reka Flash'!J13</f>
        <v>2</v>
      </c>
    </row>
    <row r="89">
      <c r="A89" s="92" t="str">
        <f>'🤖 Reka Flash'!$A$12</f>
        <v>http://elpais.com/ccaa/2019/07/23/madrid/1563898491_008005.html</v>
      </c>
      <c r="B89" s="6" t="s">
        <v>26</v>
      </c>
      <c r="C89" s="7" t="str">
        <f>'🤖 Reka Flash'!C14</f>
        <v>5W1H</v>
      </c>
      <c r="D89" s="93">
        <f>'🤖 Reka Flash'!E14</f>
        <v>0.6010638298</v>
      </c>
      <c r="E89" s="7">
        <f>'🤖 Reka Flash'!F14</f>
        <v>4</v>
      </c>
      <c r="F89" s="7">
        <f>'🤖 Reka Flash'!G14</f>
        <v>5</v>
      </c>
      <c r="G89" s="7">
        <f>'🤖 Reka Flash'!H14</f>
        <v>5</v>
      </c>
      <c r="H89" s="7">
        <f>'🤖 Reka Flash'!I14</f>
        <v>5</v>
      </c>
      <c r="I89" s="7">
        <f>'🤖 Reka Flash'!J14</f>
        <v>5</v>
      </c>
    </row>
    <row r="90">
      <c r="A90" s="92" t="str">
        <f>'🤖 Reka Flash'!$A$12</f>
        <v>http://elpais.com/ccaa/2019/07/23/madrid/1563898491_008005.html</v>
      </c>
      <c r="B90" s="6" t="s">
        <v>26</v>
      </c>
      <c r="C90" s="7" t="str">
        <f>'🤖 Reka Flash'!C15</f>
        <v>tldr</v>
      </c>
      <c r="D90" s="93">
        <f>'🤖 Reka Flash'!E15</f>
        <v>0.2313829787</v>
      </c>
      <c r="E90" s="7">
        <f>'🤖 Reka Flash'!F15</f>
        <v>5</v>
      </c>
      <c r="F90" s="7">
        <f>'🤖 Reka Flash'!G15</f>
        <v>5</v>
      </c>
      <c r="G90" s="7">
        <f>'🤖 Reka Flash'!H15</f>
        <v>5</v>
      </c>
      <c r="H90" s="7">
        <f>'🤖 Reka Flash'!I15</f>
        <v>5</v>
      </c>
      <c r="I90" s="7">
        <f>'🤖 Reka Flash'!J15</f>
        <v>2</v>
      </c>
    </row>
    <row r="91">
      <c r="A91" s="94"/>
      <c r="B91" s="6"/>
      <c r="C91" s="7"/>
      <c r="D91" s="3"/>
      <c r="E91" s="7"/>
      <c r="F91" s="7"/>
      <c r="G91" s="7"/>
      <c r="H91" s="7"/>
      <c r="I91" s="7"/>
    </row>
    <row r="92">
      <c r="A92" s="92" t="str">
        <f>'🤖 Reka Flash'!$A$17</f>
        <v>http://elpais.com/elpais/2019/06/28/estilo/1561733550_082135.html</v>
      </c>
      <c r="B92" s="6" t="s">
        <v>26</v>
      </c>
      <c r="C92" s="7" t="str">
        <f>'🤖 Reka Flash'!C17</f>
        <v>Base</v>
      </c>
      <c r="D92" s="93">
        <f>'🤖 Reka Flash'!E17</f>
        <v>0.2092696629</v>
      </c>
      <c r="E92" s="7">
        <f>'🤖 Reka Flash'!F17</f>
        <v>5</v>
      </c>
      <c r="F92" s="7">
        <f>'🤖 Reka Flash'!G17</f>
        <v>4</v>
      </c>
      <c r="G92" s="7">
        <f>'🤖 Reka Flash'!H17</f>
        <v>5</v>
      </c>
      <c r="H92" s="7">
        <f>'🤖 Reka Flash'!I17</f>
        <v>5</v>
      </c>
      <c r="I92" s="7">
        <f>'🤖 Reka Flash'!J17</f>
        <v>5</v>
      </c>
    </row>
    <row r="93">
      <c r="A93" s="92" t="str">
        <f>'🤖 Reka Flash'!$A$17</f>
        <v>http://elpais.com/elpais/2019/06/28/estilo/1561733550_082135.html</v>
      </c>
      <c r="B93" s="6" t="s">
        <v>26</v>
      </c>
      <c r="C93" s="7" t="str">
        <f>'🤖 Reka Flash'!C18</f>
        <v>CoT</v>
      </c>
      <c r="D93" s="93">
        <f>'🤖 Reka Flash'!E18</f>
        <v>0.1306179775</v>
      </c>
      <c r="E93" s="7">
        <f>'🤖 Reka Flash'!F18</f>
        <v>5</v>
      </c>
      <c r="F93" s="7">
        <f>'🤖 Reka Flash'!G18</f>
        <v>4</v>
      </c>
      <c r="G93" s="7">
        <f>'🤖 Reka Flash'!H18</f>
        <v>5</v>
      </c>
      <c r="H93" s="7">
        <f>'🤖 Reka Flash'!I18</f>
        <v>5</v>
      </c>
      <c r="I93" s="7">
        <f>'🤖 Reka Flash'!J18</f>
        <v>5</v>
      </c>
    </row>
    <row r="94">
      <c r="A94" s="92" t="str">
        <f>'🤖 Reka Flash'!$A$17</f>
        <v>http://elpais.com/elpais/2019/06/28/estilo/1561733550_082135.html</v>
      </c>
      <c r="B94" s="6" t="s">
        <v>26</v>
      </c>
      <c r="C94" s="7" t="str">
        <f>'🤖 Reka Flash'!C19</f>
        <v>5W1H</v>
      </c>
      <c r="D94" s="93">
        <f>'🤖 Reka Flash'!E19</f>
        <v>0.2359550562</v>
      </c>
      <c r="E94" s="7">
        <f>'🤖 Reka Flash'!F19</f>
        <v>4</v>
      </c>
      <c r="F94" s="7">
        <f>'🤖 Reka Flash'!G19</f>
        <v>5</v>
      </c>
      <c r="G94" s="7">
        <f>'🤖 Reka Flash'!H19</f>
        <v>5</v>
      </c>
      <c r="H94" s="7">
        <f>'🤖 Reka Flash'!I19</f>
        <v>5</v>
      </c>
      <c r="I94" s="7">
        <f>'🤖 Reka Flash'!J19</f>
        <v>5</v>
      </c>
    </row>
    <row r="95">
      <c r="A95" s="92" t="str">
        <f>'🤖 Reka Flash'!$A$17</f>
        <v>http://elpais.com/elpais/2019/06/28/estilo/1561733550_082135.html</v>
      </c>
      <c r="B95" s="6" t="s">
        <v>26</v>
      </c>
      <c r="C95" s="7" t="str">
        <f>'🤖 Reka Flash'!C20</f>
        <v>tldr</v>
      </c>
      <c r="D95" s="93">
        <f>'🤖 Reka Flash'!E20</f>
        <v>0.143258427</v>
      </c>
      <c r="E95" s="7">
        <f>'🤖 Reka Flash'!F20</f>
        <v>5</v>
      </c>
      <c r="F95" s="7">
        <f>'🤖 Reka Flash'!G20</f>
        <v>5</v>
      </c>
      <c r="G95" s="7">
        <f>'🤖 Reka Flash'!H20</f>
        <v>5</v>
      </c>
      <c r="H95" s="7">
        <f>'🤖 Reka Flash'!I20</f>
        <v>5</v>
      </c>
      <c r="I95" s="7">
        <f>'🤖 Reka Flash'!J20</f>
        <v>5</v>
      </c>
    </row>
    <row r="96">
      <c r="A96" s="94"/>
      <c r="B96" s="6"/>
      <c r="C96" s="7"/>
      <c r="D96" s="3"/>
      <c r="E96" s="7"/>
      <c r="F96" s="7"/>
      <c r="G96" s="7"/>
      <c r="H96" s="7"/>
      <c r="I96" s="7"/>
    </row>
    <row r="97">
      <c r="A97" s="92" t="str">
        <f>'🤖 Reka Flash'!$A$22</f>
        <v>http://elpais.com/internacional/2019/08/06/mexico/1565054211_863699.html</v>
      </c>
      <c r="B97" s="6" t="s">
        <v>26</v>
      </c>
      <c r="C97" s="7" t="str">
        <f>'🤖 Reka Flash'!C22</f>
        <v>Base</v>
      </c>
      <c r="D97" s="93">
        <f>'🤖 Reka Flash'!E22</f>
        <v>0.2101506741</v>
      </c>
      <c r="E97" s="7">
        <f>'🤖 Reka Flash'!F22</f>
        <v>5</v>
      </c>
      <c r="F97" s="7">
        <f>'🤖 Reka Flash'!G22</f>
        <v>4</v>
      </c>
      <c r="G97" s="7">
        <f>'🤖 Reka Flash'!H22</f>
        <v>5</v>
      </c>
      <c r="H97" s="7">
        <f>'🤖 Reka Flash'!I22</f>
        <v>5</v>
      </c>
      <c r="I97" s="7">
        <f>'🤖 Reka Flash'!J22</f>
        <v>4</v>
      </c>
    </row>
    <row r="98">
      <c r="A98" s="92" t="str">
        <f>'🤖 Reka Flash'!$A$22</f>
        <v>http://elpais.com/internacional/2019/08/06/mexico/1565054211_863699.html</v>
      </c>
      <c r="B98" s="6" t="s">
        <v>26</v>
      </c>
      <c r="C98" s="7" t="str">
        <f>'🤖 Reka Flash'!C23</f>
        <v>CoT</v>
      </c>
      <c r="D98" s="93">
        <f>'🤖 Reka Flash'!E23</f>
        <v>0.1403647898</v>
      </c>
      <c r="E98" s="7">
        <f>'🤖 Reka Flash'!F23</f>
        <v>5</v>
      </c>
      <c r="F98" s="7">
        <f>'🤖 Reka Flash'!G23</f>
        <v>4</v>
      </c>
      <c r="G98" s="7">
        <f>'🤖 Reka Flash'!H23</f>
        <v>5</v>
      </c>
      <c r="H98" s="7">
        <f>'🤖 Reka Flash'!I23</f>
        <v>4</v>
      </c>
      <c r="I98" s="7">
        <f>'🤖 Reka Flash'!J23</f>
        <v>4</v>
      </c>
    </row>
    <row r="99">
      <c r="A99" s="92" t="str">
        <f>'🤖 Reka Flash'!$A$22</f>
        <v>http://elpais.com/internacional/2019/08/06/mexico/1565054211_863699.html</v>
      </c>
      <c r="B99" s="6" t="s">
        <v>26</v>
      </c>
      <c r="C99" s="7" t="str">
        <f>'🤖 Reka Flash'!C24</f>
        <v>5W1H</v>
      </c>
      <c r="D99" s="93">
        <f>'🤖 Reka Flash'!E24</f>
        <v>0.1744647105</v>
      </c>
      <c r="E99" s="7">
        <f>'🤖 Reka Flash'!F24</f>
        <v>3</v>
      </c>
      <c r="F99" s="7">
        <f>'🤖 Reka Flash'!G24</f>
        <v>4</v>
      </c>
      <c r="G99" s="7">
        <f>'🤖 Reka Flash'!H24</f>
        <v>5</v>
      </c>
      <c r="H99" s="7">
        <f>'🤖 Reka Flash'!I24</f>
        <v>5</v>
      </c>
      <c r="I99" s="7">
        <f>'🤖 Reka Flash'!J24</f>
        <v>4</v>
      </c>
    </row>
    <row r="100">
      <c r="A100" s="92" t="str">
        <f>'🤖 Reka Flash'!$A$22</f>
        <v>http://elpais.com/internacional/2019/08/06/mexico/1565054211_863699.html</v>
      </c>
      <c r="B100" s="6" t="s">
        <v>26</v>
      </c>
      <c r="C100" s="7" t="str">
        <f>'🤖 Reka Flash'!C25</f>
        <v>tldr</v>
      </c>
      <c r="D100" s="93">
        <f>'🤖 Reka Flash'!E25</f>
        <v>0.09357652657</v>
      </c>
      <c r="E100" s="7">
        <f>'🤖 Reka Flash'!F25</f>
        <v>5</v>
      </c>
      <c r="F100" s="7">
        <f>'🤖 Reka Flash'!G25</f>
        <v>4</v>
      </c>
      <c r="G100" s="7">
        <f>'🤖 Reka Flash'!H25</f>
        <v>5</v>
      </c>
      <c r="H100" s="7">
        <f>'🤖 Reka Flash'!I25</f>
        <v>5</v>
      </c>
      <c r="I100" s="7">
        <f>'🤖 Reka Flash'!J25</f>
        <v>4</v>
      </c>
    </row>
    <row r="101">
      <c r="A101" s="94"/>
      <c r="B101" s="6"/>
      <c r="C101" s="7"/>
      <c r="D101" s="3"/>
      <c r="E101" s="7"/>
      <c r="F101" s="7"/>
      <c r="G101" s="7"/>
      <c r="H101" s="7"/>
      <c r="I101" s="7"/>
    </row>
    <row r="102">
      <c r="A102" s="95" t="str">
        <f>'🖐🏾 Human'!$A$2</f>
        <v>http://elpais.com/ccaa/2019/10/14/catalunya/1571053877_702844.html</v>
      </c>
      <c r="B102" s="6" t="s">
        <v>15</v>
      </c>
      <c r="C102" s="7" t="str">
        <f>'🖐🏾 Human'!C2</f>
        <v>Heading</v>
      </c>
      <c r="D102" s="93">
        <f>'🖐🏾 Human'!E2</f>
        <v>0.02891156463</v>
      </c>
      <c r="E102" s="7">
        <f>'🖐🏾 Human'!F2</f>
        <v>5</v>
      </c>
      <c r="F102" s="7">
        <f>'🖐🏾 Human'!G2</f>
        <v>5</v>
      </c>
      <c r="G102" s="7">
        <f>'🖐🏾 Human'!H2</f>
        <v>5</v>
      </c>
      <c r="H102" s="7">
        <f>'🖐🏾 Human'!I2</f>
        <v>5</v>
      </c>
      <c r="I102" s="7">
        <f>'🖐🏾 Human'!J2</f>
        <v>1</v>
      </c>
    </row>
    <row r="103">
      <c r="A103" s="95" t="str">
        <f>'🖐🏾 Human'!$A$2</f>
        <v>http://elpais.com/ccaa/2019/10/14/catalunya/1571053877_702844.html</v>
      </c>
      <c r="B103" s="6" t="s">
        <v>15</v>
      </c>
      <c r="C103" s="7" t="str">
        <f>'🖐🏾 Human'!C3</f>
        <v>Jeremy</v>
      </c>
      <c r="D103" s="93">
        <f>'🖐🏾 Human'!E3</f>
        <v>0.001700680272</v>
      </c>
      <c r="E103" s="7" t="str">
        <f>'🖐🏾 Human'!F3</f>
        <v/>
      </c>
      <c r="F103" s="7" t="str">
        <f>'🖐🏾 Human'!G3</f>
        <v/>
      </c>
      <c r="G103" s="7" t="str">
        <f>'🖐🏾 Human'!H3</f>
        <v/>
      </c>
      <c r="H103" s="7" t="str">
        <f>'🖐🏾 Human'!I3</f>
        <v/>
      </c>
      <c r="I103" s="7" t="str">
        <f>'🖐🏾 Human'!J3</f>
        <v/>
      </c>
    </row>
    <row r="104">
      <c r="A104" s="95" t="str">
        <f>'🖐🏾 Human'!$A$2</f>
        <v>http://elpais.com/ccaa/2019/10/14/catalunya/1571053877_702844.html</v>
      </c>
      <c r="B104" s="6" t="s">
        <v>15</v>
      </c>
      <c r="C104" s="7" t="str">
        <f>'🖐🏾 Human'!C4</f>
        <v>Begoña</v>
      </c>
      <c r="D104" s="93">
        <f>'🖐🏾 Human'!E4</f>
        <v>0.001700680272</v>
      </c>
      <c r="E104" s="7" t="str">
        <f>'🖐🏾 Human'!F4</f>
        <v/>
      </c>
      <c r="F104" s="7" t="str">
        <f>'🖐🏾 Human'!G4</f>
        <v/>
      </c>
      <c r="G104" s="7" t="str">
        <f>'🖐🏾 Human'!H4</f>
        <v/>
      </c>
      <c r="H104" s="7" t="str">
        <f>'🖐🏾 Human'!I4</f>
        <v/>
      </c>
      <c r="I104" s="7" t="str">
        <f>'🖐🏾 Human'!J4</f>
        <v/>
      </c>
    </row>
    <row r="105">
      <c r="A105" s="95" t="str">
        <f>'🖐🏾 Human'!$A$2</f>
        <v>http://elpais.com/ccaa/2019/10/14/catalunya/1571053877_702844.html</v>
      </c>
      <c r="B105" s="6" t="s">
        <v>15</v>
      </c>
      <c r="C105" s="7" t="str">
        <f>'🖐🏾 Human'!C5</f>
        <v>Alba</v>
      </c>
      <c r="D105" s="93">
        <f>'🖐🏾 Human'!E5</f>
        <v>0.2074829932</v>
      </c>
      <c r="E105" s="7" t="str">
        <f>'🖐🏾 Human'!F5</f>
        <v/>
      </c>
      <c r="F105" s="7" t="str">
        <f>'🖐🏾 Human'!G5</f>
        <v/>
      </c>
      <c r="G105" s="7" t="str">
        <f>'🖐🏾 Human'!H5</f>
        <v/>
      </c>
      <c r="H105" s="7" t="str">
        <f>'🖐🏾 Human'!I5</f>
        <v/>
      </c>
      <c r="I105" s="7" t="str">
        <f>'🖐🏾 Human'!J5</f>
        <v/>
      </c>
    </row>
    <row r="106">
      <c r="A106" s="96"/>
      <c r="B106" s="6"/>
      <c r="C106" s="7"/>
      <c r="D106" s="3"/>
      <c r="E106" s="7"/>
      <c r="F106" s="7"/>
      <c r="G106" s="7"/>
      <c r="H106" s="7"/>
      <c r="I106" s="7"/>
    </row>
    <row r="107">
      <c r="A107" s="95" t="str">
        <f>'🖐🏾 Human'!$A$7</f>
        <v>http://elpais.com/cultura/2019/10/15/actualidad/1571152626_720988.html</v>
      </c>
      <c r="B107" s="6" t="s">
        <v>15</v>
      </c>
      <c r="C107" s="7" t="str">
        <f>'🖐🏾 Human'!C7</f>
        <v>Heading</v>
      </c>
      <c r="D107" s="93">
        <f>'🖐🏾 Human'!E7</f>
        <v>0.02054794521</v>
      </c>
      <c r="E107" s="7">
        <f>'🖐🏾 Human'!F7</f>
        <v>4</v>
      </c>
      <c r="F107" s="7">
        <f>'🖐🏾 Human'!G7</f>
        <v>5</v>
      </c>
      <c r="G107" s="7">
        <f>'🖐🏾 Human'!H7</f>
        <v>5</v>
      </c>
      <c r="H107" s="7">
        <f>'🖐🏾 Human'!I7</f>
        <v>1</v>
      </c>
      <c r="I107" s="7">
        <f>'🖐🏾 Human'!J7</f>
        <v>1</v>
      </c>
    </row>
    <row r="108">
      <c r="A108" s="95" t="str">
        <f>'🖐🏾 Human'!$A$7</f>
        <v>http://elpais.com/cultura/2019/10/15/actualidad/1571152626_720988.html</v>
      </c>
      <c r="B108" s="6" t="s">
        <v>15</v>
      </c>
      <c r="C108" s="7" t="str">
        <f>'🖐🏾 Human'!C8</f>
        <v>Jeremy</v>
      </c>
      <c r="D108" s="93">
        <f>'🖐🏾 Human'!E8</f>
        <v>0.001369863014</v>
      </c>
      <c r="E108" s="7" t="str">
        <f>'🖐🏾 Human'!F8</f>
        <v/>
      </c>
      <c r="F108" s="7" t="str">
        <f>'🖐🏾 Human'!G8</f>
        <v/>
      </c>
      <c r="G108" s="7" t="str">
        <f>'🖐🏾 Human'!H8</f>
        <v/>
      </c>
      <c r="H108" s="7" t="str">
        <f>'🖐🏾 Human'!I8</f>
        <v/>
      </c>
      <c r="I108" s="7" t="str">
        <f>'🖐🏾 Human'!J8</f>
        <v/>
      </c>
    </row>
    <row r="109">
      <c r="A109" s="95" t="str">
        <f>'🖐🏾 Human'!$A$7</f>
        <v>http://elpais.com/cultura/2019/10/15/actualidad/1571152626_720988.html</v>
      </c>
      <c r="B109" s="6" t="s">
        <v>15</v>
      </c>
      <c r="C109" s="7" t="str">
        <f>'🖐🏾 Human'!C9</f>
        <v>Begoña</v>
      </c>
      <c r="D109" s="93">
        <f>'🖐🏾 Human'!E9</f>
        <v>0.001369863014</v>
      </c>
      <c r="E109" s="7" t="str">
        <f>'🖐🏾 Human'!F9</f>
        <v/>
      </c>
      <c r="F109" s="7" t="str">
        <f>'🖐🏾 Human'!G9</f>
        <v/>
      </c>
      <c r="G109" s="7" t="str">
        <f>'🖐🏾 Human'!H9</f>
        <v/>
      </c>
      <c r="H109" s="7" t="str">
        <f>'🖐🏾 Human'!I9</f>
        <v/>
      </c>
      <c r="I109" s="7" t="str">
        <f>'🖐🏾 Human'!J9</f>
        <v/>
      </c>
    </row>
    <row r="110">
      <c r="A110" s="95" t="str">
        <f>'🖐🏾 Human'!$A$7</f>
        <v>http://elpais.com/cultura/2019/10/15/actualidad/1571152626_720988.html</v>
      </c>
      <c r="B110" s="6" t="s">
        <v>15</v>
      </c>
      <c r="C110" s="7" t="str">
        <f>'🖐🏾 Human'!C10</f>
        <v>Alba</v>
      </c>
      <c r="D110" s="93">
        <f>'🖐🏾 Human'!E10</f>
        <v>0.1356164384</v>
      </c>
      <c r="E110" s="7" t="str">
        <f>'🖐🏾 Human'!F10</f>
        <v/>
      </c>
      <c r="F110" s="7" t="str">
        <f>'🖐🏾 Human'!G10</f>
        <v/>
      </c>
      <c r="G110" s="7" t="str">
        <f>'🖐🏾 Human'!H10</f>
        <v/>
      </c>
      <c r="H110" s="7" t="str">
        <f>'🖐🏾 Human'!I10</f>
        <v/>
      </c>
      <c r="I110" s="7" t="str">
        <f>'🖐🏾 Human'!J10</f>
        <v/>
      </c>
    </row>
    <row r="111">
      <c r="A111" s="96"/>
      <c r="B111" s="6"/>
      <c r="C111" s="7"/>
      <c r="D111" s="3"/>
      <c r="E111" s="7"/>
      <c r="F111" s="7"/>
      <c r="G111" s="7"/>
      <c r="H111" s="7"/>
      <c r="I111" s="7"/>
    </row>
    <row r="112">
      <c r="A112" s="95" t="str">
        <f>'🖐🏾 Human'!$A$12</f>
        <v>http://elpais.com/ccaa/2019/07/23/madrid/1563898491_008005.html</v>
      </c>
      <c r="B112" s="6" t="s">
        <v>15</v>
      </c>
      <c r="C112" s="7" t="str">
        <f>'🖐🏾 Human'!C12</f>
        <v>Heading</v>
      </c>
      <c r="D112" s="93">
        <f>'🖐🏾 Human'!E12</f>
        <v>0.04787234043</v>
      </c>
      <c r="E112" s="7">
        <f>'🖐🏾 Human'!F12</f>
        <v>5</v>
      </c>
      <c r="F112" s="7">
        <f>'🖐🏾 Human'!G12</f>
        <v>5</v>
      </c>
      <c r="G112" s="7">
        <f>'🖐🏾 Human'!H12</f>
        <v>5</v>
      </c>
      <c r="H112" s="7">
        <f>'🖐🏾 Human'!I12</f>
        <v>5</v>
      </c>
      <c r="I112" s="7">
        <f>'🖐🏾 Human'!J12</f>
        <v>2</v>
      </c>
    </row>
    <row r="113">
      <c r="A113" s="95" t="str">
        <f>'🖐🏾 Human'!$A$12</f>
        <v>http://elpais.com/ccaa/2019/07/23/madrid/1563898491_008005.html</v>
      </c>
      <c r="B113" s="6" t="s">
        <v>15</v>
      </c>
      <c r="C113" s="7" t="str">
        <f>'🖐🏾 Human'!C13</f>
        <v>Jeremy</v>
      </c>
      <c r="D113" s="93">
        <f>'🖐🏾 Human'!E13</f>
        <v>0.002659574468</v>
      </c>
      <c r="E113" s="7" t="str">
        <f>'🖐🏾 Human'!F13</f>
        <v/>
      </c>
      <c r="F113" s="7" t="str">
        <f>'🖐🏾 Human'!G13</f>
        <v/>
      </c>
      <c r="G113" s="7" t="str">
        <f>'🖐🏾 Human'!H13</f>
        <v/>
      </c>
      <c r="H113" s="7" t="str">
        <f>'🖐🏾 Human'!I13</f>
        <v/>
      </c>
      <c r="I113" s="7" t="str">
        <f>'🖐🏾 Human'!J13</f>
        <v/>
      </c>
    </row>
    <row r="114">
      <c r="A114" s="95" t="str">
        <f>'🖐🏾 Human'!$A$12</f>
        <v>http://elpais.com/ccaa/2019/07/23/madrid/1563898491_008005.html</v>
      </c>
      <c r="B114" s="6" t="s">
        <v>15</v>
      </c>
      <c r="C114" s="7" t="str">
        <f>'🖐🏾 Human'!C14</f>
        <v>Begoña</v>
      </c>
      <c r="D114" s="93">
        <f>'🖐🏾 Human'!E14</f>
        <v>0.002659574468</v>
      </c>
      <c r="E114" s="7" t="str">
        <f>'🖐🏾 Human'!F14</f>
        <v/>
      </c>
      <c r="F114" s="7" t="str">
        <f>'🖐🏾 Human'!G14</f>
        <v/>
      </c>
      <c r="G114" s="7" t="str">
        <f>'🖐🏾 Human'!H14</f>
        <v/>
      </c>
      <c r="H114" s="7" t="str">
        <f>'🖐🏾 Human'!I14</f>
        <v/>
      </c>
      <c r="I114" s="7" t="str">
        <f>'🖐🏾 Human'!J14</f>
        <v/>
      </c>
    </row>
    <row r="115">
      <c r="A115" s="95" t="str">
        <f>'🖐🏾 Human'!$A$12</f>
        <v>http://elpais.com/ccaa/2019/07/23/madrid/1563898491_008005.html</v>
      </c>
      <c r="B115" s="6" t="s">
        <v>15</v>
      </c>
      <c r="C115" s="7" t="str">
        <f>'🖐🏾 Human'!C15</f>
        <v>Alba</v>
      </c>
      <c r="D115" s="93">
        <f>'🖐🏾 Human'!E15</f>
        <v>0.2473404255</v>
      </c>
      <c r="E115" s="7" t="str">
        <f>'🖐🏾 Human'!F15</f>
        <v/>
      </c>
      <c r="F115" s="7" t="str">
        <f>'🖐🏾 Human'!G15</f>
        <v/>
      </c>
      <c r="G115" s="7" t="str">
        <f>'🖐🏾 Human'!H15</f>
        <v/>
      </c>
      <c r="H115" s="7" t="str">
        <f>'🖐🏾 Human'!I15</f>
        <v/>
      </c>
      <c r="I115" s="7" t="str">
        <f>'🖐🏾 Human'!J15</f>
        <v/>
      </c>
    </row>
    <row r="116">
      <c r="A116" s="96"/>
      <c r="B116" s="6"/>
      <c r="C116" s="7"/>
      <c r="D116" s="3"/>
      <c r="E116" s="7"/>
      <c r="F116" s="7"/>
      <c r="G116" s="7"/>
      <c r="H116" s="7"/>
      <c r="I116" s="7"/>
    </row>
    <row r="117">
      <c r="A117" s="95" t="str">
        <f>'🖐🏾 Human'!$A$17</f>
        <v>http://elpais.com/elpais/2019/06/28/estilo/1561733550_082135.html</v>
      </c>
      <c r="B117" s="6" t="s">
        <v>15</v>
      </c>
      <c r="C117" s="7" t="str">
        <f>'🖐🏾 Human'!C17</f>
        <v>Heading</v>
      </c>
      <c r="D117" s="93">
        <f>'🖐🏾 Human'!E17</f>
        <v>0.03792134831</v>
      </c>
      <c r="E117" s="7">
        <f>'🖐🏾 Human'!F17</f>
        <v>5</v>
      </c>
      <c r="F117" s="7">
        <f>'🖐🏾 Human'!G17</f>
        <v>5</v>
      </c>
      <c r="G117" s="7">
        <f>'🖐🏾 Human'!H17</f>
        <v>5</v>
      </c>
      <c r="H117" s="7">
        <f>'🖐🏾 Human'!I17</f>
        <v>5</v>
      </c>
      <c r="I117" s="7">
        <f>'🖐🏾 Human'!J17</f>
        <v>3</v>
      </c>
    </row>
    <row r="118">
      <c r="A118" s="95" t="str">
        <f>'🖐🏾 Human'!$A$17</f>
        <v>http://elpais.com/elpais/2019/06/28/estilo/1561733550_082135.html</v>
      </c>
      <c r="B118" s="6" t="s">
        <v>15</v>
      </c>
      <c r="C118" s="7" t="str">
        <f>'🖐🏾 Human'!C18</f>
        <v>Jeremy</v>
      </c>
      <c r="D118" s="93">
        <f>'🖐🏾 Human'!E18</f>
        <v>0.001404494382</v>
      </c>
      <c r="E118" s="7" t="str">
        <f>'🖐🏾 Human'!F18</f>
        <v/>
      </c>
      <c r="F118" s="7" t="str">
        <f>'🖐🏾 Human'!G18</f>
        <v/>
      </c>
      <c r="G118" s="7" t="str">
        <f>'🖐🏾 Human'!H18</f>
        <v/>
      </c>
      <c r="H118" s="7" t="str">
        <f>'🖐🏾 Human'!I18</f>
        <v/>
      </c>
      <c r="I118" s="7" t="str">
        <f>'🖐🏾 Human'!J18</f>
        <v/>
      </c>
    </row>
    <row r="119">
      <c r="A119" s="95" t="str">
        <f>'🖐🏾 Human'!$A$17</f>
        <v>http://elpais.com/elpais/2019/06/28/estilo/1561733550_082135.html</v>
      </c>
      <c r="B119" s="6" t="s">
        <v>15</v>
      </c>
      <c r="C119" s="7" t="str">
        <f>'🖐🏾 Human'!C19</f>
        <v>Begoña</v>
      </c>
      <c r="D119" s="93">
        <f>'🖐🏾 Human'!E19</f>
        <v>0.001404494382</v>
      </c>
      <c r="E119" s="7" t="str">
        <f>'🖐🏾 Human'!F19</f>
        <v/>
      </c>
      <c r="F119" s="7" t="str">
        <f>'🖐🏾 Human'!G19</f>
        <v/>
      </c>
      <c r="G119" s="7" t="str">
        <f>'🖐🏾 Human'!H19</f>
        <v/>
      </c>
      <c r="H119" s="7" t="str">
        <f>'🖐🏾 Human'!I19</f>
        <v/>
      </c>
      <c r="I119" s="7" t="str">
        <f>'🖐🏾 Human'!J19</f>
        <v/>
      </c>
    </row>
    <row r="120">
      <c r="A120" s="95" t="str">
        <f>'🖐🏾 Human'!$A$17</f>
        <v>http://elpais.com/elpais/2019/06/28/estilo/1561733550_082135.html</v>
      </c>
      <c r="B120" s="6" t="s">
        <v>15</v>
      </c>
      <c r="C120" s="7" t="str">
        <f>'🖐🏾 Human'!C20</f>
        <v>Alba</v>
      </c>
      <c r="D120" s="93">
        <f>'🖐🏾 Human'!E20</f>
        <v>0.1221910112</v>
      </c>
      <c r="E120" s="7" t="str">
        <f>'🖐🏾 Human'!F20</f>
        <v/>
      </c>
      <c r="F120" s="7" t="str">
        <f>'🖐🏾 Human'!G20</f>
        <v/>
      </c>
      <c r="G120" s="7" t="str">
        <f>'🖐🏾 Human'!H20</f>
        <v/>
      </c>
      <c r="H120" s="7" t="str">
        <f>'🖐🏾 Human'!I20</f>
        <v/>
      </c>
      <c r="I120" s="7" t="str">
        <f>'🖐🏾 Human'!J20</f>
        <v/>
      </c>
    </row>
    <row r="121">
      <c r="A121" s="96"/>
      <c r="B121" s="6"/>
      <c r="C121" s="7"/>
      <c r="D121" s="3"/>
      <c r="E121" s="7"/>
      <c r="F121" s="7"/>
      <c r="G121" s="7"/>
      <c r="H121" s="7"/>
      <c r="I121" s="7"/>
    </row>
    <row r="122">
      <c r="A122" s="95" t="str">
        <f>'🖐🏾 Human'!$A$22</f>
        <v>http://elpais.com/internacional/2019/08/06/mexico/1565054211_863699.html</v>
      </c>
      <c r="B122" s="6" t="s">
        <v>15</v>
      </c>
      <c r="C122" s="7" t="str">
        <f>'🖐🏾 Human'!C22</f>
        <v>Heading</v>
      </c>
      <c r="D122" s="93">
        <f>'🖐🏾 Human'!E22</f>
        <v>0.01982553529</v>
      </c>
      <c r="E122" s="7">
        <f>'🖐🏾 Human'!F22</f>
        <v>5</v>
      </c>
      <c r="F122" s="7">
        <f>'🖐🏾 Human'!G22</f>
        <v>4</v>
      </c>
      <c r="G122" s="7">
        <f>'🖐🏾 Human'!H22</f>
        <v>4</v>
      </c>
      <c r="H122" s="7">
        <f>'🖐🏾 Human'!I22</f>
        <v>5</v>
      </c>
      <c r="I122" s="7">
        <f>'🖐🏾 Human'!J22</f>
        <v>3</v>
      </c>
    </row>
    <row r="123">
      <c r="A123" s="95" t="str">
        <f>'🖐🏾 Human'!$A$22</f>
        <v>http://elpais.com/internacional/2019/08/06/mexico/1565054211_863699.html</v>
      </c>
      <c r="B123" s="6" t="s">
        <v>15</v>
      </c>
      <c r="C123" s="7" t="str">
        <f>'🖐🏾 Human'!C23</f>
        <v>Jeremy</v>
      </c>
      <c r="D123" s="93">
        <f>'🖐🏾 Human'!E23</f>
        <v>0.0007930214116</v>
      </c>
      <c r="E123" s="7" t="str">
        <f>'🖐🏾 Human'!F23</f>
        <v/>
      </c>
      <c r="F123" s="7" t="str">
        <f>'🖐🏾 Human'!G23</f>
        <v/>
      </c>
      <c r="G123" s="7" t="str">
        <f>'🖐🏾 Human'!H23</f>
        <v/>
      </c>
      <c r="H123" s="7" t="str">
        <f>'🖐🏾 Human'!I23</f>
        <v/>
      </c>
      <c r="I123" s="7" t="str">
        <f>'🖐🏾 Human'!J23</f>
        <v/>
      </c>
    </row>
    <row r="124">
      <c r="A124" s="95" t="str">
        <f>'🖐🏾 Human'!$A$22</f>
        <v>http://elpais.com/internacional/2019/08/06/mexico/1565054211_863699.html</v>
      </c>
      <c r="B124" s="6" t="s">
        <v>15</v>
      </c>
      <c r="C124" s="7" t="str">
        <f>'🖐🏾 Human'!C24</f>
        <v>Begoña</v>
      </c>
      <c r="D124" s="93">
        <f>'🖐🏾 Human'!E24</f>
        <v>0.0007930214116</v>
      </c>
      <c r="E124" s="7" t="str">
        <f>'🖐🏾 Human'!F24</f>
        <v/>
      </c>
      <c r="F124" s="7" t="str">
        <f>'🖐🏾 Human'!G24</f>
        <v/>
      </c>
      <c r="G124" s="7" t="str">
        <f>'🖐🏾 Human'!H24</f>
        <v/>
      </c>
      <c r="H124" s="7" t="str">
        <f>'🖐🏾 Human'!I24</f>
        <v/>
      </c>
      <c r="I124" s="7" t="str">
        <f>'🖐🏾 Human'!J24</f>
        <v/>
      </c>
    </row>
    <row r="125">
      <c r="A125" s="95" t="str">
        <f>'🖐🏾 Human'!$A$22</f>
        <v>http://elpais.com/internacional/2019/08/06/mexico/1565054211_863699.html</v>
      </c>
      <c r="B125" s="6" t="s">
        <v>15</v>
      </c>
      <c r="C125" s="7" t="str">
        <f>'🖐🏾 Human'!C25</f>
        <v>Alba</v>
      </c>
      <c r="D125" s="93">
        <f>'🖐🏾 Human'!E25</f>
        <v>0.09278350515</v>
      </c>
      <c r="E125" s="7" t="str">
        <f>'🖐🏾 Human'!F25</f>
        <v/>
      </c>
      <c r="F125" s="7" t="str">
        <f>'🖐🏾 Human'!G25</f>
        <v/>
      </c>
      <c r="G125" s="7" t="str">
        <f>'🖐🏾 Human'!H25</f>
        <v/>
      </c>
      <c r="H125" s="7" t="str">
        <f>'🖐🏾 Human'!I25</f>
        <v/>
      </c>
      <c r="I125" s="7" t="str">
        <f>'🖐🏾 Human'!J25</f>
        <v/>
      </c>
    </row>
    <row r="126">
      <c r="A126" s="94"/>
      <c r="B126" s="6"/>
      <c r="C126" s="7"/>
      <c r="D126" s="3"/>
      <c r="E126" s="7"/>
      <c r="F126" s="7"/>
      <c r="G126" s="7"/>
      <c r="H126" s="7"/>
      <c r="I126" s="7"/>
    </row>
    <row r="127">
      <c r="A127" s="92" t="str">
        <f>'🖐🏾 Human'!A27</f>
        <v>http://elpais.com/elpais/2019/07/17/ciencia/1563370426_198967.html</v>
      </c>
      <c r="B127" s="6" t="s">
        <v>15</v>
      </c>
      <c r="C127" s="7" t="str">
        <f>'🖐🏾 Human'!C27</f>
        <v>Heading</v>
      </c>
      <c r="D127" s="93">
        <f>'🖐🏾 Human'!E27</f>
        <v>0.04119850187</v>
      </c>
      <c r="E127" s="7">
        <f>'🖐🏾 Human'!F27</f>
        <v>5</v>
      </c>
      <c r="F127" s="7">
        <f>'🖐🏾 Human'!G27</f>
        <v>5</v>
      </c>
      <c r="G127" s="7">
        <f>'🖐🏾 Human'!H27</f>
        <v>5</v>
      </c>
      <c r="H127" s="7">
        <f>'🖐🏾 Human'!I27</f>
        <v>2</v>
      </c>
      <c r="I127" s="7">
        <f>'🖐🏾 Human'!J27</f>
        <v>1</v>
      </c>
    </row>
    <row r="128">
      <c r="A128" s="94"/>
      <c r="B128" s="6"/>
      <c r="C128" s="7"/>
      <c r="D128" s="3"/>
      <c r="E128" s="7"/>
      <c r="F128" s="7"/>
      <c r="G128" s="7"/>
      <c r="H128" s="7"/>
      <c r="I128" s="7"/>
    </row>
    <row r="129">
      <c r="A129" s="94"/>
      <c r="C129" s="7"/>
      <c r="D129" s="3"/>
      <c r="E129" s="3"/>
      <c r="F129" s="3"/>
      <c r="G129" s="3"/>
      <c r="H129" s="3"/>
      <c r="I129" s="3"/>
    </row>
    <row r="130">
      <c r="A130" s="92" t="str">
        <f>'🤖 Llama-3.1-70b-instruct'!$A$2</f>
        <v>http://elpais.com/ccaa/2019/10/14/catalunya/1571053877_702844.html</v>
      </c>
      <c r="B130" s="10" t="s">
        <v>27</v>
      </c>
      <c r="C130" s="7" t="str">
        <f>'🤖 Llama-3.1-70b-instruct'!C2</f>
        <v>Base</v>
      </c>
      <c r="D130" s="93">
        <f>'🤖 Llama-3.1-70b-instruct'!E2</f>
        <v>0.3350340136</v>
      </c>
      <c r="E130" s="3">
        <f>'🤖 Llama-3.1-70b-instruct'!F2</f>
        <v>3</v>
      </c>
      <c r="F130" s="3">
        <f>'🤖 Llama-3.1-70b-instruct'!G2</f>
        <v>5</v>
      </c>
      <c r="G130" s="3">
        <f>'🤖 Llama-3.1-70b-instruct'!H2</f>
        <v>4</v>
      </c>
      <c r="H130" s="3">
        <f>'🤖 Llama-3.1-70b-instruct'!I2</f>
        <v>4</v>
      </c>
      <c r="I130" s="3">
        <f>'🤖 Llama-3.1-70b-instruct'!J2</f>
        <v>4</v>
      </c>
    </row>
    <row r="131">
      <c r="A131" s="92" t="str">
        <f>'🤖 Llama-3.1-70b-instruct'!$A$2</f>
        <v>http://elpais.com/ccaa/2019/10/14/catalunya/1571053877_702844.html</v>
      </c>
      <c r="B131" s="10" t="s">
        <v>27</v>
      </c>
      <c r="C131" s="7" t="str">
        <f>'🤖 Llama-3.1-70b-instruct'!C3</f>
        <v>CoT</v>
      </c>
      <c r="D131" s="93">
        <f>'🤖 Llama-3.1-70b-instruct'!E3</f>
        <v>0.3146258503</v>
      </c>
      <c r="E131" s="3">
        <f>'🤖 Llama-3.1-70b-instruct'!F3</f>
        <v>3</v>
      </c>
      <c r="F131" s="3">
        <f>'🤖 Llama-3.1-70b-instruct'!G3</f>
        <v>5</v>
      </c>
      <c r="G131" s="3">
        <f>'🤖 Llama-3.1-70b-instruct'!H3</f>
        <v>4</v>
      </c>
      <c r="H131" s="3">
        <f>'🤖 Llama-3.1-70b-instruct'!I3</f>
        <v>4</v>
      </c>
      <c r="I131" s="3">
        <f>'🤖 Llama-3.1-70b-instruct'!J3</f>
        <v>4</v>
      </c>
    </row>
    <row r="132">
      <c r="A132" s="92" t="str">
        <f>'🤖 Llama-3.1-70b-instruct'!$A$2</f>
        <v>http://elpais.com/ccaa/2019/10/14/catalunya/1571053877_702844.html</v>
      </c>
      <c r="B132" s="10" t="s">
        <v>27</v>
      </c>
      <c r="C132" s="7" t="str">
        <f>'🤖 Llama-3.1-70b-instruct'!C4</f>
        <v>5W1H</v>
      </c>
      <c r="D132" s="93">
        <f>'🤖 Llama-3.1-70b-instruct'!E4</f>
        <v>0.2738095238</v>
      </c>
      <c r="E132" s="3">
        <f>'🤖 Llama-3.1-70b-instruct'!F4</f>
        <v>3</v>
      </c>
      <c r="F132" s="3">
        <f>'🤖 Llama-3.1-70b-instruct'!G4</f>
        <v>5</v>
      </c>
      <c r="G132" s="3">
        <f>'🤖 Llama-3.1-70b-instruct'!H4</f>
        <v>5</v>
      </c>
      <c r="H132" s="3">
        <f>'🤖 Llama-3.1-70b-instruct'!I4</f>
        <v>5</v>
      </c>
      <c r="I132" s="3">
        <f>'🤖 Llama-3.1-70b-instruct'!J4</f>
        <v>5</v>
      </c>
    </row>
    <row r="133">
      <c r="A133" s="92" t="str">
        <f>'🤖 Llama-3.1-70b-instruct'!$A$2</f>
        <v>http://elpais.com/ccaa/2019/10/14/catalunya/1571053877_702844.html</v>
      </c>
      <c r="B133" s="10" t="s">
        <v>27</v>
      </c>
      <c r="C133" s="7" t="str">
        <f>'🤖 Llama-3.1-70b-instruct'!C5</f>
        <v>tldr</v>
      </c>
      <c r="D133" s="93">
        <f>'🤖 Llama-3.1-70b-instruct'!E5</f>
        <v>0.1887755102</v>
      </c>
      <c r="E133" s="3">
        <f>'🤖 Llama-3.1-70b-instruct'!F5</f>
        <v>5</v>
      </c>
      <c r="F133" s="3">
        <f>'🤖 Llama-3.1-70b-instruct'!G5</f>
        <v>5</v>
      </c>
      <c r="G133" s="3">
        <f>'🤖 Llama-3.1-70b-instruct'!H5</f>
        <v>5</v>
      </c>
      <c r="H133" s="3">
        <f>'🤖 Llama-3.1-70b-instruct'!I5</f>
        <v>4</v>
      </c>
      <c r="I133" s="3">
        <f>'🤖 Llama-3.1-70b-instruct'!J5</f>
        <v>4</v>
      </c>
    </row>
    <row r="134">
      <c r="A134" s="94"/>
      <c r="C134" s="7"/>
      <c r="D134" s="3"/>
      <c r="E134" s="3"/>
      <c r="F134" s="3"/>
      <c r="G134" s="3"/>
      <c r="H134" s="3"/>
      <c r="I134" s="3"/>
    </row>
    <row r="135">
      <c r="A135" s="92" t="str">
        <f>'🤖 Llama-3.1-70b-instruct'!$A$7</f>
        <v>http://elpais.com/cultura/2019/10/15/actualidad/1571152626_720988.html</v>
      </c>
      <c r="B135" s="10" t="s">
        <v>27</v>
      </c>
      <c r="C135" s="7" t="str">
        <f>'🤖 Llama-3.1-70b-instruct'!C7</f>
        <v>Base</v>
      </c>
      <c r="D135" s="93">
        <f>'🤖 Llama-3.1-70b-instruct'!E7</f>
        <v>0.3438356164</v>
      </c>
      <c r="E135" s="3">
        <f>'🤖 Llama-3.1-70b-instruct'!F7</f>
        <v>3</v>
      </c>
      <c r="F135" s="3">
        <f>'🤖 Llama-3.1-70b-instruct'!G7</f>
        <v>5</v>
      </c>
      <c r="G135" s="3">
        <f>'🤖 Llama-3.1-70b-instruct'!H7</f>
        <v>5</v>
      </c>
      <c r="H135" s="3">
        <f>'🤖 Llama-3.1-70b-instruct'!I7</f>
        <v>4</v>
      </c>
      <c r="I135" s="3">
        <f>'🤖 Llama-3.1-70b-instruct'!J7</f>
        <v>3</v>
      </c>
    </row>
    <row r="136">
      <c r="A136" s="92" t="str">
        <f>'🤖 Llama-3.1-70b-instruct'!$A$7</f>
        <v>http://elpais.com/cultura/2019/10/15/actualidad/1571152626_720988.html</v>
      </c>
      <c r="B136" s="10" t="s">
        <v>27</v>
      </c>
      <c r="C136" s="7" t="str">
        <f>'🤖 Llama-3.1-70b-instruct'!C8</f>
        <v>CoT</v>
      </c>
      <c r="D136" s="93">
        <f>'🤖 Llama-3.1-70b-instruct'!E8</f>
        <v>0.3287671233</v>
      </c>
      <c r="E136" s="3">
        <f>'🤖 Llama-3.1-70b-instruct'!F8</f>
        <v>4</v>
      </c>
      <c r="F136" s="3">
        <f>'🤖 Llama-3.1-70b-instruct'!G8</f>
        <v>5</v>
      </c>
      <c r="G136" s="3">
        <f>'🤖 Llama-3.1-70b-instruct'!H8</f>
        <v>5</v>
      </c>
      <c r="H136" s="3">
        <f>'🤖 Llama-3.1-70b-instruct'!I8</f>
        <v>4</v>
      </c>
      <c r="I136" s="3">
        <f>'🤖 Llama-3.1-70b-instruct'!J8</f>
        <v>3</v>
      </c>
    </row>
    <row r="137">
      <c r="A137" s="92" t="str">
        <f>'🤖 Llama-3.1-70b-instruct'!$A$7</f>
        <v>http://elpais.com/cultura/2019/10/15/actualidad/1571152626_720988.html</v>
      </c>
      <c r="B137" s="10" t="s">
        <v>27</v>
      </c>
      <c r="C137" s="7" t="str">
        <f>'🤖 Llama-3.1-70b-instruct'!C9</f>
        <v>5W1H</v>
      </c>
      <c r="D137" s="93">
        <f>'🤖 Llama-3.1-70b-instruct'!E9</f>
        <v>0.2479452055</v>
      </c>
      <c r="E137" s="3">
        <f>'🤖 Llama-3.1-70b-instruct'!F9</f>
        <v>3</v>
      </c>
      <c r="F137" s="3">
        <f>'🤖 Llama-3.1-70b-instruct'!G9</f>
        <v>5</v>
      </c>
      <c r="G137" s="3">
        <f>'🤖 Llama-3.1-70b-instruct'!H9</f>
        <v>5</v>
      </c>
      <c r="H137" s="3">
        <f>'🤖 Llama-3.1-70b-instruct'!I9</f>
        <v>4</v>
      </c>
      <c r="I137" s="3">
        <f>'🤖 Llama-3.1-70b-instruct'!J9</f>
        <v>5</v>
      </c>
    </row>
    <row r="138">
      <c r="A138" s="92" t="str">
        <f>'🤖 Llama-3.1-70b-instruct'!$A$7</f>
        <v>http://elpais.com/cultura/2019/10/15/actualidad/1571152626_720988.html</v>
      </c>
      <c r="B138" s="10" t="s">
        <v>27</v>
      </c>
      <c r="C138" s="7" t="str">
        <f>'🤖 Llama-3.1-70b-instruct'!C10</f>
        <v>tldr</v>
      </c>
      <c r="D138" s="93">
        <f>'🤖 Llama-3.1-70b-instruct'!E10</f>
        <v>0.1602739726</v>
      </c>
      <c r="E138" s="3">
        <f>'🤖 Llama-3.1-70b-instruct'!F10</f>
        <v>5</v>
      </c>
      <c r="F138" s="3">
        <f>'🤖 Llama-3.1-70b-instruct'!G10</f>
        <v>5</v>
      </c>
      <c r="G138" s="3">
        <f>'🤖 Llama-3.1-70b-instruct'!H10</f>
        <v>5</v>
      </c>
      <c r="H138" s="3">
        <f>'🤖 Llama-3.1-70b-instruct'!I10</f>
        <v>5</v>
      </c>
      <c r="I138" s="3">
        <f>'🤖 Llama-3.1-70b-instruct'!J10</f>
        <v>3</v>
      </c>
    </row>
    <row r="139">
      <c r="A139" s="94"/>
      <c r="C139" s="7"/>
      <c r="D139" s="3"/>
      <c r="E139" s="3"/>
      <c r="F139" s="3"/>
      <c r="G139" s="3"/>
      <c r="H139" s="3"/>
      <c r="I139" s="3"/>
    </row>
    <row r="140">
      <c r="A140" s="92" t="str">
        <f>'🤖 Llama-3.1-70b-instruct'!$A$12</f>
        <v>http://elpais.com/ccaa/2019/07/23/madrid/1563898491_008005.html</v>
      </c>
      <c r="B140" s="10" t="s">
        <v>27</v>
      </c>
      <c r="C140" s="7" t="str">
        <f>'🤖 Llama-3.1-70b-instruct'!C12</f>
        <v>Base</v>
      </c>
      <c r="D140" s="93">
        <f>'🤖 Llama-3.1-70b-instruct'!E12</f>
        <v>0.3031914894</v>
      </c>
      <c r="E140" s="3">
        <f>'🤖 Llama-3.1-70b-instruct'!F12</f>
        <v>5</v>
      </c>
      <c r="F140" s="3">
        <f>'🤖 Llama-3.1-70b-instruct'!G12</f>
        <v>5</v>
      </c>
      <c r="G140" s="3">
        <f>'🤖 Llama-3.1-70b-instruct'!H12</f>
        <v>5</v>
      </c>
      <c r="H140" s="3">
        <f>'🤖 Llama-3.1-70b-instruct'!I12</f>
        <v>4</v>
      </c>
      <c r="I140" s="3">
        <f>'🤖 Llama-3.1-70b-instruct'!J12</f>
        <v>4</v>
      </c>
    </row>
    <row r="141">
      <c r="A141" s="92" t="str">
        <f>'🤖 Llama-3.1-70b-instruct'!$A$12</f>
        <v>http://elpais.com/ccaa/2019/07/23/madrid/1563898491_008005.html</v>
      </c>
      <c r="B141" s="10" t="s">
        <v>27</v>
      </c>
      <c r="C141" s="7" t="str">
        <f>'🤖 Llama-3.1-70b-instruct'!C13</f>
        <v>CoT</v>
      </c>
      <c r="D141" s="93">
        <f>'🤖 Llama-3.1-70b-instruct'!E13</f>
        <v>0.3696808511</v>
      </c>
      <c r="E141" s="3">
        <f>'🤖 Llama-3.1-70b-instruct'!F13</f>
        <v>3</v>
      </c>
      <c r="F141" s="3">
        <f>'🤖 Llama-3.1-70b-instruct'!G13</f>
        <v>5</v>
      </c>
      <c r="G141" s="3">
        <f>'🤖 Llama-3.1-70b-instruct'!H13</f>
        <v>5</v>
      </c>
      <c r="H141" s="3">
        <f>'🤖 Llama-3.1-70b-instruct'!I13</f>
        <v>4</v>
      </c>
      <c r="I141" s="3">
        <f>'🤖 Llama-3.1-70b-instruct'!J13</f>
        <v>2</v>
      </c>
    </row>
    <row r="142">
      <c r="A142" s="92" t="str">
        <f>'🤖 Llama-3.1-70b-instruct'!$A$12</f>
        <v>http://elpais.com/ccaa/2019/07/23/madrid/1563898491_008005.html</v>
      </c>
      <c r="B142" s="10" t="s">
        <v>27</v>
      </c>
      <c r="C142" s="7" t="str">
        <f>'🤖 Llama-3.1-70b-instruct'!C14</f>
        <v>5W1H</v>
      </c>
      <c r="D142" s="93">
        <f>'🤖 Llama-3.1-70b-instruct'!E14</f>
        <v>0.5425531915</v>
      </c>
      <c r="E142" s="3">
        <f>'🤖 Llama-3.1-70b-instruct'!F14</f>
        <v>4</v>
      </c>
      <c r="F142" s="3">
        <f>'🤖 Llama-3.1-70b-instruct'!G14</f>
        <v>5</v>
      </c>
      <c r="G142" s="3">
        <f>'🤖 Llama-3.1-70b-instruct'!H14</f>
        <v>5</v>
      </c>
      <c r="H142" s="3">
        <f>'🤖 Llama-3.1-70b-instruct'!I14</f>
        <v>4</v>
      </c>
      <c r="I142" s="3">
        <f>'🤖 Llama-3.1-70b-instruct'!J14</f>
        <v>4</v>
      </c>
    </row>
    <row r="143">
      <c r="A143" s="92" t="str">
        <f>'🤖 Llama-3.1-70b-instruct'!$A$12</f>
        <v>http://elpais.com/ccaa/2019/07/23/madrid/1563898491_008005.html</v>
      </c>
      <c r="B143" s="10" t="s">
        <v>27</v>
      </c>
      <c r="C143" s="7" t="str">
        <f>'🤖 Llama-3.1-70b-instruct'!C15</f>
        <v>tldr</v>
      </c>
      <c r="D143" s="93">
        <f>'🤖 Llama-3.1-70b-instruct'!E15</f>
        <v>0.2393617021</v>
      </c>
      <c r="E143" s="3">
        <f>'🤖 Llama-3.1-70b-instruct'!F15</f>
        <v>5</v>
      </c>
      <c r="F143" s="3">
        <f>'🤖 Llama-3.1-70b-instruct'!G15</f>
        <v>5</v>
      </c>
      <c r="G143" s="3">
        <f>'🤖 Llama-3.1-70b-instruct'!H15</f>
        <v>5</v>
      </c>
      <c r="H143" s="3">
        <f>'🤖 Llama-3.1-70b-instruct'!I15</f>
        <v>4</v>
      </c>
      <c r="I143" s="3">
        <f>'🤖 Llama-3.1-70b-instruct'!J15</f>
        <v>2</v>
      </c>
    </row>
    <row r="144">
      <c r="A144" s="94"/>
      <c r="C144" s="7"/>
      <c r="D144" s="3"/>
      <c r="E144" s="3"/>
      <c r="F144" s="3"/>
      <c r="G144" s="3"/>
      <c r="H144" s="3"/>
      <c r="I144" s="3"/>
    </row>
    <row r="145">
      <c r="A145" s="92" t="str">
        <f>'🤖 Llama-3.1-70b-instruct'!$A$17</f>
        <v>http://elpais.com/elpais/2019/06/28/estilo/1561733550_082135.html</v>
      </c>
      <c r="B145" s="10" t="s">
        <v>27</v>
      </c>
      <c r="C145" s="7" t="str">
        <f>'🤖 Llama-3.1-70b-instruct'!C17</f>
        <v>Base</v>
      </c>
      <c r="D145" s="93">
        <f>'🤖 Llama-3.1-70b-instruct'!E17</f>
        <v>0.3005617978</v>
      </c>
      <c r="E145" s="3">
        <f>'🤖 Llama-3.1-70b-instruct'!F17</f>
        <v>5</v>
      </c>
      <c r="F145" s="3">
        <f>'🤖 Llama-3.1-70b-instruct'!G17</f>
        <v>5</v>
      </c>
      <c r="G145" s="3">
        <f>'🤖 Llama-3.1-70b-instruct'!H17</f>
        <v>4</v>
      </c>
      <c r="H145" s="3">
        <f>'🤖 Llama-3.1-70b-instruct'!I17</f>
        <v>2</v>
      </c>
      <c r="I145" s="3">
        <f>'🤖 Llama-3.1-70b-instruct'!J17</f>
        <v>5</v>
      </c>
    </row>
    <row r="146">
      <c r="A146" s="92" t="str">
        <f>'🤖 Llama-3.1-70b-instruct'!$A$17</f>
        <v>http://elpais.com/elpais/2019/06/28/estilo/1561733550_082135.html</v>
      </c>
      <c r="B146" s="10" t="s">
        <v>27</v>
      </c>
      <c r="C146" s="7" t="str">
        <f>'🤖 Llama-3.1-70b-instruct'!C18</f>
        <v>CoT</v>
      </c>
      <c r="D146" s="93">
        <f>'🤖 Llama-3.1-70b-instruct'!E18</f>
        <v>0.2991573034</v>
      </c>
      <c r="E146" s="3">
        <f>'🤖 Llama-3.1-70b-instruct'!F18</f>
        <v>3</v>
      </c>
      <c r="F146" s="3">
        <f>'🤖 Llama-3.1-70b-instruct'!G18</f>
        <v>5</v>
      </c>
      <c r="G146" s="3">
        <f>'🤖 Llama-3.1-70b-instruct'!H18</f>
        <v>5</v>
      </c>
      <c r="H146" s="3">
        <f>'🤖 Llama-3.1-70b-instruct'!I18</f>
        <v>2</v>
      </c>
      <c r="I146" s="3">
        <f>'🤖 Llama-3.1-70b-instruct'!J18</f>
        <v>5</v>
      </c>
    </row>
    <row r="147">
      <c r="A147" s="92" t="str">
        <f>'🤖 Llama-3.1-70b-instruct'!$A$17</f>
        <v>http://elpais.com/elpais/2019/06/28/estilo/1561733550_082135.html</v>
      </c>
      <c r="B147" s="10" t="s">
        <v>27</v>
      </c>
      <c r="C147" s="7" t="str">
        <f>'🤖 Llama-3.1-70b-instruct'!C19</f>
        <v>5W1H</v>
      </c>
      <c r="D147" s="93">
        <f>'🤖 Llama-3.1-70b-instruct'!E19</f>
        <v>0.3398876404</v>
      </c>
      <c r="E147" s="3">
        <f>'🤖 Llama-3.1-70b-instruct'!F19</f>
        <v>4</v>
      </c>
      <c r="F147" s="3">
        <f>'🤖 Llama-3.1-70b-instruct'!G19</f>
        <v>5</v>
      </c>
      <c r="G147" s="3">
        <f>'🤖 Llama-3.1-70b-instruct'!H19</f>
        <v>5</v>
      </c>
      <c r="H147" s="3">
        <f>'🤖 Llama-3.1-70b-instruct'!I19</f>
        <v>4</v>
      </c>
      <c r="I147" s="3">
        <f>'🤖 Llama-3.1-70b-instruct'!J19</f>
        <v>5</v>
      </c>
    </row>
    <row r="148">
      <c r="A148" s="92" t="str">
        <f>'🤖 Llama-3.1-70b-instruct'!$A$17</f>
        <v>http://elpais.com/elpais/2019/06/28/estilo/1561733550_082135.html</v>
      </c>
      <c r="B148" s="10" t="s">
        <v>27</v>
      </c>
      <c r="C148" s="7" t="str">
        <f>'🤖 Llama-3.1-70b-instruct'!C20</f>
        <v>tldr</v>
      </c>
      <c r="D148" s="93">
        <f>'🤖 Llama-3.1-70b-instruct'!E20</f>
        <v>0.106741573</v>
      </c>
      <c r="E148" s="3">
        <f>'🤖 Llama-3.1-70b-instruct'!F20</f>
        <v>5</v>
      </c>
      <c r="F148" s="3">
        <f>'🤖 Llama-3.1-70b-instruct'!G20</f>
        <v>5</v>
      </c>
      <c r="G148" s="3">
        <f>'🤖 Llama-3.1-70b-instruct'!H20</f>
        <v>5</v>
      </c>
      <c r="H148" s="3">
        <f>'🤖 Llama-3.1-70b-instruct'!I20</f>
        <v>5</v>
      </c>
      <c r="I148" s="3">
        <f>'🤖 Llama-3.1-70b-instruct'!J20</f>
        <v>4</v>
      </c>
    </row>
    <row r="149">
      <c r="A149" s="94"/>
      <c r="C149" s="7"/>
      <c r="D149" s="3"/>
      <c r="E149" s="3"/>
      <c r="F149" s="3"/>
      <c r="G149" s="3"/>
      <c r="H149" s="3"/>
      <c r="I149" s="3"/>
    </row>
    <row r="150">
      <c r="A150" s="92" t="str">
        <f>'🤖 Llama-3.1-70b-instruct'!$A$22</f>
        <v>http://elpais.com/internacional/2019/08/06/mexico/1565054211_863699.html</v>
      </c>
      <c r="B150" s="10" t="s">
        <v>27</v>
      </c>
      <c r="C150" s="7" t="str">
        <f>'🤖 Llama-3.1-70b-instruct'!C22</f>
        <v>Base</v>
      </c>
      <c r="D150" s="93">
        <f>'🤖 Llama-3.1-70b-instruct'!E22</f>
        <v>0.2268041237</v>
      </c>
      <c r="E150" s="3">
        <f>'🤖 Llama-3.1-70b-instruct'!F22</f>
        <v>3</v>
      </c>
      <c r="F150" s="3">
        <f>'🤖 Llama-3.1-70b-instruct'!G22</f>
        <v>4</v>
      </c>
      <c r="G150" s="3">
        <f>'🤖 Llama-3.1-70b-instruct'!H22</f>
        <v>5</v>
      </c>
      <c r="H150" s="3">
        <f>'🤖 Llama-3.1-70b-instruct'!I22</f>
        <v>4</v>
      </c>
      <c r="I150" s="3">
        <f>'🤖 Llama-3.1-70b-instruct'!J22</f>
        <v>4</v>
      </c>
    </row>
    <row r="151">
      <c r="A151" s="92" t="str">
        <f>'🤖 Llama-3.1-70b-instruct'!$A$22</f>
        <v>http://elpais.com/internacional/2019/08/06/mexico/1565054211_863699.html</v>
      </c>
      <c r="B151" s="10" t="s">
        <v>27</v>
      </c>
      <c r="C151" s="7" t="str">
        <f>'🤖 Llama-3.1-70b-instruct'!C23</f>
        <v>CoT</v>
      </c>
      <c r="D151" s="93">
        <f>'🤖 Llama-3.1-70b-instruct'!E23</f>
        <v>0.2109436955</v>
      </c>
      <c r="E151" s="3">
        <f>'🤖 Llama-3.1-70b-instruct'!F23</f>
        <v>3</v>
      </c>
      <c r="F151" s="3">
        <f>'🤖 Llama-3.1-70b-instruct'!G23</f>
        <v>4</v>
      </c>
      <c r="G151" s="3">
        <f>'🤖 Llama-3.1-70b-instruct'!H23</f>
        <v>5</v>
      </c>
      <c r="H151" s="3">
        <f>'🤖 Llama-3.1-70b-instruct'!I23</f>
        <v>4</v>
      </c>
      <c r="I151" s="3">
        <f>'🤖 Llama-3.1-70b-instruct'!J23</f>
        <v>4</v>
      </c>
    </row>
    <row r="152">
      <c r="A152" s="92" t="str">
        <f>'🤖 Llama-3.1-70b-instruct'!$A$22</f>
        <v>http://elpais.com/internacional/2019/08/06/mexico/1565054211_863699.html</v>
      </c>
      <c r="B152" s="10" t="s">
        <v>27</v>
      </c>
      <c r="C152" s="7" t="str">
        <f>'🤖 Llama-3.1-70b-instruct'!C24</f>
        <v>5W1H</v>
      </c>
      <c r="D152" s="93">
        <f>'🤖 Llama-3.1-70b-instruct'!E24</f>
        <v>0.1990483743</v>
      </c>
      <c r="E152" s="3">
        <f>'🤖 Llama-3.1-70b-instruct'!F24</f>
        <v>4</v>
      </c>
      <c r="F152" s="3">
        <f>'🤖 Llama-3.1-70b-instruct'!G24</f>
        <v>5</v>
      </c>
      <c r="G152" s="3">
        <f>'🤖 Llama-3.1-70b-instruct'!H24</f>
        <v>5</v>
      </c>
      <c r="H152" s="3">
        <f>'🤖 Llama-3.1-70b-instruct'!I24</f>
        <v>4</v>
      </c>
      <c r="I152" s="3">
        <f>'🤖 Llama-3.1-70b-instruct'!J24</f>
        <v>4</v>
      </c>
    </row>
    <row r="153">
      <c r="A153" s="92" t="str">
        <f>'🤖 Llama-3.1-70b-instruct'!$A$22</f>
        <v>http://elpais.com/internacional/2019/08/06/mexico/1565054211_863699.html</v>
      </c>
      <c r="B153" s="10" t="s">
        <v>27</v>
      </c>
      <c r="C153" s="7" t="str">
        <f>'🤖 Llama-3.1-70b-instruct'!C25</f>
        <v>tldr</v>
      </c>
      <c r="D153" s="93">
        <f>'🤖 Llama-3.1-70b-instruct'!E25</f>
        <v>0.1443298969</v>
      </c>
      <c r="E153" s="3">
        <f>'🤖 Llama-3.1-70b-instruct'!F25</f>
        <v>5</v>
      </c>
      <c r="F153" s="3">
        <f>'🤖 Llama-3.1-70b-instruct'!G25</f>
        <v>5</v>
      </c>
      <c r="G153" s="3">
        <f>'🤖 Llama-3.1-70b-instruct'!H25</f>
        <v>5</v>
      </c>
      <c r="H153" s="3">
        <f>'🤖 Llama-3.1-70b-instruct'!I25</f>
        <v>5</v>
      </c>
      <c r="I153" s="3">
        <f>'🤖 Llama-3.1-70b-instruct'!J25</f>
        <v>5</v>
      </c>
    </row>
    <row r="154">
      <c r="C154" s="7"/>
      <c r="D154" s="3"/>
      <c r="E154" s="3"/>
      <c r="F154" s="3"/>
      <c r="G154" s="3"/>
      <c r="H154" s="3"/>
      <c r="I154" s="3"/>
    </row>
    <row r="155">
      <c r="A155" s="94"/>
      <c r="C155" s="7"/>
      <c r="D155" s="3"/>
      <c r="E155" s="3"/>
      <c r="F155" s="3"/>
      <c r="G155" s="3"/>
      <c r="H155" s="3"/>
      <c r="I155" s="3"/>
    </row>
    <row r="156">
      <c r="A156" s="94"/>
      <c r="C156" s="7"/>
      <c r="D156" s="3"/>
      <c r="E156" s="3"/>
      <c r="F156" s="3"/>
      <c r="G156" s="3"/>
      <c r="H156" s="3"/>
      <c r="I156" s="3"/>
    </row>
    <row r="157">
      <c r="A157" s="94"/>
      <c r="C157" s="7"/>
      <c r="D157" s="3"/>
      <c r="E157" s="3"/>
      <c r="F157" s="3"/>
      <c r="G157" s="3"/>
      <c r="H157" s="3"/>
      <c r="I157" s="3"/>
    </row>
    <row r="158">
      <c r="A158" s="94"/>
      <c r="C158" s="7"/>
      <c r="D158" s="3"/>
      <c r="E158" s="3"/>
      <c r="F158" s="3"/>
      <c r="G158" s="3"/>
      <c r="H158" s="3"/>
      <c r="I158" s="3"/>
    </row>
    <row r="159">
      <c r="A159" s="94"/>
      <c r="C159" s="7"/>
      <c r="D159" s="3"/>
      <c r="E159" s="3"/>
      <c r="F159" s="3"/>
      <c r="G159" s="3"/>
      <c r="H159" s="3"/>
      <c r="I159" s="3"/>
    </row>
    <row r="160">
      <c r="A160" s="94"/>
      <c r="C160" s="7"/>
      <c r="D160" s="3"/>
      <c r="E160" s="3"/>
      <c r="F160" s="3"/>
      <c r="G160" s="3"/>
      <c r="H160" s="3"/>
      <c r="I160" s="3"/>
    </row>
    <row r="161">
      <c r="A161" s="94"/>
      <c r="B161" s="3"/>
    </row>
    <row r="162">
      <c r="A162" s="94"/>
      <c r="B162" s="3"/>
    </row>
    <row r="163">
      <c r="A163" s="94"/>
      <c r="B163" s="3"/>
    </row>
    <row r="164">
      <c r="A164" s="94"/>
      <c r="B164" s="3"/>
    </row>
    <row r="165">
      <c r="A165" s="94"/>
      <c r="B165" s="3"/>
    </row>
    <row r="166">
      <c r="A166" s="94"/>
      <c r="B166" s="3"/>
    </row>
    <row r="167">
      <c r="A167" s="94"/>
      <c r="B167" s="3"/>
    </row>
    <row r="168">
      <c r="A168" s="94"/>
      <c r="B168" s="3"/>
    </row>
    <row r="169">
      <c r="A169" s="94"/>
      <c r="B169" s="3"/>
    </row>
    <row r="170">
      <c r="A170" s="94"/>
      <c r="B170" s="3"/>
    </row>
    <row r="171">
      <c r="A171" s="94"/>
      <c r="B171" s="3"/>
    </row>
    <row r="172">
      <c r="A172" s="94"/>
      <c r="B172" s="3"/>
    </row>
    <row r="173">
      <c r="A173" s="94"/>
      <c r="B173" s="3"/>
    </row>
    <row r="174">
      <c r="A174" s="94"/>
      <c r="B174" s="3"/>
    </row>
    <row r="175">
      <c r="A175" s="94"/>
      <c r="B175" s="3"/>
    </row>
    <row r="176">
      <c r="A176" s="94"/>
      <c r="B176" s="3"/>
    </row>
    <row r="177">
      <c r="A177" s="94"/>
      <c r="B177" s="3"/>
    </row>
    <row r="178">
      <c r="A178" s="94"/>
      <c r="B178" s="3"/>
    </row>
    <row r="179">
      <c r="A179" s="94"/>
      <c r="B179" s="3"/>
    </row>
    <row r="180">
      <c r="A180" s="94"/>
      <c r="B180" s="3"/>
    </row>
    <row r="181">
      <c r="A181" s="94"/>
      <c r="B181" s="3"/>
    </row>
    <row r="182">
      <c r="A182" s="94"/>
      <c r="B182" s="3"/>
    </row>
    <row r="183">
      <c r="A183" s="94"/>
      <c r="B183" s="3"/>
    </row>
    <row r="184">
      <c r="A184" s="94"/>
      <c r="B184" s="3"/>
    </row>
    <row r="185">
      <c r="A185" s="94"/>
      <c r="B185" s="3"/>
    </row>
    <row r="186">
      <c r="A186" s="94"/>
      <c r="B186" s="3"/>
    </row>
    <row r="187">
      <c r="A187" s="94"/>
      <c r="B187" s="3"/>
    </row>
    <row r="188">
      <c r="A188" s="94"/>
      <c r="B188" s="3"/>
    </row>
    <row r="189">
      <c r="A189" s="94"/>
      <c r="B189" s="3"/>
    </row>
    <row r="190">
      <c r="A190" s="94"/>
      <c r="B190" s="3"/>
    </row>
    <row r="191">
      <c r="A191" s="94"/>
      <c r="B191" s="3"/>
    </row>
    <row r="192">
      <c r="A192" s="94"/>
      <c r="B192" s="3"/>
    </row>
    <row r="193">
      <c r="A193" s="94"/>
      <c r="B193" s="3"/>
    </row>
    <row r="194">
      <c r="A194" s="94"/>
      <c r="B194" s="3"/>
    </row>
    <row r="195">
      <c r="A195" s="94"/>
      <c r="B195" s="3"/>
    </row>
    <row r="196">
      <c r="A196" s="94"/>
      <c r="B196" s="3"/>
    </row>
    <row r="197">
      <c r="A197" s="94"/>
      <c r="B197" s="3"/>
    </row>
    <row r="198">
      <c r="A198" s="94"/>
      <c r="B198" s="3"/>
    </row>
    <row r="199">
      <c r="A199" s="94"/>
      <c r="B199" s="3"/>
    </row>
    <row r="200">
      <c r="A200" s="94"/>
      <c r="B200" s="3"/>
    </row>
    <row r="201">
      <c r="A201" s="94"/>
      <c r="B201" s="3"/>
    </row>
    <row r="202">
      <c r="A202" s="94"/>
      <c r="B202" s="3"/>
    </row>
    <row r="203">
      <c r="A203" s="94"/>
      <c r="B203" s="3"/>
    </row>
    <row r="204">
      <c r="A204" s="94"/>
      <c r="B204" s="3"/>
    </row>
    <row r="205">
      <c r="A205" s="94"/>
      <c r="B205" s="3"/>
    </row>
    <row r="206">
      <c r="A206" s="94"/>
      <c r="B206" s="3"/>
    </row>
    <row r="207">
      <c r="A207" s="94"/>
      <c r="B207" s="3"/>
    </row>
    <row r="208">
      <c r="A208" s="94"/>
      <c r="B208" s="3"/>
    </row>
    <row r="209">
      <c r="A209" s="94"/>
      <c r="B209" s="3"/>
    </row>
    <row r="210">
      <c r="A210" s="94"/>
      <c r="B210" s="3"/>
    </row>
    <row r="211">
      <c r="A211" s="94"/>
      <c r="B211" s="3"/>
    </row>
    <row r="212">
      <c r="A212" s="94"/>
      <c r="B212" s="3"/>
    </row>
    <row r="213">
      <c r="A213" s="94"/>
      <c r="B213" s="3"/>
    </row>
    <row r="214">
      <c r="A214" s="94"/>
      <c r="B214" s="3"/>
    </row>
    <row r="215">
      <c r="A215" s="94"/>
      <c r="B215" s="3"/>
    </row>
    <row r="216">
      <c r="A216" s="94"/>
      <c r="B216" s="3"/>
    </row>
    <row r="217">
      <c r="A217" s="94"/>
      <c r="B217" s="3"/>
    </row>
    <row r="218">
      <c r="A218" s="94"/>
      <c r="B218" s="3"/>
    </row>
    <row r="219">
      <c r="A219" s="94"/>
      <c r="B219" s="3"/>
    </row>
    <row r="220">
      <c r="A220" s="94"/>
      <c r="B220" s="3"/>
    </row>
    <row r="221">
      <c r="A221" s="94"/>
      <c r="B221" s="3"/>
    </row>
    <row r="222">
      <c r="A222" s="94"/>
      <c r="B222" s="3"/>
    </row>
    <row r="223">
      <c r="A223" s="94"/>
      <c r="B223" s="3"/>
    </row>
    <row r="224">
      <c r="A224" s="94"/>
      <c r="B224" s="3"/>
    </row>
    <row r="225">
      <c r="A225" s="94"/>
      <c r="B225" s="3"/>
    </row>
    <row r="226">
      <c r="A226" s="94"/>
      <c r="B226" s="3"/>
    </row>
    <row r="227">
      <c r="A227" s="94"/>
      <c r="B227" s="3"/>
    </row>
    <row r="228">
      <c r="A228" s="94"/>
      <c r="B228" s="3"/>
    </row>
    <row r="229">
      <c r="A229" s="94"/>
      <c r="B229" s="3"/>
    </row>
    <row r="230">
      <c r="A230" s="94"/>
      <c r="B230" s="3"/>
    </row>
    <row r="231">
      <c r="A231" s="94"/>
      <c r="B231" s="3"/>
    </row>
    <row r="232">
      <c r="A232" s="94"/>
      <c r="B232" s="3"/>
    </row>
    <row r="233">
      <c r="A233" s="94"/>
      <c r="B233" s="3"/>
    </row>
    <row r="234">
      <c r="A234" s="94"/>
      <c r="B234" s="3"/>
    </row>
    <row r="235">
      <c r="A235" s="94"/>
      <c r="B235" s="3"/>
    </row>
    <row r="236">
      <c r="A236" s="94"/>
      <c r="B236" s="3"/>
    </row>
    <row r="237">
      <c r="A237" s="94"/>
      <c r="B237" s="3"/>
    </row>
    <row r="238">
      <c r="A238" s="94"/>
      <c r="B238" s="3"/>
    </row>
    <row r="239">
      <c r="A239" s="94"/>
      <c r="B239" s="3"/>
    </row>
    <row r="240">
      <c r="A240" s="94"/>
      <c r="B240" s="3"/>
    </row>
    <row r="241">
      <c r="A241" s="94"/>
      <c r="B241" s="3"/>
    </row>
    <row r="242">
      <c r="A242" s="94"/>
      <c r="B242" s="3"/>
    </row>
    <row r="243">
      <c r="A243" s="94"/>
      <c r="B243" s="3"/>
    </row>
    <row r="244">
      <c r="A244" s="94"/>
      <c r="B244" s="3"/>
    </row>
    <row r="245">
      <c r="A245" s="94"/>
      <c r="B245" s="3"/>
    </row>
    <row r="246">
      <c r="A246" s="94"/>
      <c r="B246" s="3"/>
    </row>
    <row r="247">
      <c r="A247" s="94"/>
      <c r="B247" s="3"/>
    </row>
    <row r="248">
      <c r="A248" s="94"/>
      <c r="B248" s="3"/>
    </row>
    <row r="249">
      <c r="A249" s="94"/>
      <c r="B249" s="3"/>
    </row>
    <row r="250">
      <c r="A250" s="94"/>
      <c r="B250" s="3"/>
    </row>
    <row r="251">
      <c r="A251" s="94"/>
      <c r="B251" s="3"/>
    </row>
    <row r="252">
      <c r="A252" s="94"/>
      <c r="B252" s="3"/>
    </row>
    <row r="253">
      <c r="A253" s="94"/>
      <c r="B253" s="3"/>
    </row>
    <row r="254">
      <c r="A254" s="94"/>
      <c r="B254" s="3"/>
    </row>
    <row r="255">
      <c r="A255" s="94"/>
      <c r="B255" s="3"/>
    </row>
    <row r="256">
      <c r="A256" s="94"/>
      <c r="B256" s="3"/>
    </row>
    <row r="257">
      <c r="A257" s="94"/>
      <c r="B257" s="3"/>
    </row>
    <row r="258">
      <c r="A258" s="94"/>
      <c r="B258" s="3"/>
    </row>
    <row r="259">
      <c r="A259" s="94"/>
      <c r="B259" s="3"/>
    </row>
    <row r="260">
      <c r="A260" s="94"/>
      <c r="B260" s="3"/>
    </row>
    <row r="261">
      <c r="A261" s="94"/>
      <c r="B261" s="3"/>
    </row>
    <row r="262">
      <c r="A262" s="94"/>
      <c r="B262" s="3"/>
    </row>
    <row r="263">
      <c r="A263" s="94"/>
      <c r="B263" s="3"/>
    </row>
    <row r="264">
      <c r="A264" s="94"/>
      <c r="B264" s="3"/>
    </row>
    <row r="265">
      <c r="A265" s="94"/>
      <c r="B265" s="3"/>
    </row>
    <row r="266">
      <c r="A266" s="94"/>
      <c r="B266" s="3"/>
    </row>
    <row r="267">
      <c r="A267" s="94"/>
      <c r="B267" s="3"/>
    </row>
    <row r="268">
      <c r="A268" s="94"/>
      <c r="B268" s="3"/>
    </row>
    <row r="269">
      <c r="A269" s="94"/>
      <c r="B269" s="3"/>
    </row>
    <row r="270">
      <c r="A270" s="94"/>
      <c r="B270" s="3"/>
    </row>
    <row r="271">
      <c r="A271" s="94"/>
      <c r="B271" s="3"/>
    </row>
    <row r="272">
      <c r="A272" s="94"/>
      <c r="B272" s="3"/>
    </row>
    <row r="273">
      <c r="A273" s="94"/>
      <c r="B273" s="3"/>
    </row>
    <row r="274">
      <c r="A274" s="94"/>
      <c r="B274" s="3"/>
    </row>
    <row r="275">
      <c r="A275" s="94"/>
      <c r="B275" s="3"/>
    </row>
    <row r="276">
      <c r="A276" s="94"/>
      <c r="B276" s="3"/>
    </row>
    <row r="277">
      <c r="A277" s="94"/>
      <c r="B277" s="3"/>
    </row>
    <row r="278">
      <c r="A278" s="94"/>
      <c r="B278" s="3"/>
    </row>
    <row r="279">
      <c r="A279" s="94"/>
      <c r="B279" s="3"/>
    </row>
    <row r="280">
      <c r="A280" s="94"/>
      <c r="B280" s="3"/>
    </row>
    <row r="281">
      <c r="A281" s="94"/>
      <c r="B281" s="3"/>
    </row>
    <row r="282">
      <c r="A282" s="94"/>
      <c r="B282" s="3"/>
    </row>
    <row r="283">
      <c r="A283" s="94"/>
      <c r="B283" s="3"/>
    </row>
    <row r="284">
      <c r="A284" s="94"/>
      <c r="B284" s="3"/>
    </row>
    <row r="285">
      <c r="A285" s="94"/>
      <c r="B285" s="3"/>
    </row>
    <row r="286">
      <c r="A286" s="94"/>
      <c r="B286" s="3"/>
    </row>
    <row r="287">
      <c r="A287" s="94"/>
      <c r="B287" s="3"/>
    </row>
    <row r="288">
      <c r="A288" s="94"/>
      <c r="B288" s="3"/>
    </row>
    <row r="289">
      <c r="A289" s="94"/>
      <c r="B289" s="3"/>
    </row>
    <row r="290">
      <c r="A290" s="94"/>
      <c r="B290" s="3"/>
    </row>
    <row r="291">
      <c r="A291" s="94"/>
      <c r="B291" s="3"/>
    </row>
    <row r="292">
      <c r="A292" s="94"/>
      <c r="B292" s="3"/>
    </row>
    <row r="293">
      <c r="A293" s="94"/>
      <c r="B293" s="3"/>
    </row>
    <row r="294">
      <c r="A294" s="94"/>
      <c r="B294" s="3"/>
    </row>
    <row r="295">
      <c r="A295" s="94"/>
      <c r="B295" s="3"/>
    </row>
    <row r="296">
      <c r="A296" s="94"/>
      <c r="B296" s="3"/>
    </row>
    <row r="297">
      <c r="A297" s="94"/>
      <c r="B297" s="3"/>
    </row>
    <row r="298">
      <c r="A298" s="94"/>
      <c r="B298" s="3"/>
    </row>
    <row r="299">
      <c r="A299" s="94"/>
      <c r="B299" s="3"/>
    </row>
    <row r="300">
      <c r="A300" s="94"/>
      <c r="B300" s="3"/>
    </row>
    <row r="301">
      <c r="A301" s="94"/>
      <c r="B301" s="3"/>
    </row>
    <row r="302">
      <c r="A302" s="94"/>
      <c r="B302" s="3"/>
    </row>
    <row r="303">
      <c r="A303" s="94"/>
      <c r="B303" s="3"/>
    </row>
    <row r="304">
      <c r="A304" s="94"/>
      <c r="B304" s="3"/>
    </row>
    <row r="305">
      <c r="A305" s="94"/>
      <c r="B305" s="3"/>
    </row>
    <row r="306">
      <c r="A306" s="94"/>
      <c r="B306" s="3"/>
    </row>
    <row r="307">
      <c r="A307" s="94"/>
      <c r="B307" s="3"/>
    </row>
    <row r="308">
      <c r="A308" s="94"/>
      <c r="B308" s="3"/>
    </row>
    <row r="309">
      <c r="A309" s="94"/>
      <c r="B309" s="3"/>
    </row>
    <row r="310">
      <c r="A310" s="94"/>
      <c r="B310" s="3"/>
    </row>
    <row r="311">
      <c r="A311" s="94"/>
      <c r="B311" s="3"/>
    </row>
    <row r="312">
      <c r="A312" s="94"/>
      <c r="B312" s="3"/>
    </row>
    <row r="313">
      <c r="A313" s="94"/>
      <c r="B313" s="3"/>
    </row>
    <row r="314">
      <c r="A314" s="94"/>
      <c r="B314" s="3"/>
    </row>
    <row r="315">
      <c r="A315" s="94"/>
      <c r="B315" s="3"/>
    </row>
    <row r="316">
      <c r="A316" s="94"/>
      <c r="B316" s="3"/>
    </row>
    <row r="317">
      <c r="A317" s="94"/>
      <c r="B317" s="3"/>
    </row>
    <row r="318">
      <c r="A318" s="94"/>
      <c r="B318" s="3"/>
    </row>
    <row r="319">
      <c r="A319" s="94"/>
      <c r="B319" s="3"/>
    </row>
    <row r="320">
      <c r="A320" s="94"/>
      <c r="B320" s="3"/>
    </row>
    <row r="321">
      <c r="A321" s="94"/>
      <c r="B321" s="3"/>
    </row>
    <row r="322">
      <c r="A322" s="94"/>
      <c r="B322" s="3"/>
    </row>
    <row r="323">
      <c r="A323" s="94"/>
      <c r="B323" s="3"/>
    </row>
    <row r="324">
      <c r="A324" s="94"/>
      <c r="B324" s="3"/>
    </row>
    <row r="325">
      <c r="A325" s="94"/>
      <c r="B325" s="3"/>
    </row>
    <row r="326">
      <c r="A326" s="94"/>
      <c r="B326" s="3"/>
    </row>
    <row r="327">
      <c r="A327" s="94"/>
      <c r="B327" s="3"/>
    </row>
    <row r="328">
      <c r="A328" s="94"/>
      <c r="B328" s="3"/>
    </row>
    <row r="329">
      <c r="A329" s="94"/>
      <c r="B329" s="3"/>
    </row>
    <row r="330">
      <c r="A330" s="94"/>
      <c r="B330" s="3"/>
    </row>
    <row r="331">
      <c r="A331" s="94"/>
      <c r="B331" s="3"/>
    </row>
    <row r="332">
      <c r="A332" s="94"/>
      <c r="B332" s="3"/>
    </row>
    <row r="333">
      <c r="A333" s="94"/>
      <c r="B333" s="3"/>
    </row>
    <row r="334">
      <c r="A334" s="94"/>
      <c r="B334" s="3"/>
    </row>
    <row r="335">
      <c r="A335" s="94"/>
      <c r="B335" s="3"/>
    </row>
    <row r="336">
      <c r="A336" s="94"/>
      <c r="B336" s="3"/>
    </row>
    <row r="337">
      <c r="A337" s="94"/>
      <c r="B337" s="3"/>
    </row>
    <row r="338">
      <c r="A338" s="94"/>
      <c r="B338" s="3"/>
    </row>
    <row r="339">
      <c r="A339" s="94"/>
      <c r="B339" s="3"/>
    </row>
    <row r="340">
      <c r="A340" s="94"/>
      <c r="B340" s="3"/>
    </row>
    <row r="341">
      <c r="A341" s="94"/>
      <c r="B341" s="3"/>
    </row>
    <row r="342">
      <c r="A342" s="94"/>
      <c r="B342" s="3"/>
    </row>
    <row r="343">
      <c r="A343" s="94"/>
      <c r="B343" s="3"/>
    </row>
    <row r="344">
      <c r="A344" s="94"/>
      <c r="B344" s="3"/>
    </row>
    <row r="345">
      <c r="A345" s="94"/>
      <c r="B345" s="3"/>
    </row>
    <row r="346">
      <c r="A346" s="94"/>
      <c r="B346" s="3"/>
    </row>
    <row r="347">
      <c r="A347" s="94"/>
      <c r="B347" s="3"/>
    </row>
    <row r="348">
      <c r="A348" s="94"/>
      <c r="B348" s="3"/>
    </row>
    <row r="349">
      <c r="A349" s="94"/>
      <c r="B349" s="3"/>
    </row>
    <row r="350">
      <c r="A350" s="94"/>
      <c r="B350" s="3"/>
    </row>
    <row r="351">
      <c r="A351" s="94"/>
      <c r="B351" s="3"/>
    </row>
    <row r="352">
      <c r="A352" s="94"/>
      <c r="B352" s="3"/>
    </row>
    <row r="353">
      <c r="A353" s="94"/>
      <c r="B353" s="3"/>
    </row>
    <row r="354">
      <c r="A354" s="94"/>
      <c r="B354" s="3"/>
    </row>
    <row r="355">
      <c r="A355" s="94"/>
      <c r="B355" s="3"/>
    </row>
    <row r="356">
      <c r="A356" s="94"/>
      <c r="B356" s="3"/>
    </row>
    <row r="357">
      <c r="A357" s="94"/>
      <c r="B357" s="3"/>
    </row>
    <row r="358">
      <c r="A358" s="94"/>
      <c r="B358" s="3"/>
    </row>
    <row r="359">
      <c r="A359" s="94"/>
      <c r="B359" s="3"/>
    </row>
    <row r="360">
      <c r="A360" s="94"/>
      <c r="B360" s="3"/>
    </row>
    <row r="361">
      <c r="A361" s="94"/>
      <c r="B361" s="3"/>
    </row>
    <row r="362">
      <c r="A362" s="94"/>
      <c r="B362" s="3"/>
    </row>
    <row r="363">
      <c r="A363" s="94"/>
      <c r="B363" s="3"/>
    </row>
    <row r="364">
      <c r="A364" s="94"/>
      <c r="B364" s="3"/>
    </row>
    <row r="365">
      <c r="A365" s="94"/>
      <c r="B365" s="3"/>
    </row>
    <row r="366">
      <c r="A366" s="94"/>
      <c r="B366" s="3"/>
    </row>
    <row r="367">
      <c r="A367" s="94"/>
      <c r="B367" s="3"/>
    </row>
    <row r="368">
      <c r="A368" s="94"/>
      <c r="B368" s="3"/>
    </row>
    <row r="369">
      <c r="A369" s="94"/>
      <c r="B369" s="3"/>
    </row>
    <row r="370">
      <c r="A370" s="94"/>
      <c r="B370" s="3"/>
    </row>
    <row r="371">
      <c r="A371" s="94"/>
      <c r="B371" s="3"/>
    </row>
    <row r="372">
      <c r="A372" s="94"/>
      <c r="B372" s="3"/>
    </row>
    <row r="373">
      <c r="A373" s="94"/>
      <c r="B373" s="3"/>
    </row>
    <row r="374">
      <c r="A374" s="94"/>
      <c r="B374" s="3"/>
    </row>
    <row r="375">
      <c r="A375" s="94"/>
      <c r="B375" s="3"/>
    </row>
    <row r="376">
      <c r="A376" s="94"/>
      <c r="B376" s="3"/>
    </row>
    <row r="377">
      <c r="A377" s="94"/>
      <c r="B377" s="3"/>
    </row>
    <row r="378">
      <c r="A378" s="94"/>
      <c r="B378" s="3"/>
    </row>
    <row r="379">
      <c r="A379" s="94"/>
      <c r="B379" s="3"/>
    </row>
    <row r="380">
      <c r="A380" s="94"/>
      <c r="B380" s="3"/>
    </row>
    <row r="381">
      <c r="A381" s="94"/>
      <c r="B381" s="3"/>
    </row>
    <row r="382">
      <c r="A382" s="94"/>
      <c r="B382" s="3"/>
    </row>
    <row r="383">
      <c r="A383" s="94"/>
      <c r="B383" s="3"/>
    </row>
    <row r="384">
      <c r="A384" s="94"/>
      <c r="B384" s="3"/>
    </row>
    <row r="385">
      <c r="A385" s="94"/>
      <c r="B385" s="3"/>
    </row>
    <row r="386">
      <c r="A386" s="94"/>
      <c r="B386" s="3"/>
    </row>
    <row r="387">
      <c r="A387" s="94"/>
      <c r="B387" s="3"/>
    </row>
    <row r="388">
      <c r="A388" s="94"/>
      <c r="B388" s="3"/>
    </row>
    <row r="389">
      <c r="A389" s="94"/>
      <c r="B389" s="3"/>
    </row>
    <row r="390">
      <c r="A390" s="94"/>
      <c r="B390" s="3"/>
    </row>
    <row r="391">
      <c r="A391" s="94"/>
      <c r="B391" s="3"/>
    </row>
    <row r="392">
      <c r="A392" s="94"/>
      <c r="B392" s="3"/>
    </row>
    <row r="393">
      <c r="A393" s="94"/>
      <c r="B393" s="3"/>
    </row>
    <row r="394">
      <c r="A394" s="94"/>
      <c r="B394" s="3"/>
    </row>
    <row r="395">
      <c r="A395" s="94"/>
      <c r="B395" s="3"/>
    </row>
    <row r="396">
      <c r="A396" s="94"/>
      <c r="B396" s="3"/>
    </row>
    <row r="397">
      <c r="A397" s="94"/>
      <c r="B397" s="3"/>
    </row>
    <row r="398">
      <c r="A398" s="94"/>
      <c r="B398" s="3"/>
    </row>
    <row r="399">
      <c r="A399" s="94"/>
      <c r="B399" s="3"/>
    </row>
    <row r="400">
      <c r="A400" s="94"/>
      <c r="B400" s="3"/>
    </row>
    <row r="401">
      <c r="A401" s="94"/>
      <c r="B401" s="3"/>
    </row>
    <row r="402">
      <c r="A402" s="94"/>
      <c r="B402" s="3"/>
    </row>
    <row r="403">
      <c r="A403" s="94"/>
      <c r="B403" s="3"/>
    </row>
    <row r="404">
      <c r="A404" s="94"/>
      <c r="B404" s="3"/>
    </row>
    <row r="405">
      <c r="A405" s="94"/>
      <c r="B405" s="3"/>
    </row>
    <row r="406">
      <c r="A406" s="94"/>
      <c r="B406" s="3"/>
    </row>
    <row r="407">
      <c r="A407" s="94"/>
      <c r="B407" s="3"/>
    </row>
    <row r="408">
      <c r="A408" s="94"/>
      <c r="B408" s="3"/>
    </row>
    <row r="409">
      <c r="A409" s="94"/>
      <c r="B409" s="3"/>
    </row>
    <row r="410">
      <c r="A410" s="94"/>
      <c r="B410" s="3"/>
    </row>
    <row r="411">
      <c r="A411" s="94"/>
      <c r="B411" s="3"/>
    </row>
    <row r="412">
      <c r="A412" s="94"/>
      <c r="B412" s="3"/>
    </row>
    <row r="413">
      <c r="A413" s="94"/>
      <c r="B413" s="3"/>
    </row>
    <row r="414">
      <c r="A414" s="94"/>
      <c r="B414" s="3"/>
    </row>
    <row r="415">
      <c r="A415" s="94"/>
      <c r="B415" s="3"/>
    </row>
    <row r="416">
      <c r="A416" s="94"/>
      <c r="B416" s="3"/>
    </row>
    <row r="417">
      <c r="A417" s="94"/>
      <c r="B417" s="3"/>
    </row>
    <row r="418">
      <c r="A418" s="94"/>
      <c r="B418" s="3"/>
    </row>
    <row r="419">
      <c r="A419" s="94"/>
      <c r="B419" s="3"/>
    </row>
    <row r="420">
      <c r="A420" s="94"/>
      <c r="B420" s="3"/>
    </row>
    <row r="421">
      <c r="A421" s="94"/>
      <c r="B421" s="3"/>
    </row>
    <row r="422">
      <c r="A422" s="94"/>
      <c r="B422" s="3"/>
    </row>
    <row r="423">
      <c r="A423" s="94"/>
      <c r="B423" s="3"/>
    </row>
    <row r="424">
      <c r="A424" s="94"/>
      <c r="B424" s="3"/>
    </row>
    <row r="425">
      <c r="A425" s="94"/>
      <c r="B425" s="3"/>
    </row>
    <row r="426">
      <c r="A426" s="94"/>
      <c r="B426" s="3"/>
    </row>
    <row r="427">
      <c r="A427" s="94"/>
      <c r="B427" s="3"/>
    </row>
    <row r="428">
      <c r="A428" s="94"/>
      <c r="B428" s="3"/>
    </row>
    <row r="429">
      <c r="A429" s="94"/>
      <c r="B429" s="3"/>
    </row>
    <row r="430">
      <c r="A430" s="94"/>
      <c r="B430" s="3"/>
    </row>
    <row r="431">
      <c r="A431" s="94"/>
      <c r="B431" s="3"/>
    </row>
    <row r="432">
      <c r="A432" s="94"/>
      <c r="B432" s="3"/>
    </row>
    <row r="433">
      <c r="A433" s="94"/>
      <c r="B433" s="3"/>
    </row>
    <row r="434">
      <c r="A434" s="94"/>
      <c r="B434" s="3"/>
    </row>
    <row r="435">
      <c r="A435" s="94"/>
      <c r="B435" s="3"/>
    </row>
    <row r="436">
      <c r="A436" s="94"/>
      <c r="B436" s="3"/>
    </row>
    <row r="437">
      <c r="A437" s="94"/>
      <c r="B437" s="3"/>
    </row>
    <row r="438">
      <c r="A438" s="94"/>
      <c r="B438" s="3"/>
    </row>
    <row r="439">
      <c r="A439" s="94"/>
      <c r="B439" s="3"/>
    </row>
    <row r="440">
      <c r="A440" s="94"/>
      <c r="B440" s="3"/>
    </row>
    <row r="441">
      <c r="A441" s="94"/>
      <c r="B441" s="3"/>
    </row>
    <row r="442">
      <c r="A442" s="94"/>
      <c r="B442" s="3"/>
    </row>
    <row r="443">
      <c r="A443" s="94"/>
      <c r="B443" s="3"/>
    </row>
    <row r="444">
      <c r="A444" s="94"/>
      <c r="B444" s="3"/>
    </row>
    <row r="445">
      <c r="A445" s="94"/>
      <c r="B445" s="3"/>
    </row>
    <row r="446">
      <c r="A446" s="94"/>
      <c r="B446" s="3"/>
    </row>
    <row r="447">
      <c r="A447" s="94"/>
      <c r="B447" s="3"/>
    </row>
    <row r="448">
      <c r="A448" s="94"/>
      <c r="B448" s="3"/>
    </row>
    <row r="449">
      <c r="A449" s="94"/>
      <c r="B449" s="3"/>
    </row>
    <row r="450">
      <c r="A450" s="94"/>
      <c r="B450" s="3"/>
    </row>
    <row r="451">
      <c r="A451" s="94"/>
      <c r="B451" s="3"/>
    </row>
    <row r="452">
      <c r="A452" s="94"/>
      <c r="B452" s="3"/>
    </row>
    <row r="453">
      <c r="A453" s="94"/>
      <c r="B453" s="3"/>
    </row>
    <row r="454">
      <c r="A454" s="94"/>
      <c r="B454" s="3"/>
    </row>
    <row r="455">
      <c r="A455" s="94"/>
      <c r="B455" s="3"/>
    </row>
    <row r="456">
      <c r="A456" s="94"/>
      <c r="B456" s="3"/>
    </row>
    <row r="457">
      <c r="A457" s="94"/>
      <c r="B457" s="3"/>
    </row>
    <row r="458">
      <c r="A458" s="94"/>
      <c r="B458" s="3"/>
    </row>
    <row r="459">
      <c r="A459" s="94"/>
      <c r="B459" s="3"/>
    </row>
    <row r="460">
      <c r="A460" s="94"/>
      <c r="B460" s="3"/>
    </row>
    <row r="461">
      <c r="A461" s="94"/>
      <c r="B461" s="3"/>
    </row>
    <row r="462">
      <c r="A462" s="94"/>
      <c r="B462" s="3"/>
    </row>
    <row r="463">
      <c r="A463" s="94"/>
      <c r="B463" s="3"/>
    </row>
    <row r="464">
      <c r="A464" s="94"/>
      <c r="B464" s="3"/>
    </row>
    <row r="465">
      <c r="A465" s="94"/>
      <c r="B465" s="3"/>
    </row>
    <row r="466">
      <c r="A466" s="94"/>
      <c r="B466" s="3"/>
    </row>
    <row r="467">
      <c r="A467" s="94"/>
      <c r="B467" s="3"/>
    </row>
    <row r="468">
      <c r="A468" s="94"/>
      <c r="B468" s="3"/>
    </row>
    <row r="469">
      <c r="A469" s="94"/>
      <c r="B469" s="3"/>
    </row>
    <row r="470">
      <c r="A470" s="94"/>
      <c r="B470" s="3"/>
    </row>
    <row r="471">
      <c r="A471" s="94"/>
      <c r="B471" s="3"/>
    </row>
    <row r="472">
      <c r="A472" s="94"/>
      <c r="B472" s="3"/>
    </row>
    <row r="473">
      <c r="A473" s="94"/>
      <c r="B473" s="3"/>
    </row>
    <row r="474">
      <c r="A474" s="94"/>
      <c r="B474" s="3"/>
    </row>
    <row r="475">
      <c r="A475" s="94"/>
      <c r="B475" s="3"/>
    </row>
    <row r="476">
      <c r="A476" s="94"/>
      <c r="B476" s="3"/>
    </row>
    <row r="477">
      <c r="A477" s="94"/>
      <c r="B477" s="3"/>
    </row>
    <row r="478">
      <c r="A478" s="94"/>
      <c r="B478" s="3"/>
    </row>
    <row r="479">
      <c r="A479" s="94"/>
      <c r="B479" s="3"/>
    </row>
    <row r="480">
      <c r="A480" s="94"/>
      <c r="B480" s="3"/>
    </row>
    <row r="481">
      <c r="A481" s="94"/>
      <c r="B481" s="3"/>
    </row>
    <row r="482">
      <c r="A482" s="94"/>
      <c r="B482" s="3"/>
    </row>
    <row r="483">
      <c r="A483" s="94"/>
      <c r="B483" s="3"/>
    </row>
    <row r="484">
      <c r="A484" s="94"/>
      <c r="B484" s="3"/>
    </row>
    <row r="485">
      <c r="A485" s="94"/>
      <c r="B485" s="3"/>
    </row>
    <row r="486">
      <c r="A486" s="94"/>
      <c r="B486" s="3"/>
    </row>
    <row r="487">
      <c r="A487" s="94"/>
      <c r="B487" s="3"/>
    </row>
    <row r="488">
      <c r="A488" s="94"/>
      <c r="B488" s="3"/>
    </row>
    <row r="489">
      <c r="A489" s="94"/>
      <c r="B489" s="3"/>
    </row>
    <row r="490">
      <c r="A490" s="94"/>
      <c r="B490" s="3"/>
    </row>
    <row r="491">
      <c r="A491" s="94"/>
      <c r="B491" s="3"/>
    </row>
    <row r="492">
      <c r="A492" s="94"/>
      <c r="B492" s="3"/>
    </row>
    <row r="493">
      <c r="A493" s="94"/>
      <c r="B493" s="3"/>
    </row>
    <row r="494">
      <c r="A494" s="94"/>
      <c r="B494" s="3"/>
    </row>
    <row r="495">
      <c r="A495" s="94"/>
      <c r="B495" s="3"/>
    </row>
    <row r="496">
      <c r="A496" s="94"/>
      <c r="B496" s="3"/>
    </row>
    <row r="497">
      <c r="A497" s="94"/>
      <c r="B497" s="3"/>
    </row>
    <row r="498">
      <c r="A498" s="94"/>
      <c r="B498" s="3"/>
    </row>
    <row r="499">
      <c r="A499" s="94"/>
      <c r="B499" s="3"/>
    </row>
    <row r="500">
      <c r="A500" s="94"/>
      <c r="B500" s="3"/>
    </row>
    <row r="501">
      <c r="A501" s="94"/>
      <c r="B501" s="3"/>
    </row>
    <row r="502">
      <c r="A502" s="94"/>
      <c r="B502" s="3"/>
    </row>
    <row r="503">
      <c r="A503" s="94"/>
      <c r="B503" s="3"/>
    </row>
    <row r="504">
      <c r="A504" s="94"/>
      <c r="B504" s="3"/>
    </row>
    <row r="505">
      <c r="A505" s="94"/>
      <c r="B505" s="3"/>
    </row>
    <row r="506">
      <c r="A506" s="94"/>
      <c r="B506" s="3"/>
    </row>
    <row r="507">
      <c r="A507" s="94"/>
      <c r="B507" s="3"/>
    </row>
    <row r="508">
      <c r="A508" s="94"/>
      <c r="B508" s="3"/>
    </row>
    <row r="509">
      <c r="A509" s="94"/>
      <c r="B509" s="3"/>
    </row>
    <row r="510">
      <c r="A510" s="94"/>
      <c r="B510" s="3"/>
    </row>
    <row r="511">
      <c r="A511" s="94"/>
      <c r="B511" s="3"/>
    </row>
    <row r="512">
      <c r="A512" s="94"/>
      <c r="B512" s="3"/>
    </row>
    <row r="513">
      <c r="A513" s="94"/>
      <c r="B513" s="3"/>
    </row>
    <row r="514">
      <c r="A514" s="94"/>
      <c r="B514" s="3"/>
    </row>
    <row r="515">
      <c r="A515" s="94"/>
      <c r="B515" s="3"/>
    </row>
    <row r="516">
      <c r="A516" s="94"/>
      <c r="B516" s="3"/>
    </row>
    <row r="517">
      <c r="A517" s="94"/>
      <c r="B517" s="3"/>
    </row>
    <row r="518">
      <c r="A518" s="94"/>
      <c r="B518" s="3"/>
    </row>
    <row r="519">
      <c r="A519" s="94"/>
      <c r="B519" s="3"/>
    </row>
    <row r="520">
      <c r="A520" s="94"/>
      <c r="B520" s="3"/>
    </row>
    <row r="521">
      <c r="A521" s="94"/>
      <c r="B521" s="3"/>
    </row>
    <row r="522">
      <c r="A522" s="94"/>
      <c r="B522" s="3"/>
    </row>
    <row r="523">
      <c r="A523" s="94"/>
      <c r="B523" s="3"/>
    </row>
    <row r="524">
      <c r="A524" s="94"/>
      <c r="B524" s="3"/>
    </row>
    <row r="525">
      <c r="A525" s="94"/>
      <c r="B525" s="3"/>
    </row>
    <row r="526">
      <c r="A526" s="94"/>
      <c r="B526" s="3"/>
    </row>
    <row r="527">
      <c r="A527" s="94"/>
      <c r="B527" s="3"/>
    </row>
    <row r="528">
      <c r="A528" s="94"/>
      <c r="B528" s="3"/>
    </row>
    <row r="529">
      <c r="A529" s="94"/>
      <c r="B529" s="3"/>
    </row>
    <row r="530">
      <c r="A530" s="94"/>
      <c r="B530" s="3"/>
    </row>
    <row r="531">
      <c r="A531" s="94"/>
      <c r="B531" s="3"/>
    </row>
    <row r="532">
      <c r="A532" s="94"/>
      <c r="B532" s="3"/>
    </row>
    <row r="533">
      <c r="A533" s="94"/>
      <c r="B533" s="3"/>
    </row>
    <row r="534">
      <c r="A534" s="94"/>
      <c r="B534" s="3"/>
    </row>
    <row r="535">
      <c r="A535" s="94"/>
      <c r="B535" s="3"/>
    </row>
    <row r="536">
      <c r="A536" s="94"/>
      <c r="B536" s="3"/>
    </row>
    <row r="537">
      <c r="A537" s="94"/>
      <c r="B537" s="3"/>
    </row>
    <row r="538">
      <c r="A538" s="94"/>
      <c r="B538" s="3"/>
    </row>
    <row r="539">
      <c r="A539" s="94"/>
      <c r="B539" s="3"/>
    </row>
    <row r="540">
      <c r="A540" s="94"/>
      <c r="B540" s="3"/>
    </row>
    <row r="541">
      <c r="A541" s="94"/>
      <c r="B541" s="3"/>
    </row>
    <row r="542">
      <c r="A542" s="94"/>
      <c r="B542" s="3"/>
    </row>
    <row r="543">
      <c r="A543" s="94"/>
      <c r="B543" s="3"/>
    </row>
    <row r="544">
      <c r="A544" s="94"/>
      <c r="B544" s="3"/>
    </row>
    <row r="545">
      <c r="A545" s="94"/>
      <c r="B545" s="3"/>
    </row>
    <row r="546">
      <c r="A546" s="94"/>
      <c r="B546" s="3"/>
    </row>
    <row r="547">
      <c r="A547" s="94"/>
      <c r="B547" s="3"/>
    </row>
    <row r="548">
      <c r="A548" s="94"/>
      <c r="B548" s="3"/>
    </row>
    <row r="549">
      <c r="A549" s="94"/>
      <c r="B549" s="3"/>
    </row>
    <row r="550">
      <c r="A550" s="94"/>
      <c r="B550" s="3"/>
    </row>
    <row r="551">
      <c r="A551" s="94"/>
      <c r="B551" s="3"/>
    </row>
    <row r="552">
      <c r="A552" s="94"/>
      <c r="B552" s="3"/>
    </row>
    <row r="553">
      <c r="A553" s="94"/>
      <c r="B553" s="3"/>
    </row>
    <row r="554">
      <c r="A554" s="94"/>
      <c r="B554" s="3"/>
    </row>
    <row r="555">
      <c r="A555" s="94"/>
      <c r="B555" s="3"/>
    </row>
    <row r="556">
      <c r="A556" s="94"/>
      <c r="B556" s="3"/>
    </row>
    <row r="557">
      <c r="A557" s="94"/>
      <c r="B557" s="3"/>
    </row>
    <row r="558">
      <c r="A558" s="94"/>
      <c r="B558" s="3"/>
    </row>
    <row r="559">
      <c r="A559" s="94"/>
      <c r="B559" s="3"/>
    </row>
    <row r="560">
      <c r="A560" s="94"/>
      <c r="B560" s="3"/>
    </row>
    <row r="561">
      <c r="A561" s="94"/>
      <c r="B561" s="3"/>
    </row>
    <row r="562">
      <c r="A562" s="94"/>
      <c r="B562" s="3"/>
    </row>
    <row r="563">
      <c r="A563" s="94"/>
      <c r="B563" s="3"/>
    </row>
    <row r="564">
      <c r="A564" s="94"/>
      <c r="B564" s="3"/>
    </row>
    <row r="565">
      <c r="A565" s="94"/>
      <c r="B565" s="3"/>
    </row>
    <row r="566">
      <c r="A566" s="94"/>
      <c r="B566" s="3"/>
    </row>
    <row r="567">
      <c r="A567" s="94"/>
      <c r="B567" s="3"/>
    </row>
    <row r="568">
      <c r="A568" s="94"/>
      <c r="B568" s="3"/>
    </row>
    <row r="569">
      <c r="A569" s="94"/>
      <c r="B569" s="3"/>
    </row>
    <row r="570">
      <c r="A570" s="94"/>
      <c r="B570" s="3"/>
    </row>
    <row r="571">
      <c r="A571" s="94"/>
      <c r="B571" s="3"/>
    </row>
    <row r="572">
      <c r="A572" s="94"/>
      <c r="B572" s="3"/>
    </row>
    <row r="573">
      <c r="A573" s="94"/>
      <c r="B573" s="3"/>
    </row>
    <row r="574">
      <c r="A574" s="94"/>
      <c r="B574" s="3"/>
    </row>
    <row r="575">
      <c r="A575" s="94"/>
      <c r="B575" s="3"/>
    </row>
    <row r="576">
      <c r="A576" s="94"/>
      <c r="B576" s="3"/>
    </row>
    <row r="577">
      <c r="A577" s="94"/>
      <c r="B577" s="3"/>
    </row>
    <row r="578">
      <c r="A578" s="94"/>
      <c r="B578" s="3"/>
    </row>
    <row r="579">
      <c r="A579" s="94"/>
      <c r="B579" s="3"/>
    </row>
    <row r="580">
      <c r="A580" s="94"/>
      <c r="B580" s="3"/>
    </row>
    <row r="581">
      <c r="A581" s="94"/>
      <c r="B581" s="3"/>
    </row>
    <row r="582">
      <c r="A582" s="94"/>
      <c r="B582" s="3"/>
    </row>
    <row r="583">
      <c r="A583" s="94"/>
      <c r="B583" s="3"/>
    </row>
    <row r="584">
      <c r="A584" s="94"/>
      <c r="B584" s="3"/>
    </row>
    <row r="585">
      <c r="A585" s="94"/>
      <c r="B585" s="3"/>
    </row>
    <row r="586">
      <c r="A586" s="94"/>
      <c r="B586" s="3"/>
    </row>
    <row r="587">
      <c r="A587" s="94"/>
      <c r="B587" s="3"/>
    </row>
    <row r="588">
      <c r="A588" s="94"/>
      <c r="B588" s="3"/>
    </row>
    <row r="589">
      <c r="A589" s="94"/>
      <c r="B589" s="3"/>
    </row>
    <row r="590">
      <c r="A590" s="94"/>
      <c r="B590" s="3"/>
    </row>
    <row r="591">
      <c r="A591" s="94"/>
      <c r="B591" s="3"/>
    </row>
    <row r="592">
      <c r="A592" s="94"/>
      <c r="B592" s="3"/>
    </row>
    <row r="593">
      <c r="A593" s="94"/>
      <c r="B593" s="3"/>
    </row>
    <row r="594">
      <c r="A594" s="94"/>
      <c r="B594" s="3"/>
    </row>
    <row r="595">
      <c r="A595" s="94"/>
      <c r="B595" s="3"/>
    </row>
    <row r="596">
      <c r="A596" s="94"/>
      <c r="B596" s="3"/>
    </row>
    <row r="597">
      <c r="A597" s="94"/>
      <c r="B597" s="3"/>
    </row>
    <row r="598">
      <c r="A598" s="94"/>
      <c r="B598" s="3"/>
    </row>
    <row r="599">
      <c r="A599" s="94"/>
      <c r="B599" s="3"/>
    </row>
    <row r="600">
      <c r="A600" s="94"/>
      <c r="B600" s="3"/>
    </row>
    <row r="601">
      <c r="A601" s="94"/>
      <c r="B601" s="3"/>
    </row>
    <row r="602">
      <c r="A602" s="94"/>
      <c r="B602" s="3"/>
    </row>
    <row r="603">
      <c r="A603" s="94"/>
      <c r="B603" s="3"/>
    </row>
    <row r="604">
      <c r="A604" s="94"/>
      <c r="B604" s="3"/>
    </row>
    <row r="605">
      <c r="A605" s="94"/>
      <c r="B605" s="3"/>
    </row>
    <row r="606">
      <c r="A606" s="94"/>
      <c r="B606" s="3"/>
    </row>
    <row r="607">
      <c r="A607" s="94"/>
      <c r="B607" s="3"/>
    </row>
    <row r="608">
      <c r="A608" s="94"/>
      <c r="B608" s="3"/>
    </row>
    <row r="609">
      <c r="A609" s="94"/>
      <c r="B609" s="3"/>
    </row>
    <row r="610">
      <c r="A610" s="94"/>
      <c r="B610" s="3"/>
    </row>
    <row r="611">
      <c r="A611" s="94"/>
      <c r="B611" s="3"/>
    </row>
    <row r="612">
      <c r="A612" s="94"/>
      <c r="B612" s="3"/>
    </row>
    <row r="613">
      <c r="A613" s="94"/>
      <c r="B613" s="3"/>
    </row>
    <row r="614">
      <c r="A614" s="94"/>
      <c r="B614" s="3"/>
    </row>
    <row r="615">
      <c r="A615" s="94"/>
      <c r="B615" s="3"/>
    </row>
    <row r="616">
      <c r="A616" s="94"/>
      <c r="B616" s="3"/>
    </row>
    <row r="617">
      <c r="A617" s="94"/>
      <c r="B617" s="3"/>
    </row>
    <row r="618">
      <c r="A618" s="94"/>
      <c r="B618" s="3"/>
    </row>
    <row r="619">
      <c r="A619" s="94"/>
      <c r="B619" s="3"/>
    </row>
    <row r="620">
      <c r="A620" s="94"/>
      <c r="B620" s="3"/>
    </row>
    <row r="621">
      <c r="A621" s="94"/>
      <c r="B621" s="3"/>
    </row>
    <row r="622">
      <c r="A622" s="94"/>
      <c r="B622" s="3"/>
    </row>
    <row r="623">
      <c r="A623" s="94"/>
      <c r="B623" s="3"/>
    </row>
    <row r="624">
      <c r="A624" s="94"/>
      <c r="B624" s="3"/>
    </row>
    <row r="625">
      <c r="A625" s="94"/>
      <c r="B625" s="3"/>
    </row>
    <row r="626">
      <c r="A626" s="94"/>
      <c r="B626" s="3"/>
    </row>
    <row r="627">
      <c r="A627" s="94"/>
      <c r="B627" s="3"/>
    </row>
    <row r="628">
      <c r="A628" s="94"/>
      <c r="B628" s="3"/>
    </row>
    <row r="629">
      <c r="A629" s="94"/>
      <c r="B629" s="3"/>
    </row>
    <row r="630">
      <c r="A630" s="94"/>
      <c r="B630" s="3"/>
    </row>
    <row r="631">
      <c r="A631" s="94"/>
      <c r="B631" s="3"/>
    </row>
    <row r="632">
      <c r="A632" s="94"/>
      <c r="B632" s="3"/>
    </row>
    <row r="633">
      <c r="A633" s="94"/>
      <c r="B633" s="3"/>
    </row>
    <row r="634">
      <c r="A634" s="94"/>
      <c r="B634" s="3"/>
    </row>
    <row r="635">
      <c r="A635" s="94"/>
      <c r="B635" s="3"/>
    </row>
    <row r="636">
      <c r="A636" s="94"/>
      <c r="B636" s="3"/>
    </row>
    <row r="637">
      <c r="A637" s="94"/>
      <c r="B637" s="3"/>
    </row>
    <row r="638">
      <c r="A638" s="94"/>
      <c r="B638" s="3"/>
    </row>
    <row r="639">
      <c r="A639" s="94"/>
      <c r="B639" s="3"/>
    </row>
    <row r="640">
      <c r="A640" s="94"/>
      <c r="B640" s="3"/>
    </row>
    <row r="641">
      <c r="A641" s="94"/>
      <c r="B641" s="3"/>
    </row>
    <row r="642">
      <c r="A642" s="94"/>
      <c r="B642" s="3"/>
    </row>
    <row r="643">
      <c r="A643" s="94"/>
      <c r="B643" s="3"/>
    </row>
    <row r="644">
      <c r="A644" s="94"/>
      <c r="B644" s="3"/>
    </row>
    <row r="645">
      <c r="A645" s="94"/>
      <c r="B645" s="3"/>
    </row>
    <row r="646">
      <c r="A646" s="94"/>
      <c r="B646" s="3"/>
    </row>
    <row r="647">
      <c r="A647" s="94"/>
      <c r="B647" s="3"/>
    </row>
    <row r="648">
      <c r="A648" s="94"/>
      <c r="B648" s="3"/>
    </row>
    <row r="649">
      <c r="A649" s="94"/>
      <c r="B649" s="3"/>
    </row>
    <row r="650">
      <c r="A650" s="94"/>
      <c r="B650" s="3"/>
    </row>
    <row r="651">
      <c r="A651" s="94"/>
      <c r="B651" s="3"/>
    </row>
    <row r="652">
      <c r="A652" s="94"/>
      <c r="B652" s="3"/>
    </row>
    <row r="653">
      <c r="A653" s="94"/>
      <c r="B653" s="3"/>
    </row>
    <row r="654">
      <c r="A654" s="94"/>
      <c r="B654" s="3"/>
    </row>
    <row r="655">
      <c r="A655" s="94"/>
      <c r="B655" s="3"/>
    </row>
    <row r="656">
      <c r="A656" s="94"/>
      <c r="B656" s="3"/>
    </row>
    <row r="657">
      <c r="A657" s="94"/>
      <c r="B657" s="3"/>
    </row>
    <row r="658">
      <c r="A658" s="94"/>
      <c r="B658" s="3"/>
    </row>
    <row r="659">
      <c r="A659" s="94"/>
      <c r="B659" s="3"/>
    </row>
    <row r="660">
      <c r="A660" s="94"/>
      <c r="B660" s="3"/>
    </row>
    <row r="661">
      <c r="A661" s="94"/>
      <c r="B661" s="3"/>
    </row>
    <row r="662">
      <c r="A662" s="94"/>
      <c r="B662" s="3"/>
    </row>
    <row r="663">
      <c r="A663" s="94"/>
      <c r="B663" s="3"/>
    </row>
    <row r="664">
      <c r="A664" s="94"/>
      <c r="B664" s="3"/>
    </row>
    <row r="665">
      <c r="A665" s="94"/>
      <c r="B665" s="3"/>
    </row>
    <row r="666">
      <c r="A666" s="94"/>
      <c r="B666" s="3"/>
    </row>
    <row r="667">
      <c r="A667" s="94"/>
      <c r="B667" s="3"/>
    </row>
    <row r="668">
      <c r="A668" s="94"/>
      <c r="B668" s="3"/>
    </row>
    <row r="669">
      <c r="A669" s="94"/>
      <c r="B669" s="3"/>
    </row>
    <row r="670">
      <c r="A670" s="94"/>
      <c r="B670" s="3"/>
    </row>
    <row r="671">
      <c r="A671" s="94"/>
      <c r="B671" s="3"/>
    </row>
    <row r="672">
      <c r="A672" s="94"/>
      <c r="B672" s="3"/>
    </row>
    <row r="673">
      <c r="A673" s="94"/>
      <c r="B673" s="3"/>
    </row>
    <row r="674">
      <c r="A674" s="94"/>
      <c r="B674" s="3"/>
    </row>
    <row r="675">
      <c r="A675" s="94"/>
      <c r="B675" s="3"/>
    </row>
    <row r="676">
      <c r="A676" s="94"/>
      <c r="B676" s="3"/>
    </row>
    <row r="677">
      <c r="A677" s="94"/>
      <c r="B677" s="3"/>
    </row>
    <row r="678">
      <c r="A678" s="94"/>
      <c r="B678" s="3"/>
    </row>
    <row r="679">
      <c r="A679" s="94"/>
      <c r="B679" s="3"/>
    </row>
    <row r="680">
      <c r="A680" s="94"/>
      <c r="B680" s="3"/>
    </row>
    <row r="681">
      <c r="A681" s="94"/>
      <c r="B681" s="3"/>
    </row>
    <row r="682">
      <c r="A682" s="94"/>
      <c r="B682" s="3"/>
    </row>
    <row r="683">
      <c r="A683" s="94"/>
      <c r="B683" s="3"/>
    </row>
    <row r="684">
      <c r="A684" s="94"/>
      <c r="B684" s="3"/>
    </row>
    <row r="685">
      <c r="A685" s="94"/>
      <c r="B685" s="3"/>
    </row>
    <row r="686">
      <c r="A686" s="94"/>
      <c r="B686" s="3"/>
    </row>
    <row r="687">
      <c r="A687" s="94"/>
      <c r="B687" s="3"/>
    </row>
    <row r="688">
      <c r="A688" s="94"/>
      <c r="B688" s="3"/>
    </row>
    <row r="689">
      <c r="A689" s="94"/>
      <c r="B689" s="3"/>
    </row>
    <row r="690">
      <c r="A690" s="94"/>
      <c r="B690" s="3"/>
    </row>
    <row r="691">
      <c r="A691" s="94"/>
      <c r="B691" s="3"/>
    </row>
    <row r="692">
      <c r="A692" s="94"/>
      <c r="B692" s="3"/>
    </row>
    <row r="693">
      <c r="A693" s="94"/>
      <c r="B693" s="3"/>
    </row>
    <row r="694">
      <c r="A694" s="94"/>
      <c r="B694" s="3"/>
    </row>
    <row r="695">
      <c r="A695" s="94"/>
      <c r="B695" s="3"/>
    </row>
    <row r="696">
      <c r="A696" s="94"/>
      <c r="B696" s="3"/>
    </row>
    <row r="697">
      <c r="A697" s="94"/>
      <c r="B697" s="3"/>
    </row>
    <row r="698">
      <c r="A698" s="94"/>
      <c r="B698" s="3"/>
    </row>
    <row r="699">
      <c r="A699" s="94"/>
      <c r="B699" s="3"/>
    </row>
    <row r="700">
      <c r="A700" s="94"/>
      <c r="B700" s="3"/>
    </row>
    <row r="701">
      <c r="A701" s="94"/>
      <c r="B701" s="3"/>
    </row>
    <row r="702">
      <c r="A702" s="94"/>
      <c r="B702" s="3"/>
    </row>
    <row r="703">
      <c r="A703" s="94"/>
      <c r="B703" s="3"/>
    </row>
    <row r="704">
      <c r="A704" s="94"/>
      <c r="B704" s="3"/>
    </row>
    <row r="705">
      <c r="A705" s="94"/>
      <c r="B705" s="3"/>
    </row>
    <row r="706">
      <c r="A706" s="94"/>
      <c r="B706" s="3"/>
    </row>
    <row r="707">
      <c r="A707" s="94"/>
      <c r="B707" s="3"/>
    </row>
    <row r="708">
      <c r="A708" s="94"/>
      <c r="B708" s="3"/>
    </row>
    <row r="709">
      <c r="A709" s="94"/>
      <c r="B709" s="3"/>
    </row>
    <row r="710">
      <c r="A710" s="94"/>
      <c r="B710" s="3"/>
    </row>
    <row r="711">
      <c r="A711" s="94"/>
      <c r="B711" s="3"/>
    </row>
    <row r="712">
      <c r="A712" s="94"/>
      <c r="B712" s="3"/>
    </row>
    <row r="713">
      <c r="A713" s="94"/>
      <c r="B713" s="3"/>
    </row>
    <row r="714">
      <c r="A714" s="94"/>
      <c r="B714" s="3"/>
    </row>
    <row r="715">
      <c r="A715" s="94"/>
      <c r="B715" s="3"/>
    </row>
    <row r="716">
      <c r="A716" s="94"/>
      <c r="B716" s="3"/>
    </row>
    <row r="717">
      <c r="A717" s="94"/>
      <c r="B717" s="3"/>
    </row>
    <row r="718">
      <c r="A718" s="94"/>
      <c r="B718" s="3"/>
    </row>
    <row r="719">
      <c r="A719" s="94"/>
      <c r="B719" s="3"/>
    </row>
    <row r="720">
      <c r="A720" s="94"/>
      <c r="B720" s="3"/>
    </row>
    <row r="721">
      <c r="A721" s="94"/>
      <c r="B721" s="3"/>
    </row>
    <row r="722">
      <c r="A722" s="94"/>
      <c r="B722" s="3"/>
    </row>
    <row r="723">
      <c r="A723" s="94"/>
      <c r="B723" s="3"/>
    </row>
    <row r="724">
      <c r="A724" s="94"/>
      <c r="B724" s="3"/>
    </row>
    <row r="725">
      <c r="A725" s="94"/>
      <c r="B725" s="3"/>
    </row>
    <row r="726">
      <c r="A726" s="94"/>
      <c r="B726" s="3"/>
    </row>
    <row r="727">
      <c r="A727" s="94"/>
      <c r="B727" s="3"/>
    </row>
    <row r="728">
      <c r="A728" s="94"/>
      <c r="B728" s="3"/>
    </row>
    <row r="729">
      <c r="A729" s="94"/>
      <c r="B729" s="3"/>
    </row>
    <row r="730">
      <c r="A730" s="94"/>
      <c r="B730" s="3"/>
    </row>
    <row r="731">
      <c r="A731" s="94"/>
      <c r="B731" s="3"/>
    </row>
    <row r="732">
      <c r="A732" s="94"/>
      <c r="B732" s="3"/>
    </row>
    <row r="733">
      <c r="A733" s="94"/>
      <c r="B733" s="3"/>
    </row>
    <row r="734">
      <c r="A734" s="94"/>
      <c r="B734" s="3"/>
    </row>
    <row r="735">
      <c r="A735" s="94"/>
      <c r="B735" s="3"/>
    </row>
    <row r="736">
      <c r="A736" s="94"/>
      <c r="B736" s="3"/>
    </row>
    <row r="737">
      <c r="A737" s="94"/>
      <c r="B737" s="3"/>
    </row>
    <row r="738">
      <c r="A738" s="94"/>
      <c r="B738" s="3"/>
    </row>
    <row r="739">
      <c r="A739" s="94"/>
      <c r="B739" s="3"/>
    </row>
    <row r="740">
      <c r="A740" s="94"/>
      <c r="B740" s="3"/>
    </row>
    <row r="741">
      <c r="A741" s="94"/>
      <c r="B741" s="3"/>
    </row>
    <row r="742">
      <c r="A742" s="94"/>
      <c r="B742" s="3"/>
    </row>
    <row r="743">
      <c r="A743" s="94"/>
      <c r="B743" s="3"/>
    </row>
    <row r="744">
      <c r="A744" s="94"/>
      <c r="B744" s="3"/>
    </row>
    <row r="745">
      <c r="A745" s="94"/>
      <c r="B745" s="3"/>
    </row>
    <row r="746">
      <c r="A746" s="94"/>
      <c r="B746" s="3"/>
    </row>
    <row r="747">
      <c r="A747" s="94"/>
      <c r="B747" s="3"/>
    </row>
    <row r="748">
      <c r="A748" s="94"/>
      <c r="B748" s="3"/>
    </row>
    <row r="749">
      <c r="A749" s="94"/>
      <c r="B749" s="3"/>
    </row>
    <row r="750">
      <c r="A750" s="94"/>
      <c r="B750" s="3"/>
    </row>
    <row r="751">
      <c r="A751" s="94"/>
      <c r="B751" s="3"/>
    </row>
    <row r="752">
      <c r="A752" s="94"/>
      <c r="B752" s="3"/>
    </row>
    <row r="753">
      <c r="A753" s="94"/>
      <c r="B753" s="3"/>
    </row>
    <row r="754">
      <c r="A754" s="94"/>
      <c r="B754" s="3"/>
    </row>
    <row r="755">
      <c r="A755" s="94"/>
      <c r="B755" s="3"/>
    </row>
    <row r="756">
      <c r="A756" s="94"/>
      <c r="B756" s="3"/>
    </row>
    <row r="757">
      <c r="A757" s="94"/>
      <c r="B757" s="3"/>
    </row>
    <row r="758">
      <c r="A758" s="94"/>
      <c r="B758" s="3"/>
    </row>
    <row r="759">
      <c r="A759" s="94"/>
      <c r="B759" s="3"/>
    </row>
    <row r="760">
      <c r="A760" s="94"/>
      <c r="B760" s="3"/>
    </row>
    <row r="761">
      <c r="A761" s="94"/>
      <c r="B761" s="3"/>
    </row>
    <row r="762">
      <c r="A762" s="94"/>
      <c r="B762" s="3"/>
    </row>
    <row r="763">
      <c r="A763" s="94"/>
      <c r="B763" s="3"/>
    </row>
    <row r="764">
      <c r="A764" s="94"/>
      <c r="B764" s="3"/>
    </row>
    <row r="765">
      <c r="A765" s="94"/>
      <c r="B765" s="3"/>
    </row>
    <row r="766">
      <c r="A766" s="94"/>
      <c r="B766" s="3"/>
    </row>
    <row r="767">
      <c r="A767" s="94"/>
      <c r="B767" s="3"/>
    </row>
    <row r="768">
      <c r="A768" s="94"/>
      <c r="B768" s="3"/>
    </row>
    <row r="769">
      <c r="A769" s="94"/>
      <c r="B769" s="3"/>
    </row>
    <row r="770">
      <c r="A770" s="94"/>
      <c r="B770" s="3"/>
    </row>
    <row r="771">
      <c r="A771" s="94"/>
      <c r="B771" s="3"/>
    </row>
    <row r="772">
      <c r="A772" s="94"/>
      <c r="B772" s="3"/>
    </row>
    <row r="773">
      <c r="A773" s="94"/>
      <c r="B773" s="3"/>
    </row>
    <row r="774">
      <c r="A774" s="94"/>
      <c r="B774" s="3"/>
    </row>
    <row r="775">
      <c r="A775" s="94"/>
      <c r="B775" s="3"/>
    </row>
    <row r="776">
      <c r="A776" s="94"/>
      <c r="B776" s="3"/>
    </row>
    <row r="777">
      <c r="A777" s="94"/>
      <c r="B777" s="3"/>
    </row>
    <row r="778">
      <c r="A778" s="94"/>
      <c r="B778" s="3"/>
    </row>
    <row r="779">
      <c r="A779" s="94"/>
      <c r="B779" s="3"/>
    </row>
    <row r="780">
      <c r="A780" s="94"/>
      <c r="B780" s="3"/>
    </row>
    <row r="781">
      <c r="A781" s="94"/>
      <c r="B781" s="3"/>
    </row>
    <row r="782">
      <c r="A782" s="94"/>
      <c r="B782" s="3"/>
    </row>
    <row r="783">
      <c r="A783" s="94"/>
      <c r="B783" s="3"/>
    </row>
    <row r="784">
      <c r="A784" s="94"/>
      <c r="B784" s="3"/>
    </row>
    <row r="785">
      <c r="A785" s="94"/>
      <c r="B785" s="3"/>
    </row>
    <row r="786">
      <c r="A786" s="94"/>
      <c r="B786" s="3"/>
    </row>
    <row r="787">
      <c r="A787" s="94"/>
      <c r="B787" s="3"/>
    </row>
    <row r="788">
      <c r="A788" s="94"/>
      <c r="B788" s="3"/>
    </row>
    <row r="789">
      <c r="A789" s="94"/>
      <c r="B789" s="3"/>
    </row>
    <row r="790">
      <c r="A790" s="94"/>
      <c r="B790" s="3"/>
    </row>
    <row r="791">
      <c r="A791" s="94"/>
      <c r="B791" s="3"/>
    </row>
    <row r="792">
      <c r="A792" s="94"/>
      <c r="B792" s="3"/>
    </row>
    <row r="793">
      <c r="A793" s="94"/>
      <c r="B793" s="3"/>
    </row>
    <row r="794">
      <c r="A794" s="94"/>
      <c r="B794" s="3"/>
    </row>
    <row r="795">
      <c r="A795" s="94"/>
      <c r="B795" s="3"/>
    </row>
    <row r="796">
      <c r="A796" s="94"/>
      <c r="B796" s="3"/>
    </row>
    <row r="797">
      <c r="A797" s="94"/>
      <c r="B797" s="3"/>
    </row>
    <row r="798">
      <c r="A798" s="94"/>
      <c r="B798" s="3"/>
    </row>
    <row r="799">
      <c r="A799" s="94"/>
      <c r="B799" s="3"/>
    </row>
    <row r="800">
      <c r="A800" s="94"/>
      <c r="B800" s="3"/>
    </row>
    <row r="801">
      <c r="A801" s="94"/>
      <c r="B801" s="3"/>
    </row>
    <row r="802">
      <c r="A802" s="94"/>
      <c r="B802" s="3"/>
    </row>
    <row r="803">
      <c r="A803" s="94"/>
      <c r="B803" s="3"/>
    </row>
    <row r="804">
      <c r="A804" s="94"/>
      <c r="B804" s="3"/>
    </row>
    <row r="805">
      <c r="A805" s="94"/>
      <c r="B805" s="3"/>
    </row>
    <row r="806">
      <c r="A806" s="94"/>
      <c r="B806" s="3"/>
    </row>
    <row r="807">
      <c r="A807" s="94"/>
      <c r="B807" s="3"/>
    </row>
    <row r="808">
      <c r="A808" s="94"/>
      <c r="B808" s="3"/>
    </row>
    <row r="809">
      <c r="A809" s="94"/>
      <c r="B809" s="3"/>
    </row>
    <row r="810">
      <c r="A810" s="94"/>
      <c r="B810" s="3"/>
    </row>
    <row r="811">
      <c r="A811" s="94"/>
      <c r="B811" s="3"/>
    </row>
    <row r="812">
      <c r="A812" s="94"/>
      <c r="B812" s="3"/>
    </row>
    <row r="813">
      <c r="A813" s="94"/>
      <c r="B813" s="3"/>
    </row>
    <row r="814">
      <c r="A814" s="94"/>
      <c r="B814" s="3"/>
    </row>
    <row r="815">
      <c r="A815" s="94"/>
      <c r="B815" s="3"/>
    </row>
    <row r="816">
      <c r="A816" s="94"/>
      <c r="B816" s="3"/>
    </row>
    <row r="817">
      <c r="A817" s="94"/>
      <c r="B817" s="3"/>
    </row>
    <row r="818">
      <c r="A818" s="94"/>
      <c r="B818" s="3"/>
    </row>
    <row r="819">
      <c r="A819" s="94"/>
      <c r="B819" s="3"/>
    </row>
    <row r="820">
      <c r="A820" s="94"/>
      <c r="B820" s="3"/>
    </row>
    <row r="821">
      <c r="A821" s="94"/>
      <c r="B821" s="3"/>
    </row>
    <row r="822">
      <c r="A822" s="94"/>
      <c r="B822" s="3"/>
    </row>
    <row r="823">
      <c r="A823" s="94"/>
      <c r="B823" s="3"/>
    </row>
    <row r="824">
      <c r="A824" s="94"/>
      <c r="B824" s="3"/>
    </row>
    <row r="825">
      <c r="A825" s="94"/>
      <c r="B825" s="3"/>
    </row>
    <row r="826">
      <c r="A826" s="94"/>
      <c r="B826" s="3"/>
    </row>
    <row r="827">
      <c r="A827" s="94"/>
      <c r="B827" s="3"/>
    </row>
    <row r="828">
      <c r="A828" s="94"/>
      <c r="B828" s="3"/>
    </row>
    <row r="829">
      <c r="A829" s="94"/>
      <c r="B829" s="3"/>
    </row>
    <row r="830">
      <c r="A830" s="94"/>
      <c r="B830" s="3"/>
    </row>
    <row r="831">
      <c r="A831" s="94"/>
      <c r="B831" s="3"/>
    </row>
    <row r="832">
      <c r="A832" s="94"/>
      <c r="B832" s="3"/>
    </row>
    <row r="833">
      <c r="A833" s="94"/>
      <c r="B833" s="3"/>
    </row>
    <row r="834">
      <c r="A834" s="94"/>
      <c r="B834" s="3"/>
    </row>
    <row r="835">
      <c r="A835" s="94"/>
      <c r="B835" s="3"/>
    </row>
    <row r="836">
      <c r="A836" s="94"/>
      <c r="B836" s="3"/>
    </row>
    <row r="837">
      <c r="A837" s="94"/>
      <c r="B837" s="3"/>
    </row>
    <row r="838">
      <c r="A838" s="94"/>
      <c r="B838" s="3"/>
    </row>
    <row r="839">
      <c r="A839" s="94"/>
      <c r="B839" s="3"/>
    </row>
    <row r="840">
      <c r="A840" s="94"/>
      <c r="B840" s="3"/>
    </row>
    <row r="841">
      <c r="A841" s="94"/>
      <c r="B841" s="3"/>
    </row>
    <row r="842">
      <c r="A842" s="94"/>
      <c r="B842" s="3"/>
    </row>
    <row r="843">
      <c r="A843" s="94"/>
      <c r="B843" s="3"/>
    </row>
    <row r="844">
      <c r="A844" s="94"/>
      <c r="B844" s="3"/>
    </row>
    <row r="845">
      <c r="A845" s="94"/>
      <c r="B845" s="3"/>
    </row>
    <row r="846">
      <c r="A846" s="94"/>
      <c r="B846" s="3"/>
    </row>
    <row r="847">
      <c r="A847" s="94"/>
      <c r="B847" s="3"/>
    </row>
    <row r="848">
      <c r="A848" s="94"/>
      <c r="B848" s="3"/>
    </row>
    <row r="849">
      <c r="A849" s="94"/>
      <c r="B849" s="3"/>
    </row>
    <row r="850">
      <c r="A850" s="94"/>
      <c r="B850" s="3"/>
    </row>
    <row r="851">
      <c r="A851" s="94"/>
      <c r="B851" s="3"/>
    </row>
    <row r="852">
      <c r="A852" s="94"/>
      <c r="B852" s="3"/>
    </row>
    <row r="853">
      <c r="A853" s="94"/>
      <c r="B853" s="3"/>
    </row>
    <row r="854">
      <c r="A854" s="94"/>
      <c r="B854" s="3"/>
    </row>
    <row r="855">
      <c r="A855" s="94"/>
      <c r="B855" s="3"/>
    </row>
    <row r="856">
      <c r="A856" s="94"/>
      <c r="B856" s="3"/>
    </row>
    <row r="857">
      <c r="A857" s="94"/>
      <c r="B857" s="3"/>
    </row>
    <row r="858">
      <c r="A858" s="94"/>
      <c r="B858" s="3"/>
    </row>
    <row r="859">
      <c r="A859" s="94"/>
      <c r="B859" s="3"/>
    </row>
    <row r="860">
      <c r="A860" s="94"/>
      <c r="B860" s="3"/>
    </row>
    <row r="861">
      <c r="A861" s="94"/>
      <c r="B861" s="3"/>
    </row>
    <row r="862">
      <c r="A862" s="94"/>
      <c r="B862" s="3"/>
    </row>
    <row r="863">
      <c r="A863" s="94"/>
      <c r="B863" s="3"/>
    </row>
    <row r="864">
      <c r="A864" s="94"/>
      <c r="B864" s="3"/>
    </row>
    <row r="865">
      <c r="A865" s="94"/>
      <c r="B865" s="3"/>
    </row>
    <row r="866">
      <c r="A866" s="94"/>
      <c r="B866" s="3"/>
    </row>
    <row r="867">
      <c r="A867" s="94"/>
      <c r="B867" s="3"/>
    </row>
    <row r="868">
      <c r="A868" s="94"/>
      <c r="B868" s="3"/>
    </row>
    <row r="869">
      <c r="A869" s="94"/>
      <c r="B869" s="3"/>
    </row>
    <row r="870">
      <c r="A870" s="94"/>
      <c r="B870" s="3"/>
    </row>
    <row r="871">
      <c r="A871" s="94"/>
      <c r="B871" s="3"/>
    </row>
    <row r="872">
      <c r="A872" s="94"/>
      <c r="B872" s="3"/>
    </row>
    <row r="873">
      <c r="A873" s="94"/>
      <c r="B873" s="3"/>
    </row>
    <row r="874">
      <c r="A874" s="94"/>
      <c r="B874" s="3"/>
    </row>
    <row r="875">
      <c r="A875" s="94"/>
      <c r="B875" s="3"/>
    </row>
    <row r="876">
      <c r="A876" s="94"/>
      <c r="B876" s="3"/>
    </row>
    <row r="877">
      <c r="A877" s="94"/>
      <c r="B877" s="3"/>
    </row>
    <row r="878">
      <c r="A878" s="94"/>
      <c r="B878" s="3"/>
    </row>
    <row r="879">
      <c r="A879" s="94"/>
      <c r="B879" s="3"/>
    </row>
    <row r="880">
      <c r="A880" s="94"/>
      <c r="B880" s="3"/>
    </row>
    <row r="881">
      <c r="A881" s="94"/>
      <c r="B881" s="3"/>
    </row>
    <row r="882">
      <c r="A882" s="94"/>
      <c r="B882" s="3"/>
    </row>
    <row r="883">
      <c r="A883" s="94"/>
      <c r="B883" s="3"/>
    </row>
    <row r="884">
      <c r="A884" s="94"/>
      <c r="B884" s="3"/>
    </row>
    <row r="885">
      <c r="A885" s="94"/>
      <c r="B885" s="3"/>
    </row>
    <row r="886">
      <c r="A886" s="94"/>
      <c r="B886" s="3"/>
    </row>
  </sheetData>
  <conditionalFormatting sqref="D2:D888">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28 C130:C133 C135:C138 C140:C143 C145:C148 C150:C153">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28 E130:I133 E135:I138 E140:I143 E145:I148 E150:I153">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97" t="s">
        <v>275</v>
      </c>
      <c r="B1" s="98"/>
      <c r="C1" s="98"/>
      <c r="D1" s="98"/>
      <c r="E1" s="98"/>
      <c r="F1" s="98"/>
      <c r="G1" s="98"/>
      <c r="H1" s="98"/>
      <c r="I1" s="98"/>
      <c r="J1" s="98"/>
      <c r="K1" s="98"/>
      <c r="L1" s="98"/>
      <c r="M1" s="98"/>
      <c r="N1" s="98"/>
      <c r="O1" s="98"/>
      <c r="P1" s="98"/>
      <c r="Q1" s="98"/>
      <c r="R1" s="98"/>
      <c r="S1" s="98"/>
      <c r="T1" s="98"/>
      <c r="U1" s="98"/>
      <c r="V1" s="98"/>
      <c r="W1" s="98"/>
      <c r="X1" s="98"/>
      <c r="Y1" s="98"/>
      <c r="Z1" s="98"/>
    </row>
    <row r="2">
      <c r="A2" s="99" t="s">
        <v>21</v>
      </c>
      <c r="B2" s="100" t="s">
        <v>276</v>
      </c>
      <c r="C2" s="96"/>
      <c r="D2" s="96"/>
      <c r="E2" s="96"/>
      <c r="F2" s="96"/>
      <c r="G2" s="96"/>
      <c r="H2" s="96"/>
      <c r="I2" s="96"/>
      <c r="J2" s="96"/>
      <c r="K2" s="96"/>
      <c r="L2" s="96"/>
      <c r="M2" s="96"/>
      <c r="N2" s="96"/>
      <c r="O2" s="96"/>
      <c r="P2" s="96"/>
      <c r="Q2" s="96"/>
      <c r="R2" s="96"/>
      <c r="S2" s="96"/>
      <c r="T2" s="96"/>
      <c r="U2" s="96"/>
      <c r="V2" s="96"/>
      <c r="W2" s="96"/>
      <c r="X2" s="96"/>
      <c r="Y2" s="96"/>
      <c r="Z2" s="96"/>
    </row>
    <row r="3">
      <c r="A3" s="99" t="s">
        <v>22</v>
      </c>
      <c r="B3" s="100" t="s">
        <v>277</v>
      </c>
      <c r="C3" s="96"/>
      <c r="D3" s="96"/>
      <c r="E3" s="96"/>
      <c r="F3" s="96"/>
      <c r="G3" s="96"/>
      <c r="H3" s="96"/>
      <c r="I3" s="96"/>
      <c r="J3" s="96"/>
      <c r="K3" s="96"/>
      <c r="L3" s="96"/>
      <c r="M3" s="96"/>
      <c r="N3" s="96"/>
      <c r="O3" s="96"/>
      <c r="P3" s="96"/>
      <c r="Q3" s="96"/>
      <c r="R3" s="96"/>
      <c r="S3" s="96"/>
      <c r="T3" s="96"/>
      <c r="U3" s="96"/>
      <c r="V3" s="96"/>
      <c r="W3" s="96"/>
      <c r="X3" s="96"/>
      <c r="Y3" s="96"/>
      <c r="Z3" s="96"/>
    </row>
    <row r="4">
      <c r="A4" s="99" t="s">
        <v>8</v>
      </c>
      <c r="B4" s="100" t="s">
        <v>278</v>
      </c>
      <c r="C4" s="96"/>
      <c r="D4" s="96"/>
      <c r="E4" s="96"/>
      <c r="F4" s="96"/>
      <c r="G4" s="96"/>
      <c r="H4" s="96"/>
      <c r="I4" s="96"/>
      <c r="J4" s="96"/>
      <c r="K4" s="96"/>
      <c r="L4" s="96"/>
      <c r="M4" s="96"/>
      <c r="N4" s="96"/>
      <c r="O4" s="96"/>
      <c r="P4" s="96"/>
      <c r="Q4" s="96"/>
      <c r="R4" s="96"/>
      <c r="S4" s="96"/>
      <c r="T4" s="96"/>
      <c r="U4" s="96"/>
      <c r="V4" s="96"/>
      <c r="W4" s="96"/>
      <c r="X4" s="96"/>
      <c r="Y4" s="96"/>
      <c r="Z4" s="96"/>
    </row>
    <row r="5">
      <c r="A5" s="99" t="s">
        <v>23</v>
      </c>
      <c r="B5" s="101" t="s">
        <v>279</v>
      </c>
      <c r="C5" s="96"/>
      <c r="D5" s="96"/>
      <c r="E5" s="96"/>
      <c r="F5" s="96"/>
      <c r="G5" s="96"/>
      <c r="H5" s="96"/>
      <c r="I5" s="96"/>
      <c r="J5" s="96"/>
      <c r="K5" s="96"/>
      <c r="L5" s="96"/>
      <c r="M5" s="96"/>
      <c r="N5" s="96"/>
      <c r="O5" s="96"/>
      <c r="P5" s="96"/>
      <c r="Q5" s="96"/>
      <c r="R5" s="96"/>
      <c r="S5" s="96"/>
      <c r="T5" s="96"/>
      <c r="U5" s="96"/>
      <c r="V5" s="96"/>
      <c r="W5" s="96"/>
      <c r="X5" s="96"/>
      <c r="Y5" s="96"/>
      <c r="Z5" s="96"/>
    </row>
    <row r="6">
      <c r="A6" s="102" t="s">
        <v>280</v>
      </c>
      <c r="B6" s="98"/>
      <c r="C6" s="98"/>
      <c r="D6" s="98"/>
      <c r="E6" s="98"/>
      <c r="F6" s="98"/>
      <c r="G6" s="98"/>
      <c r="H6" s="98"/>
      <c r="I6" s="98"/>
      <c r="J6" s="98"/>
      <c r="K6" s="98"/>
      <c r="L6" s="98"/>
      <c r="M6" s="98"/>
      <c r="N6" s="98"/>
      <c r="O6" s="98"/>
      <c r="P6" s="98"/>
      <c r="Q6" s="98"/>
      <c r="R6" s="98"/>
      <c r="S6" s="98"/>
      <c r="T6" s="98"/>
      <c r="U6" s="98"/>
      <c r="V6" s="98"/>
      <c r="W6" s="98"/>
      <c r="X6" s="98"/>
      <c r="Y6" s="98"/>
      <c r="Z6" s="98"/>
    </row>
    <row r="7">
      <c r="A7" s="99" t="s">
        <v>16</v>
      </c>
      <c r="B7" s="100" t="s">
        <v>281</v>
      </c>
      <c r="C7" s="96"/>
      <c r="D7" s="96"/>
      <c r="E7" s="96"/>
      <c r="F7" s="96"/>
      <c r="G7" s="96"/>
      <c r="H7" s="96"/>
      <c r="I7" s="96"/>
      <c r="J7" s="96"/>
      <c r="K7" s="96"/>
      <c r="L7" s="96"/>
      <c r="M7" s="96"/>
      <c r="N7" s="96"/>
      <c r="O7" s="96"/>
      <c r="P7" s="96"/>
      <c r="Q7" s="96"/>
      <c r="R7" s="96"/>
      <c r="S7" s="96"/>
      <c r="T7" s="96"/>
      <c r="U7" s="96"/>
      <c r="V7" s="96"/>
      <c r="W7" s="96"/>
      <c r="X7" s="96"/>
      <c r="Y7" s="96"/>
      <c r="Z7" s="96"/>
    </row>
    <row r="8">
      <c r="A8" s="99" t="s">
        <v>17</v>
      </c>
      <c r="B8" s="103" t="s">
        <v>282</v>
      </c>
      <c r="C8" s="96"/>
      <c r="D8" s="96"/>
      <c r="E8" s="96"/>
      <c r="F8" s="96"/>
      <c r="G8" s="96"/>
      <c r="H8" s="96"/>
      <c r="I8" s="96"/>
      <c r="J8" s="96"/>
      <c r="K8" s="96"/>
      <c r="L8" s="96"/>
      <c r="M8" s="96"/>
      <c r="N8" s="96"/>
      <c r="O8" s="96"/>
      <c r="P8" s="96"/>
      <c r="Q8" s="96"/>
      <c r="R8" s="96"/>
      <c r="S8" s="96"/>
      <c r="T8" s="96"/>
      <c r="U8" s="96"/>
      <c r="V8" s="96"/>
      <c r="W8" s="96"/>
      <c r="X8" s="96"/>
      <c r="Y8" s="96"/>
      <c r="Z8" s="96"/>
    </row>
    <row r="9">
      <c r="A9" s="99" t="s">
        <v>18</v>
      </c>
      <c r="B9" s="103" t="s">
        <v>283</v>
      </c>
      <c r="C9" s="96"/>
      <c r="D9" s="96"/>
      <c r="E9" s="96"/>
      <c r="F9" s="96"/>
      <c r="G9" s="96"/>
      <c r="H9" s="96"/>
      <c r="I9" s="96"/>
      <c r="J9" s="96"/>
      <c r="K9" s="96"/>
      <c r="L9" s="96"/>
      <c r="M9" s="96"/>
      <c r="N9" s="96"/>
      <c r="O9" s="96"/>
      <c r="P9" s="96"/>
      <c r="Q9" s="96"/>
      <c r="R9" s="96"/>
      <c r="S9" s="96"/>
      <c r="T9" s="96"/>
      <c r="U9" s="96"/>
      <c r="V9" s="96"/>
      <c r="W9" s="96"/>
      <c r="X9" s="96"/>
      <c r="Y9" s="96"/>
      <c r="Z9" s="96"/>
    </row>
    <row r="10">
      <c r="A10" s="99" t="s">
        <v>19</v>
      </c>
      <c r="B10" s="103" t="s">
        <v>284</v>
      </c>
      <c r="C10" s="96"/>
      <c r="D10" s="96"/>
      <c r="E10" s="96"/>
      <c r="F10" s="96"/>
      <c r="G10" s="96"/>
      <c r="H10" s="96"/>
      <c r="I10" s="96"/>
      <c r="J10" s="96"/>
      <c r="K10" s="96"/>
      <c r="L10" s="96"/>
      <c r="M10" s="96"/>
      <c r="N10" s="96"/>
      <c r="O10" s="96"/>
      <c r="P10" s="96"/>
      <c r="Q10" s="96"/>
      <c r="R10" s="96"/>
      <c r="S10" s="96"/>
      <c r="T10" s="96"/>
      <c r="U10" s="96"/>
      <c r="V10" s="96"/>
      <c r="W10" s="96"/>
      <c r="X10" s="96"/>
      <c r="Y10" s="96"/>
      <c r="Z10" s="96"/>
    </row>
    <row r="11">
      <c r="A11" s="99" t="s">
        <v>285</v>
      </c>
      <c r="B11" s="103" t="s">
        <v>286</v>
      </c>
      <c r="C11" s="96"/>
      <c r="D11" s="96"/>
      <c r="E11" s="96"/>
      <c r="F11" s="96"/>
      <c r="G11" s="96"/>
      <c r="H11" s="96"/>
      <c r="I11" s="96"/>
      <c r="J11" s="96"/>
      <c r="K11" s="96"/>
      <c r="L11" s="96"/>
      <c r="M11" s="96"/>
      <c r="N11" s="96"/>
      <c r="O11" s="96"/>
      <c r="P11" s="96"/>
      <c r="Q11" s="96"/>
      <c r="R11" s="96"/>
      <c r="S11" s="96"/>
      <c r="T11" s="96"/>
      <c r="U11" s="96"/>
      <c r="V11" s="96"/>
      <c r="W11" s="96"/>
      <c r="X11" s="96"/>
      <c r="Y11" s="96"/>
      <c r="Z11" s="96"/>
    </row>
    <row r="12">
      <c r="A12" s="102" t="s">
        <v>287</v>
      </c>
      <c r="B12" s="98"/>
      <c r="C12" s="98"/>
      <c r="D12" s="98"/>
      <c r="E12" s="98"/>
      <c r="F12" s="98"/>
      <c r="G12" s="98"/>
      <c r="H12" s="98"/>
      <c r="I12" s="98"/>
      <c r="J12" s="98"/>
      <c r="K12" s="98"/>
      <c r="L12" s="98"/>
      <c r="M12" s="98"/>
      <c r="N12" s="98"/>
      <c r="O12" s="98"/>
      <c r="P12" s="98"/>
      <c r="Q12" s="98"/>
      <c r="R12" s="98"/>
      <c r="S12" s="98"/>
      <c r="T12" s="98"/>
      <c r="U12" s="98"/>
      <c r="V12" s="98"/>
      <c r="W12" s="98"/>
      <c r="X12" s="98"/>
      <c r="Y12" s="98"/>
      <c r="Z12" s="98"/>
    </row>
    <row r="13">
      <c r="A13" s="99" t="s">
        <v>4</v>
      </c>
      <c r="B13" s="103" t="s">
        <v>288</v>
      </c>
      <c r="C13" s="96"/>
      <c r="D13" s="96"/>
      <c r="E13" s="96"/>
      <c r="F13" s="96"/>
      <c r="G13" s="96"/>
      <c r="H13" s="96"/>
      <c r="I13" s="96"/>
      <c r="J13" s="96"/>
      <c r="K13" s="96"/>
      <c r="L13" s="96"/>
      <c r="M13" s="96"/>
      <c r="N13" s="96"/>
      <c r="O13" s="96"/>
      <c r="P13" s="96"/>
      <c r="Q13" s="96"/>
      <c r="R13" s="96"/>
      <c r="S13" s="96"/>
      <c r="T13" s="96"/>
      <c r="U13" s="96"/>
      <c r="V13" s="96"/>
      <c r="W13" s="96"/>
      <c r="X13" s="96"/>
      <c r="Y13" s="96"/>
      <c r="Z13" s="96"/>
    </row>
    <row r="14">
      <c r="A14" s="104" t="s">
        <v>5</v>
      </c>
      <c r="B14" s="103" t="s">
        <v>289</v>
      </c>
      <c r="C14" s="96"/>
      <c r="D14" s="96"/>
      <c r="E14" s="96"/>
      <c r="F14" s="96"/>
      <c r="G14" s="96"/>
      <c r="H14" s="96"/>
      <c r="I14" s="96"/>
      <c r="J14" s="96"/>
      <c r="K14" s="96"/>
      <c r="L14" s="96"/>
      <c r="M14" s="96"/>
      <c r="N14" s="96"/>
      <c r="O14" s="96"/>
      <c r="P14" s="96"/>
      <c r="Q14" s="96"/>
      <c r="R14" s="96"/>
      <c r="S14" s="96"/>
      <c r="T14" s="96"/>
      <c r="U14" s="96"/>
      <c r="V14" s="96"/>
      <c r="W14" s="96"/>
      <c r="X14" s="96"/>
      <c r="Y14" s="96"/>
      <c r="Z14" s="96"/>
    </row>
    <row r="15">
      <c r="A15" s="104" t="s">
        <v>6</v>
      </c>
      <c r="B15" s="103" t="s">
        <v>290</v>
      </c>
      <c r="C15" s="96"/>
      <c r="D15" s="96"/>
      <c r="E15" s="96"/>
      <c r="F15" s="96"/>
      <c r="G15" s="96"/>
      <c r="H15" s="96"/>
      <c r="I15" s="96"/>
      <c r="J15" s="96"/>
      <c r="K15" s="96"/>
      <c r="L15" s="96"/>
      <c r="M15" s="96"/>
      <c r="N15" s="96"/>
      <c r="O15" s="96"/>
      <c r="P15" s="96"/>
      <c r="Q15" s="96"/>
      <c r="R15" s="96"/>
      <c r="S15" s="96"/>
      <c r="T15" s="96"/>
      <c r="U15" s="96"/>
      <c r="V15" s="96"/>
      <c r="W15" s="96"/>
      <c r="X15" s="96"/>
      <c r="Y15" s="96"/>
      <c r="Z15" s="96"/>
    </row>
    <row r="16">
      <c r="A16" s="104" t="s">
        <v>7</v>
      </c>
      <c r="B16" s="103" t="s">
        <v>291</v>
      </c>
      <c r="C16" s="96"/>
      <c r="D16" s="96"/>
      <c r="E16" s="96"/>
      <c r="F16" s="96"/>
      <c r="G16" s="96"/>
      <c r="H16" s="96"/>
      <c r="I16" s="96"/>
      <c r="J16" s="96"/>
      <c r="K16" s="96"/>
      <c r="L16" s="96"/>
      <c r="M16" s="96"/>
      <c r="N16" s="96"/>
      <c r="O16" s="96"/>
      <c r="P16" s="96"/>
      <c r="Q16" s="96"/>
      <c r="R16" s="96"/>
      <c r="S16" s="96"/>
      <c r="T16" s="96"/>
      <c r="U16" s="96"/>
      <c r="V16" s="96"/>
      <c r="W16" s="96"/>
      <c r="X16" s="96"/>
      <c r="Y16" s="96"/>
      <c r="Z16" s="96"/>
    </row>
    <row r="17">
      <c r="A17" s="104" t="s">
        <v>8</v>
      </c>
      <c r="B17" s="103" t="s">
        <v>292</v>
      </c>
      <c r="C17" s="96"/>
      <c r="D17" s="96"/>
      <c r="E17" s="96"/>
      <c r="F17" s="96"/>
      <c r="G17" s="96"/>
      <c r="H17" s="96"/>
      <c r="I17" s="96"/>
      <c r="J17" s="96"/>
      <c r="K17" s="96"/>
      <c r="L17" s="96"/>
      <c r="M17" s="96"/>
      <c r="N17" s="96"/>
      <c r="O17" s="96"/>
      <c r="P17" s="96"/>
      <c r="Q17" s="96"/>
      <c r="R17" s="96"/>
      <c r="S17" s="96"/>
      <c r="T17" s="96"/>
      <c r="U17" s="96"/>
      <c r="V17" s="96"/>
      <c r="W17" s="96"/>
      <c r="X17" s="96"/>
      <c r="Y17" s="96"/>
      <c r="Z17" s="96"/>
    </row>
    <row r="18">
      <c r="A18" s="102" t="s">
        <v>293</v>
      </c>
      <c r="B18" s="98"/>
      <c r="C18" s="98"/>
      <c r="D18" s="98"/>
      <c r="E18" s="98"/>
      <c r="F18" s="98"/>
      <c r="G18" s="98"/>
      <c r="H18" s="98"/>
      <c r="I18" s="98"/>
      <c r="J18" s="98"/>
      <c r="K18" s="98"/>
      <c r="L18" s="98"/>
      <c r="M18" s="98"/>
      <c r="N18" s="98"/>
      <c r="O18" s="98"/>
      <c r="P18" s="98"/>
      <c r="Q18" s="98"/>
      <c r="R18" s="98"/>
      <c r="S18" s="98"/>
      <c r="T18" s="98"/>
      <c r="U18" s="98"/>
      <c r="V18" s="98"/>
      <c r="W18" s="98"/>
      <c r="X18" s="98"/>
      <c r="Y18" s="98"/>
      <c r="Z18" s="98"/>
    </row>
    <row r="19">
      <c r="A19" s="105" t="s">
        <v>294</v>
      </c>
      <c r="B19" s="103" t="s">
        <v>295</v>
      </c>
      <c r="C19" s="96"/>
      <c r="D19" s="96"/>
      <c r="E19" s="96"/>
      <c r="F19" s="96"/>
      <c r="G19" s="96"/>
      <c r="H19" s="96"/>
      <c r="I19" s="96"/>
      <c r="J19" s="96"/>
      <c r="K19" s="96"/>
      <c r="L19" s="96"/>
      <c r="M19" s="96"/>
      <c r="N19" s="96"/>
      <c r="O19" s="96"/>
      <c r="P19" s="96"/>
      <c r="Q19" s="96"/>
      <c r="R19" s="96"/>
      <c r="S19" s="96"/>
      <c r="T19" s="96"/>
      <c r="U19" s="96"/>
      <c r="V19" s="96"/>
      <c r="W19" s="96"/>
      <c r="X19" s="96"/>
      <c r="Y19" s="96"/>
      <c r="Z19" s="96"/>
    </row>
    <row r="20">
      <c r="A20" s="106" t="s">
        <v>294</v>
      </c>
      <c r="B20" s="103" t="s">
        <v>296</v>
      </c>
      <c r="C20" s="96"/>
      <c r="D20" s="96"/>
      <c r="E20" s="96"/>
      <c r="F20" s="96"/>
      <c r="G20" s="96"/>
      <c r="H20" s="96"/>
      <c r="I20" s="96"/>
      <c r="J20" s="96"/>
      <c r="K20" s="96"/>
      <c r="L20" s="96"/>
      <c r="M20" s="96"/>
      <c r="N20" s="96"/>
      <c r="O20" s="96"/>
      <c r="P20" s="96"/>
      <c r="Q20" s="96"/>
      <c r="R20" s="96"/>
      <c r="S20" s="96"/>
      <c r="T20" s="96"/>
      <c r="U20" s="96"/>
      <c r="V20" s="96"/>
      <c r="W20" s="96"/>
      <c r="X20" s="96"/>
      <c r="Y20" s="96"/>
      <c r="Z20" s="96"/>
    </row>
    <row r="21">
      <c r="A21" s="107" t="s">
        <v>294</v>
      </c>
      <c r="B21" s="103" t="s">
        <v>297</v>
      </c>
      <c r="C21" s="96"/>
      <c r="D21" s="96"/>
      <c r="E21" s="96"/>
      <c r="F21" s="96"/>
      <c r="G21" s="96"/>
      <c r="H21" s="96"/>
      <c r="I21" s="96"/>
      <c r="J21" s="96"/>
      <c r="K21" s="96"/>
      <c r="L21" s="96"/>
      <c r="M21" s="96"/>
      <c r="N21" s="96"/>
      <c r="O21" s="96"/>
      <c r="P21" s="96"/>
      <c r="Q21" s="96"/>
      <c r="R21" s="96"/>
      <c r="S21" s="96"/>
      <c r="T21" s="96"/>
      <c r="U21" s="96"/>
      <c r="V21" s="96"/>
      <c r="W21" s="96"/>
      <c r="X21" s="96"/>
      <c r="Y21" s="96"/>
      <c r="Z21" s="96"/>
    </row>
    <row r="22">
      <c r="A22" s="108" t="s">
        <v>298</v>
      </c>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c r="A23" s="109" t="s">
        <v>299</v>
      </c>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c r="A24" s="110" t="s">
        <v>300</v>
      </c>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c r="A25" s="111" t="s">
        <v>301</v>
      </c>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c r="A26" s="112" t="s">
        <v>302</v>
      </c>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c r="A27" s="113" t="s">
        <v>303</v>
      </c>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row r="1001">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row>
  </sheetData>
  <dataValidations>
    <dataValidation type="list" allowBlank="1" showErrorMessage="1" sqref="A2:A5 A7:A11">
      <formula1>"5W1H,Base,CoT,tldr,Heading,Jeremy,Begoña,Alba,Naiara"</formula1>
    </dataValidation>
  </dataValidations>
  <drawing r:id="rId1"/>
</worksheet>
</file>