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 Human" sheetId="2" r:id="rId5"/>
    <sheet state="visible" name="🤖 Claude Haiku 3.5" sheetId="3" r:id="rId6"/>
    <sheet state="visible" name="🤖 Command R+" sheetId="4" r:id="rId7"/>
    <sheet state="visible" name="🤖 GPT 4o" sheetId="5" r:id="rId8"/>
    <sheet state="visible" name="🤖 Reka Flash" sheetId="6" r:id="rId9"/>
    <sheet state="visible" name="🤖 Llama-3.1-70b-instruct" sheetId="7" r:id="rId10"/>
    <sheet state="hidden" name="__flatlist__" sheetId="8" r:id="rId11"/>
    <sheet state="visible" name="📚 Glossary" sheetId="9" r:id="rId12"/>
    <sheet state="visible" name="✏️ Notes" sheetId="10" r:id="rId13"/>
    <sheet state="hidden" name="__lookup__" sheetId="11" r:id="rId14"/>
  </sheets>
  <definedNames>
    <definedName hidden="1" localSheetId="0" name="_xlnm._FilterDatabase">Summary!$A$1:$K$25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sharedStrings.xml><?xml version="1.0" encoding="utf-8"?>
<sst xmlns="http://schemas.openxmlformats.org/spreadsheetml/2006/main" count="893" uniqueCount="303">
  <si>
    <t>ID</t>
  </si>
  <si>
    <t>Model</t>
  </si>
  <si>
    <t>Prompt</t>
  </si>
  <si>
    <t>wc</t>
  </si>
  <si>
    <t>Coherence</t>
  </si>
  <si>
    <t>Consistency</t>
  </si>
  <si>
    <t>Fluency</t>
  </si>
  <si>
    <t>Relevance</t>
  </si>
  <si>
    <t>5W1H</t>
  </si>
  <si>
    <t>avg</t>
  </si>
  <si>
    <t>rank</t>
  </si>
  <si>
    <t>coh</t>
  </si>
  <si>
    <t>cons</t>
  </si>
  <si>
    <t>fluen</t>
  </si>
  <si>
    <t>rel</t>
  </si>
  <si>
    <t>Human</t>
  </si>
  <si>
    <t>Heading</t>
  </si>
  <si>
    <t>Jeremy</t>
  </si>
  <si>
    <t>Begoña</t>
  </si>
  <si>
    <t>Alba</t>
  </si>
  <si>
    <t>Claude Sonnet 3.5</t>
  </si>
  <si>
    <t>Base</t>
  </si>
  <si>
    <t>CoT</t>
  </si>
  <si>
    <t>tldr</t>
  </si>
  <si>
    <t>Command R+</t>
  </si>
  <si>
    <t>GPT 4o</t>
  </si>
  <si>
    <t>Reka Core</t>
  </si>
  <si>
    <t>Llama-3.1-70b-instruct</t>
  </si>
  <si>
    <t>AVERAGE</t>
  </si>
  <si>
    <t>STDEV</t>
  </si>
  <si>
    <t>Text</t>
  </si>
  <si>
    <t>Author</t>
  </si>
  <si>
    <t>Summary</t>
  </si>
  <si>
    <t>http://elpais.com/ccaa/2019/08/01/catalunya/1564677368_810398.html</t>
  </si>
  <si>
    <t>Antonio Díaz , de 50 años , es un hombre constante . Desde febrero de 2017 , acude cada día a la Ciudad de la Justicia de Barcelona . De las ocho de la mañana ( “ antes venía a las siete ” , dice ) hasta las once y media , se pasea por la entrada de la sede judicial con una botella de agua . Es esencial para que no se le seque la garganta cuando empieza a gritar , con un vozarrón que ya desearían muchos , en contra de jueces , fiscales y la justicia en general . Dos años y medio de protesta que ha llevado al límite al Tribunal Superior de Justicia de Cataluña ( TSJC ) . El 11 de junio , el organismo aprobó una resolución que ordena que Antonio se “ abstenga inmediatamente ” de protagonizar en las inmediaciones de los edificios judiciales “ actos que perturben la normal actividad , lo que incluye gritos o insultos a cualquier persona ” . De no parar , se enfrenta a un delito de desobediencia . Desde que se hizo efectiva la resolución , el pasado 8 de julio , Antonio ha sido detenido 17 veces por los Mossos d ’ Esquadra , confirma una portavoz del TSJC . “ Me da igual que me detengan 10 ó 50 veces ” , dice firme Antonio , en la puerta de los juzgados , a la espera de ser arrestado de nuevo . Antes protestaba acompañado de su padre . “ Pero le dio un infarto y está delicado de salud ” . También solía desplegar una pancarta , que ha transformado en una camiseta blanca serigrafiada , en la que arremete contra el BBVA y contra las empresas Anticipa . Asegura que por su culpa tiene dos hipotecas que han acabado con el embargo de la casa de sus padres . Ese es el origen de su protesta y disgusto . “ La justicia está podrida ” , se puede leer por detrás en su camiseta . Antonio Díaz protesta por el embargo del piso de sus padres La decisión del TSJC —que no niega la libertad de expresión de Antonio pero señala que no puede “ con sus gritos impedir que los jueces y funcionarios puedan trabajar con normalidad ” — es a raíz de un informe de la juez decana de Barcelona , Mercè Caso , sobre la “ grave alteración del orden y del eficaz funcionamiento de la administración de justicia ” . La juez lamenta que “ innumerables magistrados y magistradas ” se han dirigido a ella “ desde la indignación ” porque se permita la situación “ sin que las fuerzas y cuerpos de seguridad ” eviten “ el escarnio y el descrédito de la Administración de Justicia ” ante los ciudadanos . Y cuestiona si se actuaría igual si Antonio protestase en la plaza de Sant Jaume , donde tienen sede la Generalitat y el Ayuntamiento de Barcelona . La juez decana asegura que impide el trabajo normal de los funcionarios El informe reitera que los “ gritos e insultos ” no dejan trabajar con “ tranquilidad y normalidad ” a quienes tienen el despacho que da a la calle donde se coloca Antonio . Y también resume las “ expresiones ofensivas ” que profiere , como “ jueces y fiscales sois unos cerdos ” , “ que no trabajáis ” , “ que protegéis a Pujol ” . El TSJC habilita a Caso para que “ requiera formalmente los medios que considere oportunos ” para que Antonio pare . Y los Mossos deben asegurar “ su estricto cumplimiento ” , deteniéndolo si no obedece la orden de la juez decana . Antes de llegar a la actual situación , se han intentado otras opciones . Los Mossos han abierto diligencias penales rechazadas por el juez , han contactado con los servicios sociales y se han reunido con Antonio para buscar una solución . También se le ha ofrecido asistencia letrada gratuita . En L'Hospitalet tiene una causa abierta por injurias y calumnias , y un expediente por infracción de la ordenanza de civismo . Pero nada ha surtido efecto . Antonio quiere que le devuelvan la cláusula suelo de sus hipotecas . “ Dinero ” , dicen fuentes del TSJC . “ Ni con el calabozo , ni con las multas , ni con la cárcel lo solucionamos ” , grita Antonio a todo pulmón , poco después de que la propia jueza decana entre por la puerta , sin que él se le acerque . A pesar de sus gritos , ese día los Mossos no le detienen . Antonio admite que ahora dice “ menos cosas ” porque a la que se pone a gritar , le arrestan . Ya se ha acostumbrado al proceso . “ Me llevan a los calabozos del juzgado , me recibe el juez , no digo nada ni firmo nada y me voy ” , cuenta . Una portavoz del TSJC aclara que hay un proceso abierto contra él y que las detenciones por desobediencia constan en la causa que dirime el conflicto . Antonio avisa : no piensa tomarse vacaciones en agosto</t>
  </si>
  <si>
    <t>El TSJC prohíbe a un hombre que lleva dos años y medio protestando ante la Ciudad de la Justicia que chille o insulte</t>
  </si>
  <si>
    <t>Antonio Díaz lleva desde febrero de 2017 protestando cada día delante de la Ciudad de la Justicia de Barcelona por el embargo del piso de sus padres. Grita en contra de jueces, fiscales y la justicia en general, ya que asegura que por culpa del BBVA y Anticipa tiene dos hipotecas que han acabado con el embargo de la casa de sus padres.
El Tribunal Superior de Justicia de Cataluña (TSJC) aprobó una resolución que ordena que Antonio deje de gritar e insultar en las inmediaciones de los edificios judiciales, ya que impide el trabajo normal de los funcionarios y que de seguir así, se enfrentaría a un delito de desobediencia. De hecho, ya ha sido detenido 17 veces.  A pesar de los intentos de llegar a una solución, Antonio sigue acudiendo a diario, y piensa seguir ya que conisdera que la justicia está podrida y quiere que le devuelvan la cláusula suelo de sus dos hipotecas.</t>
  </si>
  <si>
    <t>http://elpais.com/internacional/2019/09/22/mexico/1569184390_537370.html</t>
  </si>
  <si>
    <t>México da una segunda oportunidad a la memoria histórica . El Estado mexicano ofrecerá este lunes una disculpa pública a Martha Camacho Loaiza , una exintegrante de la desaparecida guerrilla urbana Liga Comunista 23 de septiembre torturada junto a su esposo durante 49 días de 1977 dentro de instalaciones militares . Con el acto , la Administración de Andrés Manuel López Obrador reconoce la responsabilidad gubernamental en las violaciones graves de derechos humanos cometidos durante los años de la Guerra Sucia , un periodo de casi dos décadas donde el Gobierno persiguió a la guerrilla y a los movimientos sociales . “ Tenemos la esperanza de que el contexto político ha cambiado ” , dice en una entrevista Camacho Loaiza , quien recibirá la disculpa de la secretaria de Gobernación ( Interior ) , Olga Sánchez Cordero , y el subsecretario Alejandro Encinas , antiguo militante del Partido Comunista Mexicano . El evento se llevará a cabo al mediodía de este lunes en el Centro Cultural Tlatelolco , un sitio cargado de simbolismo porque allí fue reprimido el movimiento estudiantil el 2 de octubre de 1968 . “ El acto es importante porque ningún Gobierno ha reconocido su culpabilidad y reconocido al Estado como perpetrador ” , agrega la exmilitante de la Liga , quien fue arrestada en Culiacán , Sinaloa , el 19 de agosto de 1977 mientras estaba embarazada de varios meses . La detención se llevó a cabo por soldados de la de la IX Zona militar , policías estatales y miembros de la Dirección Federal de Seguridad , la policía política de los Gobiernos del PRI . Durante su cautiverio , Camacho fue obligada a presenciar la tortura y ejecución de su esposo , José Manuel Alapizco . Sus captores también pusieron una metralleta Thompson en la sien de su hijo al momento de nacer . Camacho , una estudiante de Economía educada por monjas , inicio la búsqueda de justicia en el Gobierno de Vicente Fox ( 2000-2006 ) , el primer político que derrotó al PRI en unas elecciones presidenciales . La Administración del PAN , de derechas , creó en 2001 la Fiscalía Especializada en Movimientos Sociales y Políticos del Pasado , un intento para saldar las cuentas con el pasado autoritario y su opresiva relación con los grupos subversivos durante los años 60 y 70 . El resultado de este esfuerzo defraudó a muchos de los familiares de los desaparecidos . “ Cuando abrieron los expedientes no les interesó el castigo a los culpables . No hubo detenciones . No se conoció qué pasó con nuestros familiares , si están muertos o fueron llevados a prisiones clandestinas ” , afirma la exguerrillera . La iniciativa derivó en una farsa que llevó al expresidente Luis Echeverría a ser acusado de genocidio para después ser exonerado . 18 años después , el Gobierno de López Obrador se ha propuesto hacer públicos los expedientes de la Guerra Sucia que todavía permanecían bajo vigilancia de los órganos de inteligencia y el Ejército . En 2013 , la Fiscalía mexicana respondió a Camacho que los delitos de secuestro y el homicidio de su esposo habían prescrito . Un año después , la hoy historiadora obtuvo un amparo que permite mantener la investigación abierta . Este lunes , Camacho quiere ceder su tiempo frente al micrófono a los representantes de la Secretaría de la Defensa Nacional ( Sedena ) , los militares , para responder a las preguntas que le han rondado la mente por más de 40 años . “ ¿Por qué nos mantuvieron en la zona militar ? ¿Por qué mi esposo fue mutilado frente a mis ojos , castrado delante de mí ? Sin justicia y sin castigo a los culpables no hay perdón para mí ” , finaliza quien dice haber cambiado la lucha armada por los libros en 1979 . “ No hay mejores armas para eliminar la ignorancia ” . La Liga 23 de septiembre fue un grupo radical marxista fundado en 1970 que buscó forzar un cambio político mediante la toma de armas . Entre sus actividades estuvo el asalto a bancos , el secuestro y al menos 40 asesinatos , la mayoría de policías , aunque el más notorio fue el del empresario Eugenio Garza Sada , de 81 años , fundador de la universidad Tecnológico de Monterrey . Entre los secuestros más recordados estuvo el de la hija del embajador de Bélgica y un intento fallido por capturar , en agosto de 1976 , a la hermana del presidente José López Portillo ( 1976-1982 ) . El sábado , el izquierdista historiador Pedro Salmerón fue destituido del Instituto Nacional de Estudios Históricos y de las Revoluciones de México tras calificar en su blog de “ valiente ” al comando que intentó secuestrar a Garza Sada en 1973 . La palabra creó una gran polémica que demuestra que a México aún se enreda con la memoria histórica .</t>
  </si>
  <si>
    <t>El Gobierno de López Obrador reconoce graves violaciones de derechos humanos tras la tortura en 1977 a una militante de la Liga comunista 23 de septiembre</t>
  </si>
  <si>
    <t>Este lunes en el Centro Cultural Tlatelolco, por primera vez el estado mexicano ofrecerá una disculpa pública a Martha Camacho Loaiza, torturada durante 49 días en 1977 dentro de instalaciones militares como parte de la Guerra Sucia. Camacho Loaiza fue detenida por ser integrante de la guerrilla urbana La Liga 23 de septiembre, un grupo radical marxista fundado en 1970 que buscó forzar un cambio político mediante la toma de armas. Durante su detención, Camacho Loaiza tuvo que presenciar la tortura y ejecución de su esposo, José Manuel Alapizco.
Empezó a buscar justicia durante el Gobierno de Vicente Fox (2000-2006), pero la iniciativa no restultó en ninguna detención ni conseguieron los familiares información sobre los desaparecidos. En 2013 la Fiscalía respondió a Camacho que los delitos de secuerstro y homicidio de su esposo habían prescrito, pero un año después, consiguió el permiso para mantener la investigación abierta. Este lunes, Camacho quiere ceder su tiempo frente al micrófono a los representantes de la Secretaría de la Defensa Nacional para responder a sus preguntas sobre su detención, tortura, y la falta de justicia.</t>
  </si>
  <si>
    <t>http://elpais.com/ccaa/2019/07/16/catalunya/1563306455_802927.html</t>
  </si>
  <si>
    <t>Hace un tiempo , antes de las últimas elecciones municipales , pude hablar con un alto cargo del Ayuntamiento de Barcelona sobre varias cuestiones que me parecían que estaban incomodando a los barceloneses . Algunas de ellas , más severas que otras . Por ejemplo , la seguridad . Pero eso fue casi al final de nuestra charla , cuando todavía no se había agravado , no sólo en percepción si no sobre todo en delitos cuantificados de todo tipo . Yo preferí tantear el terreno con un asunto menor , si lo comparamos con la inseguridad . El de los perros en Barcelona . Con ese alto cargo municipal comentamos la invasión perruna que estaba sufriendo la ciudad . Parques prácticamente inabordables . Aceras llenas de caca . Paredes de las mismas y aceras carcomidas por los orines de los canes . Le pregunté si además de algunas ordenanzas que nadie hacía caso , tenían pensado hacer algo más . Coincidimos en varios aspectos del problema . Obviamente los ayuntamientos no tienen competencias en políticas de natalidad que revirtieran en un estado estadístico óptimo para salvar las jubilaciones del futuro . Salió el tema de la natalidad porque con el alto cargo coincidimos en que cada vez se ven en Barcelona más parejas en edad de tener hijos , pero que dada las precarias oportunidades que se les ofrece en materia de faena , alquileres y ayudas familiares , se resignan a criar chuchos . ( Eso sin contar a los paseadores de perros , profesionales , por llamarles de alguna manera , que a falta de algo más estable , cobran por pasear los perros de otros ) . En Barcelona el ruido está casi institucionalizado . Como si formara parte de los paquetes turísticos De todo esto hablamos ese día con el alto cargo . ¿Tenéis pensado alguna medida de choque para neutralizar esta epidemia ? Se me quedó mirando como si no entendiera que alguien le pudiera hacerle una pregunta de respuesta tan obvia . “ Los dueños de perros se han constituido en un lobby . No podemos hacer nada , si no queremos perder votos ” . También añadió : “ No podemos hacer nada , excepto evitar que la cosa se agrave ” . Y se quedó como si la resignación fuera lo que se tuviera más a mano . En esa materia , en verdad , no se ha hecho absolutamente nada . Barcelona tiene ahora mismo más perros que hace unos años . Incluso he visto parques diseñados solo para canes como el de Paseo de Sant Joan con Travessera de Gràcia . Y también en solares donde el Ayuntamiento pudo haber construido vivienda social . Los dueños de los perros se han constituido en un 'lobby ' , me dicen cuando pregunto sobre la ‘ epidemia ’ de chuchos Pasamos a otro asunto . No menos grave que otros que habíamos comentando . Por ejemplo , el ruido . ( Recuerdo este asunto porque en el mismo instante en que escribo este artículo , un altavoz está emitiendo música caribeña . Si se tratara de la Quinta de Beethoven , igualmente me irritaría ) . Barcelona , he leído estos días , es la ciudad más ruidosa de Europa . Me consta . Estuve en Oporto hace unos meses y es una gozada caminar por sus calles , cenar en sus restaurantes sin otra cosa que un murmullo de fondo que nos indica que la gente habla pero en voz baja . Les aseguro que en Grecia ocurre algo parecido . En Barcelona el ruido está casi institucionalizado . Como si formara parte de los paquetes turísticos . O de la idiosincrasia de los catalanes . ¿Alguien sabe por qué en nuestra ciudad en verano es un tormento vivir en un barrio con las ventanas abiertas ? ¿Alguien sabe por qué de pronto en una calle se monta una especie de kermese , con atracciones dignas del antiguo Tibidabo y orquestas que dan la matraca hasta la una o dos de la mañana ? Y sobre todo , ¿alguien sabe por qué el Ayuntamiento no regula estas actividades llenas de insoportable espontaneidad ? Le pregunté al alto cargo y me contestó que si encima de las crisis , la falta de trabajo o trabajos mal pagados y precarísimos , les quitamos el circo , puesto que el pan ya se lo quitaron , qué les quedaría . “ No podemos ni queremos prohibir que la gente se divierta ” , me contestó . No se atrevió a decirme que la producción de ruidos molestos e inasumibles para el oído y la paciencia humana , constituían otro lobby . Según qué lobbies , conviene no tocarlos , ya sabes por qué , le faltó rematar . Dejamos la inseguridad para el final . “ En seguridad tenemos a una persona muy competente ” , me dijo casi antes de que le preguntara nada . Le contesté que la seguridad es el trabajo sucio de todo ayuntamiento . Pero que siempre es mejor que lo gestione la izquierda que no la derecha . No supe percibir si había asimilado mi insultante pragmatismo . Y dimos por terminada la conversación .</t>
  </si>
  <si>
    <t>Barcelona es la ciudad más ruidosa de Europa . ¿Alguien sabe por qué en nuestra ciudad en verano es un tormento vivir en un barrio con las ventanas abiertas ?</t>
  </si>
  <si>
    <t>El autor del texto tuvo una entrevista antes de las últimas elecciones municipales con un alto cargo del Ayuntamiento de Barcelona para discutir tres problemas de Barcelona: los perros, el ruido, y la inseguridad.
Según el autor, los perros son un problema porque dejan las calles sucias de caca y orines. Además, dice que el problema va relacionado con el hecho de que muchas parejas no se pueden permitir tener hijos, y se resignan a tener perros. El alto cargo menciona que no piensa hacer nada más que las ordenanzas ya en vigor porque los dueños se han constituido en un lobby poderoso. Por otro lado, el autor menciona que Barcelona es la ciudad más ruidosa de Europa, pero que el ayuntamiento no puede ni quiere regular las actividades que crean ruido por la calle, al considerar que sería imprudente prohibir que la gente se divierta. Finalmente, el ayuntamiento dice tener alguien competente trabajando en mejorar la seguridad de la ciudad.</t>
  </si>
  <si>
    <t>http://elpais.com/elpais/2019/08/02/estilo/1564708605_360745.html</t>
  </si>
  <si>
    <t>Todo ha cambiado para los vinos chilenos en poco más de diez años . Suficientes para que el nuevo Chile vinícola mire definitivamente al tiempo que le toca vivir , mientras sienta las bases del futuro , que se aventura más bien dichoso ; ya lo está siendo . En esa década mágica , la industria vinícola chilena ha pasado de ser una anécdota a pisar fuerte y aguantarle la mirada a los vinos argentinos . Dejaron atrás las producciones masivas , destinadas a rellenar lineales de supermercado , para erigirse en referencia vinícola . La confirmación del cambio llega con la entronización de la uva país , la cepa más humilde , tradicionalmente despreciada por los bodegueros históricos , y el pipeño , el vino del campesino , siempre ausente en las cartas de los restaurantes . Son los emblemas de una revolución que apenas tiene más de diez cosechas . No empezó con ellos , pero su aparición hace seis años acabó de dar carta de naturaleza a un proceso marcado por la sorpresa . La país es la variedad más antigua del viñedo latinoamericano . Con ella llegaron las primeras viñas a Chile . La trajeron desde España siendo listán y aquí acabó bautizada como país . Es criolla en Argentina , negra criolla en Bolivia y misión o también rosa del Perú en México y las zonas vinícolas del sur de los actuales Estados Unidos . Con la reivindicación de la país llegó el fervor por los vinos del pueblo , que siempre fueron los pipeños . Cepa y vino compartieron destino y consideración , arrastrando todos los sambenitos que suelen acompañar la existencia de los vinos más humildes y populares del mercado . Me fascinan los vinos de uva país desde la primera vez que los probé . Fue un pipeño hecho por Renán Cancino para Huaso de Sauzal . Lo recuerdo serio y fragante , pero sobre todo dotado de una seductora rusticidad . Por los años que han pasado y los ritmos de las elaboraciones ( lo normal es que fermenten y pasen el primer un año en madera , a menudo la raulí local , o en depósito de cemento , y otro en botella antes de salir al mercado en su segundo año ) , debió ser de la cosecha de 2014 , la primera que salió al mercado . Acabo de encontrar una botella de la misma añada , gracias al trabajo de búsqueda de la sumiller Macarena Lladser , que me ha organizado un recorrido por las cosechas que definen el trayecto de la país y los pipeños en dos de los principales valles vinícolas de Chile , el valle del Maule y Biobío . El trabajo de Renán Cancino recoge los viejos usos vinícolas , que empiezan por el zarandeo de las uvas . El mosto se extraía restregando los racimos sobre una tabla como las de lavar la ropa , instalada sobre una cuba abierta , hecha de raulí . Allí fermentaban y se dejaban reposar . La intervención sobre los vinos es mínima ; dos años de reposo , uno de ellos en botella . Le veo profundidad y más acidez de la habitual en estos vinos ; tendrá una vida más larga . Macarena también consiguió una botella del Huasa de Pilén Alto , de 2014 . Fue el primer nuevo pipeño que vio el mercado chileno , y todavía se muestra con nervio . El responsable fue un joven enólogo francés llamado Louis Antoine Luyt , al que se suele adjudicar el redescubrimiento de la variedad , y con ella la reivindicación de las viejas formas del vino . También es suyo el Pipeño País de 2015 , un vino evolucionado , fácil y amable , concebido para el mercado exterior . En Chile solo queden botellas sueltas . Del valle del Maule también pruebo el País Viejo de J. Bauchon , hecho por Cristian Sepúlveda , recuperando parras asilvestradas , y el Aúpa , que mezcla la país con algo de Carignan . El salto hasta Biobío muestra un paisaje de vinos más ligeros , también más vibrantes y luminosos , que Mararena Lladser define como más puros . Los han sabido explorar enólogos como Manuel Moraga , en Cacique Maravilla , Mauricio González en Estación Yumbel y Tinto de Rulo , o Roberto Henríquez en Santa Cruz de Coya . Su País me llega de la cosecha de 2018 y es de esos vinos que engancha . En todos encuentro las formas de vinos afinados con calma , poco a poco , pero sobre todo veo el corazón de los nuevos vinos de Chile .</t>
  </si>
  <si>
    <t>El país sudamericano ha dejado atrás las producciones masivas , destinadas a rellenar lineales de supermercado , para erigirse en referencia vinícola</t>
  </si>
  <si>
    <t>El pipeño, vino tradicionalmente húmilde de Chile producido con la uva país, en poco más de diez años ha pasado de ser un vino barato de supermercado a referencia vinícola. Esta uva proviene de las primeras viñas que trajeron desde España, y su elaboración todavía recoje muchos de las viejas costumbres, como la extracción del mosto sobre una tabla o la intervención mínima. 
Los principales valles donde se cultiva este vino son el valle del Maule y Biobío. Según el autor, los pipeños del valle del Maule son profundos y ácidos, mientras los de Biobío son más vibrantes y luminosos, pero destaca que todos los pipeños le fascinan.</t>
  </si>
  <si>
    <t>http://elpais.com/economia/2019/09/21/actualidad/1569020936_816409.html</t>
  </si>
  <si>
    <t>PRISA , grupo editor de EL PAÍS , ha acordado la venta del 94,69 % de Media Capital a la portuguesa Cofina por 170 millones . La operación valora el 100 % de Media Capital en 255 millones , deuda incluida , un importe muy atractivo , puesto que equivale a 7,3 veces el ebitda generado por Media Capital en los últimos doce meses ( a 30 de junio ) . Los fondos generados por la venta de Media Capital , un activo rentable pero considerado como no estratégico por PRISA , se destinarán a amortizar deuda del grupo , lo cual acelera el plan de desapalancamiento . La operación confirma la hoja de ruta diseñada por PRISA , que pone el foco en la reducción del endeudamiento y en la apuesta por el crecimiento rentable , centrado básicamente en los negocios ligados a la educación y a la información , según ha informado la compañía . La ejecución de la operación está condicionada a la obtención de la preceptiva autorización de las autoridades de competencia y regulatorias portuguesas , a la aprobación de un aumento de capital por Cofina , a la obtención de un waiver de determinados acreedores financieros de PRISA y a la aprobación de la transacción por la Junta General de la Sociedad . PRISA ha comunicado a la Comisión Nacional del Mercado de Valores que la transacción supondrá `` una pérdida contable estimada en las cuentas consolidadas de PRISA de aproximadamente 76,4 millones de euros '' . Media Capital es el mayor grupo del sector de medios en Portugal . Fundada en 1992 , es propietaria de TVI que , con sus canales TVI , TVI 24 , TVI Fiction , TVI Reality , TVI África y TVI Internacional , llega a millones de hablantes de portugués en todo el mundo . El grupo incluye también MCR , el grupo de radio líder en Portugal , que abarca Radio Comercial , M80 , Cidade , SmoothFM y Vodafone FM , además de 14 radios digitales . Asimismo posee Media Capital Digital , con más de 390 millones de visitas a sitios web del grupo y ocho millones de seguidores en redes sociales , incluidos IOL y TVI Player . Media Capital es , además , el propietario de Plural Entertainment , uno de los mayores productores ibéricos de contenido audiovisual ( ganador de dos premios Emmy ) , así como de EMAV ( una empresa de servicios técnico y grabación ) y EPC ( empresa de construcción y alquiler de escenarios ) , ambos con presencia en el mercado europeo . Cofina , por su parte , es una empresa fundada en 1995 . La compañía controla varias cabeceras destacadas de periódicos y revistas de Portugal ( entre ellos , Correio da Manhã , el deportivo Record y el económico Jornal de Negócios ) y un canal de televisión por cable .</t>
  </si>
  <si>
    <t>Los fondos generados por la venta se destinarán a amortizar deuda del grupo</t>
  </si>
  <si>
    <t xml:space="preserve">PRISA, grupo editor de EL PAÍS, ha acordado la venta del 94,69% de Media Capital, valorada en 255 millones, por 170 millones a Cofina, una compañía portuguesa que controla varias cabeceras destacadas de periódicos y revistas de Portugal. PRISA usará los fondos generados por la venta para amortizar deuda del grupo, con la intención de reducir el endeudamiento y apostar por el crecimiento rentable. 
Media Capital, fundada en 1992, es el mayor grupo del sector de medios en Portugal y además es propietario de Plural Entertainment, uno de los mayores productores ibéricos de contenido audiovisual. </t>
  </si>
  <si>
    <t>http://elpais.com/deportes/2019/10/21/actualidad/1571642413_763865.html</t>
  </si>
  <si>
    <t>“ El Consejo de Administración del Málaga CF ha tomado la decisión de finalizar la relación laboral del señor José Luis Pérez Caminero , ya que se acordó colectivamente que no es conveniente que siga ocupando el cargo de director deportivo dado el nuevo rumbo que está tomando la entidad ” . Así se abre el comunicado del Málaga que pone fin a la estancia de Caminero en el club andaluz , noticia que se ha producido a primera hora de la mañana . Al hasta ahora director deportivo le dieron la noticia el pasado viernes y el Málaga ya ha iniciado las gestiones para contratar a un nuevo director deportivo . La salida de Caminero , que llegó a la entidad procedente del Atlético de Madrid en junio de 2018 , es un episodio más en la perenne crisis que vive el equipo andaluz , inmerso en graves problemas económicos y que se encuentra en puestos de descenso a Segunda División B a pesar de su importante triunfo ante el Deportivo ( 0-2 ) de este fin de semana . La relación entre el propietario del Málaga , el jeque Al-Thani , y Caminero estaba prácticamente rota después de los acontecimientos vividos este verano con la confección de la plantilla del equipo andaluz . El propietario frustró muchas de las operaciones de Caminero , en el que perdió la confianza , haciendo algunos fichajes por su cuenta . Muy poco de lo planeado por el directivo se acabó plasmando en un equipo que al final solo pudo inscribir 17 licencias profesionales para poder competir en Segunda División ante los vetos económicos impuestos por LaLiga . Superado ampliamente su límite salarial y con una perspectiva de impagos en un horizonte cercano , el Málaga ofreció un plan de viabilidad a LaLiga por el que se comprometía a ahorrar cinco millones de euros hasta el próximo mes de diciembre para intentar asegurar su viabilidad económica . En este proyecto no estará ya Caminero , la primera salida importante de un Málaga que ahora es dirigido por una serie de asesores americanos en los que Al-Thani ha depositado su confianza . Se trata del enésimo cambio de rumbo del dirigente catarí en la dirección de la entidad . Además , existe la inquietud en Málaga en torno a la posibilidad de que la ejecución del plan de viabilidad no se esté ejecutando de manera satisfactoria . La delicada situación del Málaga ha provocado que todas las instituciones políticas de Andalucía y de la propia ciudad se unan para pedir al propietario una solución a los problemas de la entidad . Caminero no logró el objetivo de devolver al Málaga a Primera en la pasada temporada . Realizó algunas operaciones caras , como la de Alfred N ’ Diaye ( seis millones ) , que no acabaron de dar el resultado apetecido en un equipo que comenzó muy bien la competición pero que acabó perdiendo el tren del ascenso directo para luego caer con el Deportivo en las eliminatorias por el ascenso a Primera . En la planificación de este verano , Caminero no ha podido invertir ni un euro en los jugadores que han llegado , todos a coste cero o en calidad de cedidos . En los últimos meses apenas aparecía por Málaga y hacía su trabajo desde Madrid . Su última comparecencia pública se produjo el pasado 23 de septiembre , con su imagen ya muy tocada por lo sucedido durante el verano . “ Mi trabajo es traer jugadores al Málaga y luego hay gente que tiene la potestad de poder decidir o no ” , afirmaba el directivo , ya historia en un Málaga que pelea por no bajar a Segunda División B. Puedes seguir Deportes de EL PAÍS en Facebook , Twitter o suscribirte aquí a la Newsletter .</t>
  </si>
  <si>
    <t>El club andaluz , en puestos de descenso a Segunda División B , emprende su enésimo cambio de rumbo</t>
  </si>
  <si>
    <t>Málaga CF, en puestos de descenso a Segunda División B y con graves problemas económicos, ha comunicado esta mañana el despido del actual director deportivo, José Luis Pérez Caminero. La relación entre el proprietario, el jeque Al-Thani, y Caminero ya había deteriorado. De hecho, este verano el proprietario frustró muchas de las operaciones de Caminero para confeccionar la plantilla del equipo y Caminero no logró llevar el equipo a Primera División.
Para asegurar su viabilidad económica, el Málaga tuvo que compremeterse a ahorrar cinco millones de euros y Caminero ha sido la primera salida importante. Ahora, una seria de asesores americanos llevan el mando del club. Asimismo, este enésimo cambio de rumbo de Al-Thani ha provocado que las instituciones políticas de Andalucía y de la propia ciudad pidan al propietario una solución a los problemas del equipo.</t>
  </si>
  <si>
    <t>http://elpais.com/ccaa/2019/07/08/catalunya/1562582285_653727.html</t>
  </si>
  <si>
    <t>Elsa Artadi , portavoz del Gobierno catalán , en Barcelona . En vídeo , declaraciones de Artadi . Massimiliano Minocri | efe Junts per Catalunya y ERC , socios del Govern de la Generalitat , están atravesando la crisis más grave desde que arrancó el mandato por culpa , esta vez , de los pactos postelectorales . La diputada Elsa Artadi admitió ayer que la relación de los neoconvergentes con los republicanos ha “ tocado fondo ” y que la unión entre los partidos separatistas está “ más lejos que nunca ” . El conflicto se ha desencadenado tras el pacto entre Junts per Catalunya y el PSC para gobernar la Diputación de Barcelona . Pero la continuidad del Govern no está en cuestión . En una comparecencia en el Parlament , Artadi y el exdiputado Ferran Bel , de Junts per Catalunya , expresaron sin rubor las enormes desavenencias con sus socios calificando de “ triste espectáculo ” el que han ofrecido este fin de semana con cruce de declaraciones en las redes sociales . El enfado de la formación de Carles Puigdemont reside en que ERC ha sellado pactos en 26 Ayuntamientos para desplazar a alcaldes neoconvergentes que ganaron las elecciones . Junts per Catalunya tampoco se ha quedado de brazos cruzados y ha desbancado a siete primeros ediles republicanos . “ La proporción es 26 a 7 pero además hay una diferencia demográfica importante en los primeros ” , resumió Bel . Junts per Catalunya y las distintas representaciones del espacio —el PDeCAT y la Crida— celebraron una reunión por la mañana en el Parlament que se saldó con la petición a ERC de que acepte una agenda para revertir los acuerdos , muchos de ellos con el PSC , y garantice la unidad estratégica del independentismo . Ellos harían lo propio en la Diputación . “ Hay que abrir los ojos y mantener la unidad . La gente ya no entiende nada ” , dijo Artadi invitando a los dos socios a hacer autocrítica y pidiendo a ERC si tiene o no voluntad política para dar el paso . Y sugirió que podían empezar esa reversión en Sant Cugat ( Barcelona ) , Tàrrega ( Lleida ) y Figueres ( Girona ) , los tres ahora en manos de ERC . En la calle existe la unidad independentista pero no en los partidos . La gente ya no entiende nada '' , afirma Artadi La propuesta , sin embargo , cayó en saco roto una hora después porque Pere Aragonès , vicepresidente del Govern y secretario de política de ERC , sostuvo que su partido es asambleario y que no pueden interferir en las dinámicas locales . Su oferta es brindar la presidencia de la Diputación a Junts per Catalunya pero la cuestión es que no está en sus manos porque depende de los comunes , que apuestan por un tripartito de izquierdas . Eduard Pujol , portavoz adjunto parlamentario de Junts per Catalunya , calificó la contraoferta de ERC de “ operación de marketing considerable ” . “ No es posible ” , añadió . El PSC critica la `` subasta '' de ERC con la Diputación B. CIA Al PSC no le ha gustado nada la contraoferta de ERC a Junts per Catalunya poniéndoles en bandeja la presidencia de la Diputación si pactan las dos fuerzas independentistas —aunque necesitan el apoyo de más aliados— . En palabras del secretario de organización socialista , Salvador Illa , es como si los republicanos “ subastaran ” el cargo . Indignado porque considera que ERC no está respetando una “ pacto legítimo ” entre el PSC y Junts que supondría la presidencia de la institución para la alcaldesa de l'Hospitalet , Núria Marín . Los socialistas fueron la fuerza más votada en la provincia de Barcelona , recordó Illa que criticó a los republicanos porque “ solo aceptan la legitimidad de los acuerdos que les gustan ” . Como también lo hizo ayer Miquel Iceta , secretario del PSC , para quien poner ahora sobre la mesa la reversión de los resultados del 26-M en muchos municipios , propuesta que realizó Junts a ERC , era algo “ muy poco respetuoso ” con los pactos alcanzados . Illa e Iceta defendieron el pacto con Junts para la Diputación y el programa que hicieron público el viernes y que desencadenó la tormenta . La crisis por los pactos postelectorales es la tercera de calado que protagonizan los dos socios desde que arrancó la legislatura . La primera fue el rechazo de Roger Torrent , presidente del Parlament , a investir a Puigdemont y la segunda por la distinta forma que tuvieron de encarar la suspensión de los diputados presos por presunta rebelión . Pero esta tercera es más grave porque se produce justo tras un ciclo electoral en el que han competido por la hegemonía del independentismo y a las puertas de la sentencia del procés . El desencuentro se ha desatado con especial virulencia y a diferencia de las anteriores ha salpicado a consejeros ( Damià Calvet , de Junts per Catalunya y Aragonès , de ERC ) . El desencadenante fue el acuerdo alcanzado el viernes entre los neoconvergentes y el PSC para gobernar la Diputación de Barcelona al más puro estilo de la antigua sociovergencia . La institución es una de las más anheladas por los partidos catalanes al manejar un presupuesto de 1.000 millones . Puigdemont y el presidente de la Generalitat Quim Torra han avalado el pacto . Esta vez el president no ha intervenido para frenarlo como sí hizo en Santa Coloma de Farners donde desbarató una alianza entre Junts per Catalunya y el PSC . La Diputación cuenta con 51 diputados repartidos de la siguiente forma : PSC y ERC , 16 cada uno ; Junts per Catalunya , siete ; En Comú Guanyem , cinco ; Ciudadanos , cuatro ; PP , dos y Tot per Terrassa , uno . Socialistas y neoconvergentes cuentan con 23 diputados de los 51 y contemplan la abstención de los comunes para que el pacto prospere y la socialista Núria Marin presida el ente . Aragonès afirma que los pactos en los municipios son irreversibles pero defiende que existen posibilidades de revertir el acuerdo en la Diputación ERC considera incomprensible el acuerdo y sus dirigentes lo censuraron en las redes en cascada porque supone brindar la tercera institución de Cataluña a “ uno de los partidos del 155 ” . Sin embargo , Junts per Catalunya sostiene que no existían otras alternativas . Tras el órdago lanzado por Artadi , Aragonés , arropado por sus 16 diputados provinciales , escenificó su deseo de alcanzar un acuerdo . Su plan es explorar una solución para la Diputación y no reabrir una crisis de gobierno en “ 50 Ayuntamientos ” . “ No se trata de un intercambio de cromos . No va de sillas , va de alinear al máximo de instituciones con el independentismo , algo que hemos hecho en las otras tres diputaciones catalanas ” , dijo . Tras el cruce de declaraciones , Bel y David Bonvehí , presidente del PDeCAT , acudieron a negociar a la sede de Esquerra . No hubo avance alguno y Calvet , eso sí , lamentó que los republicanos solo limiten su oferta a la Diputación . La tensión entre los dos socios se trasladará hoy al Govern , que celebra su sesión semanal . Con todo , no llegará la sangre al río porque ambos se necesitan cuando faltan pocos meses para la sentencia del procés . Pero hay detalles que indican que la rivalidad electoral está en marcha . Artadi no evitó reprochar a su socio su rechazo a concurrir en listas unitarias en las elecciones . Eso sí : negó cualquier crisis de gobierno y replicó con ambigüedad cuando se le planteó un eventual adelanto electoral . “ No hay unidad pero hay que hablar de muchas cosas ” , dijo . En ese sentido , sí que se produjo cierta sintonía con Aragonès sobre el futuro del Govern : “ Trabajamos para arreglar problemas y no agravarlos ” .</t>
  </si>
  <si>
    <t>Los republicanos ofrecen a los neoconvergentes la presidencia de la Diputación de Barcelona</t>
  </si>
  <si>
    <t>Junts per Catalunaya y ERC, socios del Gobern de la Generalitat, están atrevesando una crisis por los pactos postelectorales. La causa de esta crisis es que Junts y el PSC han pactado para gobernar la Diputación de Barcelona, y ERC considera que eso es dar la Diputación a uno de los partidos del 155.
Elsa Artadi y Ferran Bel de Junts destacaron en una comparecencia en el Parlament que ERC ya había pactado en 26 Ayuntamientos para gobernar sin Junts y plantea que si ERC revierte estos acuerdos y garantiza la unidad estratégica del independentismo, a cambio, Junts hará lo mismo en la Diputación.
Sin embargo, Pere Aragonès, secretario de política de ERC, sostiene que su partido es asambleario y que no pueden interferir con las dinámicas locales pero ofrece la presedencia de la Diputación a Junts. Junts califica esta oferta de "operación de marketing", ya que no está en manos de ERC, sino del PSC.
El PSC, por su parte, critica esta contraoferta de ERC y le reprocha que no está respetando un pacto legítimo. Además, el PSC les recuerda que fue la fuerza más votada en la provincia de Barcelona.
Esta crisis por los pactos postelectorales es la tercera entre los dos socios desde que arrancó la legislatura, siendo la primera el rechazo de Roger Torrent a investir a Puigdemont y la segunda la distinta forma de encarar la suspensión de los diputados presos por presunta rebelión. Pero esta tercera es más grave por ocurrir después de un ciclo electoral en el que han competido por la hegemonía del independentismo y a las puertas de la sentencia del procés. Sin embargo, esta ha sido más virulenta porque la Diputación es una de las más anheladas por los partidos catalanes al manejar un presupuesto de 1.000 millones y 51 diputados.
Sin embargo, la continuidad del Gobern no parece estar en cuestión, ya que los dos socios se necesitan cuando faltan pocos meses para la sentencia del procés.</t>
  </si>
  <si>
    <t>http://elpais.com/cultura/2019/08/26/actualidad/1566837952_763854.html</t>
  </si>
  <si>
    <t>Cuando la compañía Disney presenta sus novedades , lo hace en un pabellón del centro de convenciones de Anaheim ( California ) , al lado de Disneyland , ante 7.000 personas que pagan por estar allí , y con las mayores estrellas de la taquilla puestas de adorno en el escenario . Así fue este fin de semana , durante la convención D23 , la gran convocatoria que Disney organiza cada dos años como evento para fans . ¿Es Disney demasiado grande ? , se preguntaba la prensa especializada . Estos días , Disney respondió con contundencia . El último año ha sido extraordinario para la empresa . Las seis películas más taquilleras de 2019 han salido de los estudios de Burbank : Vengadores : Endgame , El rey león , Capitana Marvel , Toy Story 4 , Spiderman : lejos de casa ( a medias con Sony ) y Aladdin . Tres de ellas han superado los 900 millones de euros de recaudación en todo el mundo . Endgame es la película más taquillera de la historia . De los cinco filmes de mayor éxito de la historia , tres son suyos ( Endgame , Star Wars : el despertar de la fuerza y Avengers : Infinity War ) . Otra es de Fox ( Avatar ) , compañía que también acaba de comprar Disney . El imperio de hoy es el producto de 15 años de adquisiciones de las marcas más reconocibles para el público y una gran visión para explotarlas . En 2006 , compró por 7.400 millones de dólares ( 6.666 millones de euros ) Pixar , el estudio que había reinventado la animación y amenazaba su reinado en este mercado . En 2009 , se hizo con Marvel por 4.000 millones . En 2012 , con Lucasfilm , la productora de la saga Star Wars , por otros 4.000 millones . Finalmente , en 2017 anunció la compra de Fox , con su división de televisión ( Los Simpson ) y todo su archivo de cine . La operación se culminó este año por 71.300 millones de dólares . Disney puede a estas alturas potenciar o frenar a su conveniencia marcas con enorme tirón entre el público global . La productora decide si hay otro Star Wars . Decide por dónde va a seguir Marvel , qué nuevos personajes van a salir de los cómics a la pantalla . Domina la animación ( con la adquisición de Fox suma además el estudio BlueSky , el de Ice Age ) . En todos los casos , lo que aporta es su capacidad para encontrar nuevas formas de explotar estas marcas . Cuando compró Marvel , el consejero delegado de Disney , Robert Iger , dijo : “ Esto es perfecto desde el punto de vista estratégico . Este tesoro de más de 5.000 personajes le permite a Disney hacer lo que mejor sabe hacer ” . Desde aquel acuerdo , los filmes de Marvel le han proporcionado unos ingresos de 18.000 millones en taquilla . Eso , sin contar lo demás que le reporta la explotación de esos personajes , incluida una nueva atracción en sus parques de California . Christina Aguilera imprime , el viernes , sus huellas en el D23 en Anaheim . CHRIS PIZZELLO AFP En los seis años desde la compra de Star Wars , las películas ya han recuperado el dinero con 4.800 millones de dólares en taquilla . Y en diciembre saldrá la nueva . Con las series de televisión empiezan este año . El potencial para hacer spin-offs es infinito . El año pasado , Disney presentó unos ingresos brutos de 59.000 millones de dólares . Este dominio de la cultura popular se traduce en una capacidad asombrosa de Disney para convocar a las estrellas . Entre homenajes y presentaciones de proyectos , en dos mañanas pasaron por el escenario del D23 decenas de grandes nombres , entre ellas : Robert Downey Jr. , Tom Holland , Chris Pratt , Dwayne Johnson , Emily Blunt , Kristen Bell , Diego Luna , Julia Louis-Dreyfus , Salma Hayek , Michelle Pfeiffer , Christina Aguilera , Tina Fey , Jon Favreau , Jeff Goldblum , Anna Kendrick , Jamie Foxx , Ewan McGregor y casi todo el elenco de Star Wars . En este D23 , la mayoría subió al escenario solo para saludar al público y marcharse . Películas-evento En algún momento de su historia de éxito , Disney entendió que la gente ya no va a al cine . Y que los servicios de streaming acentúan todavía más esa tendencia . Lo entendió antes que los demás , o mejor . La gente solo acude a ver las películas-evento , los grandes acontecimientos de los que todo el mundo habla . Y decidió especializarse en hacer solo eso . “ Hemos virado en los estrenos en salas hacia las películas grandes de las que otros estudios no quieren saber nada ” , reconocía el sábado Alan Horn , director creativo y copresidente de la empresa . El año pasado hizo 8.000 millones de dólares en taquilla . De modo que la compañía no da un respiro a los demás estudios , incapaces de lograr ese titular que diga : “ La película más taquillera… ” . Pero ahora se propone también imponer su poder en la guerra de las plataformas de vídeo online . El próximo 12 de noviembre lanza en Estados Unidos Disney+ , su propio servicio de streaming . Ahí estarán todos los catálogos de Disney , Pixar , Lucasfilm , Marvel y National Geographic , de forma permanente y exclusiva por siete dólares al mes ( su llegada a España está prevista para 2020 ) . “ Todo será contenido familiar ” , prometió Kevin Mayer , director de servicios directos al consumidor . Es decir , prometen un servicio apto para niños . “ El plan de la compañía es dejar de alimentar a Netflix con nuestras películas para montar nuestro propio servicio ” , según explicaba este sábado a la prensa internacional Horn . “ Todos los títulos grandes irán a Disney+ , y además nos permitirá hacer películas más pequeñas y disfrutarlas ” . Durante la convención D23 , a la que EL PAÍS acudió invitado por Disney , quedó claro que la compañía piensa utilizar el poder de Marvel y Star Wars para dar un golpe de autoridad frente a Netflix o HBO desde el mismo lanzamiento . Lucasfilm ha hecho la serie The Mandalorian , sobre las andanzas de un cazarrecompensas en el mundo de Star Wars , dirigida por Jon Favreau . Delante de miles de fans entusiasmados , Ewan McGregor anunció que volverá a interpretar a Obi Wan Kenobi en otra serie para Disney+ . Marvel anunció , por su parte , producciones televisivas con actores de la saga Vengadores . Para niños , habrá una nueva serie de Los teleñecos y otra con Forky , el personaje de Toy Story 4 . En el capítulo cinematográfico , las presentaciones vinieron a ser un repaso a la media docena de películas que la mayoría de la gente va a ver en los próximos dos años . Pixar prepara dos estrenos : Onward , sobre una familia de elfos en una tierra de fantasía ; y Soul , el verano que viene , una película de introspección en la línea de Del revés . El estudio de animación de Disney se propone reventar las Navidades con Frozen 2 . Y para el año que viene quieren estrenar Raya y el último dragón , con una nueva princesa , esta vez del sudeste asiático . Lucasfilm asalta la taquilla este año con Star Wars : Episodio IX . El ascenso de Skywalker , la película que concluye la saga que empezó hace 40 años . Y después de producir la película más taquillera de todos los tiempos , Marvel sacará el año que viene La viuda negra , una nueva saga de héroes llamada Eternals ( con Angelina Jolie y Richard Madden ) y para 2022 prepara Black Panther 2 . Por último , los estudios Disney producirán una película de aventuras cómicas llamada Jungle Cruise ( con Dwayne Johnson y Emily Blunt ) que aspira a ser el nuevo Piratas del Caribe ; una nueva película de Maléfica : Maestra del mal ; una versión con actores reales de Mulan y Cruella , un filme basado en el personaje de 101 dálmatas . En este contexto de euforia , esta semana Sony anunció que rompe el acuerdo que tenía con Disney para explotar juntos el personaje de Spiderman . El hombre araña es de Sony y ya no aparecerá junto al resto de los Vengadores . Para parte de la industria Sony ha quedado como un valiente que le planta cara al gigante . El precio es una enorme decepción para los fans de la saga . Cuentan los biógrafos de Walt Disney que a mitad de la producción de Blancanieves ( 1937 ) se quedó sin dinero y tuvo que buscar financiación . Un ejecutivo de Bank of America acudió al estudio para ver la película a medias . Disney y su equipo le enseñaron dibujos y tuvieron que interpretar ellos mismos las partes que estaban sin animar . El ejecutivo estuvo sentado , viendo a unos señores que ponían voces y cantaban cancioncillas . Cuando acabó , dijo : “ Vais a hacer un montón de dinero con eso ” . Tras ver las presentaciones del futuro inmediato de Disney , solo cabe secundar las palabras de aquel banquero .</t>
  </si>
  <si>
    <t>Dueña de Marvel , Star Wars , Pixar y Fox , la compañía es una máquina de generar taquillazos . Ahora toca conquistar el negocio del ‘ streaming ’ con una plataforma que amenaza a Netflix y HBO</t>
  </si>
  <si>
    <t>D23, la convención anual de Disney para sus novedades, se celebró este fin de semana en Anaheim (California). Durante los últimos 15 años, Disney ha creado un imperio taquillero gracias a adquisiciones de las marcas más reconocibles para el público y una gran visión para explotarlas. Entre sus compras estratégicas se incluyen Pixar, Marvel, Lucasfilm, y Fox. Estas compras proporciona a Disney nuevas formas de explotar estas marcas, por ejemplo spin-offs infinitos, o la explotación de esos personajes en sus parques de atracción. Estas adquisiciones ya han dado frutas y los filmes de Marvel ya han aportado 18.000 millones, mientras los de Star Wars 4.800 millones. De hecho, el año pasado, Disney presentó unos ingresos brutos de 59.000 millones de dólares. Además, Disney ha entendido que hoy en día la gente solo va al cine por ver las películas-evento y se ha especializado en solo hacer ese tipo de película.
Una de las novedades presentadas fue Disney+, su propio servicio de streaming que lanzarán en Estados Unidos el próximo 12 de noviembre que ofrecerá contenido exclusivo y familiar, entre ellos Marvel y Star Wars, para competir con Netflix y HBO. Además de su servicio de streaming, Disney presentó una media docena de películas que estrenarán en los próximos dos años.</t>
  </si>
  <si>
    <t>http://elpais.com/politica/2019/07/26/actualidad/1564175172_355316.html</t>
  </si>
  <si>
    <t>Foto de familia al final del acto de presentación del manifiesto '28 de abril , Tú decides ' , en el que artistas y escritores reclamaban el voto contra la ultraderecha . Decepción , desengaño , rabia . La sensación que parece haber dejado en buena parte de la izquierda el fracaso de la investidura de Pedro Sánchez es de amargura , pero si hay que guiarse por las opiniones recogidas por este diario de siete de los artistas , escritores e intelectuales que hace 10 días firmaron un manifiesto para reclamar un Gobierno progresista , la cosa va mucho más allá . “ Siento dolor . Dolor físico . Y después de la rabia inicial , al ver cómo se iban desencadenando los acontecimientos , me queda una tristeza profunda y enraizada . Si esto forma parte de una estrategia para medirse de cara a septiembre , me parece que es de una falta de empatía y de pudor bestiales ” , declara la cantante Zahara . Ella es una de las 200 personas que firmaron aquel escrito , que advertía al PSOE y Unidas Podemos ( UP ) : “ Es el momento de pactar , entenderse , ponerse de acuerdo ” . Ahora , el recorrido que dibujan es el que va de la alegría que les invadió nada más conocerse el resultado de las elecciones del 28 de abril ( 28-A ) , cuando se daba por sentado que los dos partidos de izquierda no podían hacer otra cosa que pactar , hasta la perplejidad y la rabia del 25 de julio ( 25-J ) , cuando constataron el fracaso . “ Estoy decepcionado y desilusionado . Y también muy enfadado , por no decir palabras mayores . Y es un malestar generalizado , por lo que me llega de mi entorno , tanto de votantes del PSOE como de Podemos . La ilusión del 28-A se ha diluido , los políticos se han encargado de cargársela ” , lamenta Carlos Berzosa , economista y exrector de la Universidad Complutense . El actor y director teatral Alberto San Juan , vinculado a la fundación de Podemos en 2014 , admite que ha sido un “ bajonazo ” . La escritora Marta Sanz confiesa también su desaliento : “ No puedo evitar pensar en todas las personas que estarán frotándose las manos por este fracaso estrepitoso : la derecha en general , la CEOE y todos aquellos que se sienten más cómodos dentro de la lógica del bipartidismo ” . PSOE y UP continúan enfrascados en su batalla por el relato , pero una buena parte de esta izquierda cultural opina que el naufragio ha sido responsabilidad de ambos y que , en todo caso , eso da igual . “ Echarse ahora las culpas unos a otros no tiene sentido . Es una responsabilidad compartida ” , asegura Berzosa . “ La culpa es de los dos partidos . Estirar hasta el final la tensión ” , añade Zahara . “ No puedo opinar si ha fallado uno más que otro , para eso tendría que saber lo que ha pasado realmente . Yo lo que veo es una política muy masculinizada , porque al final son dos hombres , aunque haya mujeres negociando , con posiciones muy enquistadas , grandilocuentes ” , aporta la directora de cine Chus Gutiérrez . El también cineasta Víctor García León abunda en esa idea : “ Vi en directo la sesión en el Congreso y me pareció , más que un debate parlamentario , una escenificación para echar la culpa al otro . Y un intentar ver quién la tiene más larga ” . San Juan cree que “ el PSOE no ha ofrecido una participación real a UP . Su oferta sonaba estupenda , pero no conllevaba competencias reales . Con todo , ¿ha acertado UP con su decisión ? No lo sé ” . El artista visual Abel Azcona sí ve , sin embargo , un culpable claro : “ Si ha habido alguien dentro de este reality que ha hecho concesiones ha sido Podemos , y si ha habido alguien que lo ha puesto complicado ha sido el PSOE ” . Y no tiene esperanzas de que todavía pueda haber un acuerdo ( hay plazo hasta el 23 de septiembre para pactar una nueva investidura ) que evite las segundas elecciones . “ Si lo primero que ha hecho Pedro Sánchez ha sido sentarse en Telecinco a llamar a la responsabilidad a PP y Ciudadanos para que se abstengan , creo que no hay solución posible ” , opina el artista , que protagonizó hace unos meses una polémica al no querer declarar ante el juez por una performance en la que formó la palabra “ pederastia ” utilizando hostias consagradas . Pese a todo , tanto García León como San Juan , Berzosa , Sanz y Zahara insisten en la necesidad de seguir empujando para que ocurra el milagro . “ Visto lo visto en el Congreso , parece difícil . Pero creo que los votantes de izquierda seguimos apostando por ello ” , dice el director de cine . La escritora añade : “ Sigo suscribiendo punto por punto el manifiesto que firmamos . No obstante , la espectacularización , las filtraciones y el suspense en la negociación y en las actividades parlamentarias me llevan a pensar mal ” . San Juan coloca la pelota sobre el tejado de Podemos : “ Deben hacer ahora , públicamente , una propuesta , flexible , que permita un Gobierno progresista . E insistir en ella , públicamente , durante los próximos meses ” . Porque la alternativa de unas elecciones se les antoja muy negra . “ Es suicida , todos sabemos que se va a desmovilizar mucha gente en la izquierda y eso da el triunfo a la derecha ” , apunta Berzosa . Azcona , no obstante , no vería con malos ojos esa posibilidad ( “ un pacto de la extrema derecha ” ) si sirve para unir de verdad a la izquierda para la siguiente legislatura . Pero Chus Gutiérrez insiste : “ Tienen que llegar a un acuerdo . Y si no saben hacerlo , hay unos profesionales maravillosos que se llaman mediadores que , igual que ayudan a parejas , pueden hacerlo en este caso , que se trata de un vínculo menos emocional… ” .</t>
  </si>
  <si>
    <t>Intelectuales que defendían el pacto de PSOE y Podemos se declaran dolidos con la investidura frustrada</t>
  </si>
  <si>
    <t>Artistas y escritores progresistas presentan un manifiesto llamado "28 de abril, Tú decides" para reclamar el voto contra la ultraderecha y para reclamar que el PSOE y Unidas Podemos (UP) pacten un Gobierno progresista. Varias personas expresaron que pasaron de alegría al ver los resultados de las elecciones del 28 de abril a la rabia cuando PSOE y UP no llegaron a un acuerdo para una investidura. Aunque los dos partidos intentan echarle la culpa del fracaso al otro, la mayoría de los artistas opinan que ha sido culpa de los dos.</t>
  </si>
  <si>
    <t>http://elpais.com/elpais/2019/06/17/viajero_astuto/1560786066_202975.html</t>
  </si>
  <si>
    <t>En 2012 , el ucraniano Gennadiy Samokhin , logró llegar a los 2.191 metros de profundidad de la sima Krúbera-Voronya , un complejo cavernario del macizo de Gagra , en la república autónoma de Abjasia , en el Cáucaso Occidental . Krúbera-Voronya no es solo la sima más profunda del mundo , es también una de las más técnicas y difíciles , con varios sifones intermedios ( pasos anegados de agua ) y una gatera de apenas 40 centímetros de ancho a 1.600 metros de profundidad . En 2013 , el aventurero Jesús Calleja y el equipo de televisión de Desafío extremo quedaron atrapados nueve días a 1.637 metros de profundidad . En 2015 , el arqueólogo Sergio García-Dils y su equipo descubrieron en este mundo subterráneo 12 nuevas especies de invertebrados . Dark Star , un sistema de cuevas de piedra caliza en la cordillera de Boysuntov , en Uzbekistán , está considerado por los espeleólogos como el Everest subterráneo . Aunque aún no ha sido completamente explorado , se estima que este abismo puede llegar hasta los 2.651 metros de profundidad , con lo que superaría los 2.191 metros de Voronya , en el Cáucaso , la cueva más honda descubierta hasta ahora . Los cristales de hielo cubren el Salón de la Luna Llena ; todo el sistema de cuevas es una cápsula geológica del tiempo donde los depósitos minerales revelan milenios de historia climática . En el macizo central de Picos de Europa ( Cantabria , Asturias y León ) se localizan algunas de las simas más profundas y complejas del mundo . Entre ellas , la torca del Cerro del Cuevón , a la que se ha llegado de momento hasta una cota de -1.589 metros ( con un desarrollo total de 7.060 metros ) , lo que la coloca como la séptima más profunda del mundo . La entrada está situada a 2.019 metros de altitud en Picos de Europa , en el concejo de Cabrales . Se necesitan tres días para llegar al fondo , por el que discurre un torrente subterráneo , el Marbregalo . En 2016 , espeleólogos del Espeleo Club Ábrigu y el Club Cántabro de Exploraciones Subterráneas ( ÁBRIGU-CCES ) descubrieron en Ruesga ( Cantabria ) el pozo más profundo de España conocido hasta ahora , con 435,92 metros de caída libre desde el comienzo de la vertical hasta su fondo . El pozo se ubica cerca de la torca del Tejón , cuyo Pozo de los Pasiegos , con 346 metros de caída libre , ostentaba hasta ahora el récord . Las cavernas de Wang Dong ( China ) , un vasto complejo de galerías en la provincia china de Chongquing , fueron exploradas por primera vez en 2013 por una expedición de 15 espeleólogos que descubrieron una de las mayores redes subterráneas conocidas , con salas inmensas como la Cloud Ladder Hall , de 250 metros de altura y con su propio sistema meteorológico , y simas de paredes verticales como el Abismo de Xinu Attic .</t>
  </si>
  <si>
    <t>Viaje por algunas de las simas más profundas y fascinantes del mundo</t>
  </si>
  <si>
    <t>El artículo destaca varios de los complejos cavernarios más notables a nivel mundial. Krúbera-Voronya, por ejemplo, es un complejo cavernario en el Cáucaso Occidental con una profundidad de 2.191 metros. Dark Star, por otro lado, es un sistema de cuevas en Uzbekistán, considerado el Everest subterráneo. Finalmente, en España los Picos de Europa también tienen algunas de las simas más profundas y complejas del mundo, por ejemplo, la torca del Cerro del Cuevón con una profundidad de 1.589 metros o el pozo de Ruesga con 435,92 metros de caída libre. Además, menciona las cavernas de Wang Dong (China) con salas inmensas como la Cloud Ladder Hall.</t>
  </si>
  <si>
    <t>Resumen:
Antonio Díaz, de 50 años, protesta diariamente frente a la Ciudad de la Justicia de Barcelona desde 2017, gritando contra jueces y fiscales por un problema de hipotecas que llevó al embargo del piso de sus padres. El Tribunal Superior de Justicia de Cataluña (TSJC) emitió una resolución ordenándole cesar sus gritos y actos que perturben la actividad judicial, bajo amenaza de un delito de desobediencia.
Desde la entrada en vigor de esta resolución el 8 de julio, Antonio ha sido detenido 17 veces por los Mossos d'Esquadra. Él mantiene su protesta, llevando una camiseta que dice "La justicia está podrida" y asegura que seguirá manifestándose. La juez decana, Mercè Caso, ha documentado cómo sus gritos impiden el trabajo normal de los funcionarios judiciales.
A pesar de los intentos de los Mossos de resolver el conflicto, incluyendo diligencias penales, servicios sociales y ofrecimiento de asistencia legal, Antonio continúa su protesta. Su objetivo principal es recuperar la cláusula suelo de sus hipotecas y denunciar lo que considera una injusticia.</t>
  </si>
  <si>
    <t>Resumen de los puntos más relevantes:
Antonio Díaz, de 50 años, protesta diariamente frente a la Ciudad de la Justicia de Barcelona desde 2017, gritando contra jueces y fiscales por un problema de hipotecas que llevó al embargo del piso de sus padres. El Tribunal Superior de Justicia de Cataluña (TSJC) emitió una resolución ordenándole detenerse, lo que ha resultado en 17 detenciones por los Mossos d'Esquadra. Antonio continúa su protesta, manifestando que "la justicia está podrida" y reclamando la devolución de la cláusula suelo de sus hipotecas.
Los puntos clave son:
- Protesta diaria desde 2017
- Problema originado por embargos hipotecarios
- Resolución judicial que le prohíbe gritar en los juzgados
- 17 detenciones hasta el momento
- Motivación principal: recuperar dinero de las hipotecas</t>
  </si>
  <si>
    <t>Aquí está el resumen utilizando el método 5W1H:
**QUÉ:** Un hombre de 50 años protesta diariamente frente a la Ciudad de la Justicia de Barcelona, gritando contra jueces y fiscales.
**QUIÉN:** Antonio Díaz, un ciudadano de 50 años que realiza protestas diarias en los juzgados.
**CUÁNDO:** Desde febrero de 2017, todos los días de 8:00 a 11:30 de la mañana.
**DÓNDE:** Ciudad de la Justicia de Barcelona.
**POR QUÉ:** Protesta por el embargo del piso de sus padres, culpando al BBVA y a las empresas Anticipa, y considerando que "la justicia está podrida".
**CÓMO:** Grita consignas contra jueces y fiscales, ha sido detenido 17 veces por los Mossos d'Esquadra tras una resolución del Tribunal Superior de Justicia de Cataluña que le prohíbe perturbar la actividad judicial, y lleva una camiseta con mensajes de protesta.</t>
  </si>
  <si>
    <t>Here's a concise summary of the text:
Antonio Díaz, a 50-year-old man, has been protesting daily at the Barcelona Justice City since February 2017. He consistently shouts accusations against judges and prosecutors, primarily due to a dispute over his parents' house being embargoed by BBVA and Anticipa companies.
Key points:
- He arrives at 8 AM (previously 7 AM) with a water bottle to prevent his throat from drying while shouting
- The Superior Court of Justice of Catalonia (TSJC) issued a resolution ordering him to stop disrupting judicial activities
- Since July 8, he has been arrested 17 times by Mossos d'Esquadra for disobeying the order
- The chief judge, Mercè Caso, complained that his actions prevent normal judicial work
- Antonio claims he won't stop until he recovers the "floor clause" of his mortgages
- His routine after arrest: taken to courthouse cells, meets a judge, says nothing, and leaves
His protest slogan, printed on his white t-shirt, reads: "Justice is rotten."</t>
  </si>
  <si>
    <t>Resumen:
El gobierno mexicano ofrecerá una disculpa pública a Martha Camacho Loaiza, víctima de tortura durante la Guerra Sucia en 1977. Como exintegrante de la Liga Comunista 23 de septiembre, fue detenida mientras estaba embarazada y obligada a presenciar la tortura y ejecución de su esposo.
El acto, que se realizará en el Centro Cultural Tlatelolco, representa un reconocimiento oficial de las violaciones de derechos humanos cometidas por el Estado durante ese período. Es la primera vez que un gobierno mexicano admite su responsabilidad en estos hechos.
La administración de López Obrador busca hacer públicos los expedientes de la Guerra Sucia que permanecían ocultos. Camacho, quien cambió la lucha armada por la investigación histórica, espera obtener respuestas sobre los crímenes cometidos contra ella y su familia.
La Liga 23 de septiembre fue un grupo marxista radical fundado en 1970, conocido por asaltos a bancos, secuestros y asesinatos, incluyendo el del empresario Eugenio Garza Sada. El caso ilustra la compleja memoria histórica de México y los intentos de reconciliación con su pasado violento.</t>
  </si>
  <si>
    <t>Aquí está el resumen con el contenido más relevante:
El gobierno mexicano ofrecerá una disculpa pública a Martha Camacho Loaiza, una exintegrante de la guerrilla Liga Comunista 23 de septiembre, quien fue torturada junto a su esposo en 1977 durante la llamada Guerra Sucia. Este acto representa un reconocimiento oficial de las graves violaciones de derechos humanos cometidas por el Estado durante esa época. 
Puntos clave:
- Martha Camacho fue detenida estando embarazada, obligada a presenciar la tortura y ejecución de su esposo.
- La disculpa se realizará en el Centro Cultural Tlatelolco, sitio simbólico de la represión estudiantil de 1968.
- Es la primera vez que un gobierno mexicano reconoce su responsabilidad en estos hechos.
- Camacho busca respuestas sobre los crímenes cometidos contra ella y su familia.
El evento simboliza un intento de esclarecer la memoria histórica de un período oscuro de la historia mexicana, marcado por la represión estatal contra movimientos sociales y guerrillas de izquierda.</t>
  </si>
  <si>
    <r>
      <rPr>
        <rFont val="Arial"/>
        <color rgb="FF000000"/>
        <sz val="9.0"/>
      </rPr>
      <t xml:space="preserve">Aquí está el resumen utilizando el método 5W1H:
**QUÉ**: Disculpa pública del Estado mexicano a Martha Camacho Loaiza por violaciones de derechos humanos durante la Guerra Sucia.
**QUIÉN**: 
- Martha Camacho Loaiza: Víctima de tortura
- Olga Sánchez Cordero y Alejandro Encinas: Funcionarios que ofrecerán la disculpa
- Andrés Manuel López Obrador: Presidente en cuya administración se realiza el acto
**CUÁNDO**: Lunes (fecha específica no mencionada), </t>
    </r>
    <r>
      <rPr>
        <rFont val="Arial"/>
        <strike/>
        <color rgb="FF000000"/>
        <sz val="9.0"/>
      </rPr>
      <t>en el año actual</t>
    </r>
    <r>
      <rPr>
        <rFont val="Arial"/>
        <color rgb="FF000000"/>
        <sz val="9.0"/>
      </rPr>
      <t xml:space="preserve">
**DÓNDE**: Centro Cultural Tlatelolco, Ciudad de México
**POR QUÉ**: 
- Reconocer la responsabilidad gubernamental en violaciones de derechos humanos
- Hacer públicos expedientes de la Guerra Sucia
- Buscar justicia para víctimas de la represión estatal
**CÓMO**: 
- Mediante una disculpa pública
- Abriendo expedientes de inteligencia militar
- Permitiendo que Martha Camacho pueda cuestionar a representantes militares sobre los hechos</t>
    </r>
  </si>
  <si>
    <t>Here's a concise summary of the article:
The Mexican government will offer a public apology to Martha Camacho Loaiza, a former member of the urban guerrilla group Liga Comunista 23 de septiembre, who was tortured along with her husband in 1977 during the "Dirty War" period. Key points:
1. Camacho was arrested while pregnant and forced to witness her husband's torture and execution.
2. The apology represents the first official acknowledgment of government responsibility for human rights violations during the Dirty War (1960s-1970s).
3. The event will take place at Tlatelolco Cultural Center, a symbolic site of student movement repression in 1968.
4. Previous government efforts to investigate these crimes, like during Vicente Fox's administration, were largely ineffective.
5. The Liga 23 de septiembre was a radical Marxist group involved in bank robberies, kidnappings, and about 40 assassinations.
6. The apology is part of López Obrador's administration's effort to make public previously classified documents from this period.
Camacho, now a historian, seeks answers about her detention and hopes for accountability, stating, "Without justice and punishment for those responsible, there is no forgiveness for me."</t>
  </si>
  <si>
    <r>
      <rPr>
        <rFont val="Arial"/>
        <color rgb="FF000000"/>
        <sz val="9.0"/>
      </rPr>
      <t xml:space="preserve">Aquí está el resumen del texto:
El autor describe una conversación con un alto cargo del Ayuntamiento de Barcelona sobre varios problemas urbanos, centrándose en tres principales:
1. Problema de los perros:
- La ciudad está invadida por perros
- Parques y aceras llenas de excrementos
- El funcionario admite que no pueden hacer nada por no perder votos del "lobby de dueños de perros"
2. Ruido urbano:
- Barcelona es considerada la ciudad más ruidosa de Europa
- Hay eventos y música a altas horas que molestan a los residentes
- El funcionario justifica el ruido como una forma de entretenimiento para la gente
3. Seguridad:
- El tema se dejó para el final
- El funcionario asegura tener a una persona competente en el área
- El autor sugiere que es mejor que lo gestione la izquierda
</t>
    </r>
    <r>
      <rPr>
        <rFont val="Arial"/>
        <strike/>
        <color rgb="FF000000"/>
        <sz val="9.0"/>
      </rPr>
      <t>Conclusión general: El texto refleja una sensación de resignación y falta de voluntad política para abordar problemas urbanos concretos en Barcelona, priorizando votos y entretenimiento sobre la calidad de vida de los residentes.</t>
    </r>
  </si>
  <si>
    <r>
      <rPr>
        <rFont val="Arial"/>
        <color rgb="FF000000"/>
        <sz val="9.0"/>
      </rPr>
      <t xml:space="preserve">Resumen de los puntos más relevantes:
El texto describe una conversación con un alto cargo del Ayuntamiento de Barcelona sobre varios problemas urbanos, principalmente:
1. Proliferación de perros:
- Parques y aceras llenos de excrementos
- El Ayuntamiento no actúa por miedo a perder votos del "lobby de dueños de perros"
2. Ruido en la ciudad:
- Barcelona considerada la ciudad más ruidosa de Europa
- Eventos ruidosos sin regulación municipal
- Autoridades justifican el ruido como forma de entretenimiento para la población
3. Seguridad:
- Mencionada brevemente como un problema creciente
- El alto cargo sugiere tener a una persona competente gestionándolo
</t>
    </r>
    <r>
      <rPr>
        <rFont val="Arial"/>
        <strike/>
        <color rgb="FF000000"/>
        <sz val="9.0"/>
      </rPr>
      <t>El texto critica la pasividad municipal ante estos problemas, destacando una actitud de resignación y evitación de conflictos con posibles grupos de presión.</t>
    </r>
  </si>
  <si>
    <t>Aquí está el resumen usando el método 5W1H:
**QUÉ**: Conversación sobre problemas en Barcelona, centrándose en la proliferación de perros, ruido excesivo y falta de regulación municipal.
**QUIÉN**: Un periodista entrevista a un alto cargo del Ayuntamiento de Barcelona sobre diversos problemas de la ciudad.
**CUÁNDO**: Antes de las últimas elecciones municipales.
**DÓNDE**: Barcelona, España.
**POR QUÉ**: Preocupación por:
- La invasión de perros en espacios públicos
- Ruido excesivo en la ciudad
- Falta de intervención municipal
- Problemas sociales como precariedad laboral y vivienda
**CÓMO**: 
- Discusión franca sobre los problemas urbanos
- El funcionario municipal admite la existencia de lobbies que impiden tomar medidas
- Justificación de la inacción por miedo a perder votos o limitar la diversión ciudadana
- Reconocimiento de la institucionalización del ruido y la problemática canina en la ciudad</t>
  </si>
  <si>
    <r>
      <rPr>
        <rFont val="Arial"/>
        <color rgb="FF000000"/>
        <sz val="9.0"/>
      </rPr>
      <t xml:space="preserve">Here's a concise summary of the text:
The article discusses issues in Barcelona, primarily focusing on three main problems:
1. Dogs
- Barcelona has an increasing number of dogs
- City parks and sidewalks are overwhelmed with dog waste
- A municipal official admitted that dog owners have formed a powerful lobby, preventing effective regulation
- The city has even created dog-specific parks, sometimes on land that could have been used for social housing
2. Noise
- Barcelona is reportedly the noisiest city in Europe
- Summer nights are particularly unbearable with loud events and music
- The municipal official justified the noise as a form of entertainment for people struggling with economic challenges
- The city seems unwilling to regulate excessive noise levels
3. Security
- The topic was briefly touched upon at the end of the conversation
- The municipal official claimed to have a competent person handling security
- The author notes that security is always a "dirty job" for city administrations
</t>
    </r>
    <r>
      <rPr>
        <rFont val="Arial"/>
        <strike/>
        <color rgb="FF000000"/>
        <sz val="9.0"/>
      </rPr>
      <t>The overall tone suggests frustration with municipal inaction and a sense that certain lobbies (dog owners, entertainment businesses) have significant influence over urban policy, preventing meaningful solutions to these quality of life issues.</t>
    </r>
    <r>
      <rPr>
        <rFont val="Arial"/>
        <color rgb="FF000000"/>
        <sz val="9.0"/>
      </rPr>
      <t xml:space="preserve">
Would you like me to elaborate on any specific aspect of the text?</t>
    </r>
  </si>
  <si>
    <r>
      <rPr>
        <rFont val="Arial"/>
        <color rgb="FF000000"/>
        <sz val="9.0"/>
      </rPr>
      <t xml:space="preserve">Resumen:
En poco más de una década, la industria vinícola chilena ha experimentado una transformación radical. De ser una producción masiva destinada a supermercados, ha pasado a convertirse en una referencia vinícola de calidad. Un símbolo de este cambio es la reivindicación de la uva país, históricamente despreciada, y el pipeño, vino tradicional campesino.
La uva país, la variedad más antigua del viñedo latinoamericano, ha sido rescatada por enólogos como Louis Antoine Luyt, quien impulsó el redescubrimiento de esta cepa y las antiguas formas de elaboración. Los nuevos vinos chilenos se caracterizan por procesos de elaboración mínimamente intervenidos, con largos periodos de reposo y una vuelta a técnicas tradicionales.
Enólogos de los valles de Maule y Biobío han explorado las características de esta uva, produciendo vinos ligeros, vibrantes y puros. Destacan productores como Renán Cancino, Manuel Moraga, Mauricio González y Roberto Henríquez, quienes han recuperado parras antiguas y desarrollado vinos con personalidad propia.
</t>
    </r>
    <r>
      <rPr>
        <rFont val="Arial"/>
        <color rgb="FF000000"/>
        <sz val="9.0"/>
        <u/>
      </rPr>
      <t>Este movimiento representa más que un cambio en la producción: es una revolución que revaloriza el patrimonio vitícola chileno, rescatando las raíces y tradiciones del vino del pueblo.</t>
    </r>
  </si>
  <si>
    <t>Resumen de los puntos más relevantes:
En poco más de diez años, la industria vinícola chilena ha experimentado una transformación radical. Dos elementos clave marcan esta revolución: la reivindicación de la uva país (tradicionalmente despreciada) y el pipeño (vino campesino). 
Los cambios principales incluyen:
- Evolución de producciones masivas a vinos de referencia
- Rescate de variedades históricamente marginadas
- Recuperación de métodos tradicionales de elaboración
- Elaboración de vinos más refinados y auténticos
Enólogos como Louis Antoine Luyt, Renán Cancino y otros han sido fundamentales en este proceso, explorando valles como Maule y Biobío y desarrollando vinos con mayor profundidad, acidez y personalidad. La revolución se caracteriza por intervenciones mínimas, respeto a técnicas antiguas y una búsqueda de autenticidad en la producción vinícola chilena.</t>
  </si>
  <si>
    <t>Aquí está el resumen usando el método 5W1H:
**QUÉ:** Una revolución en la industria vinícola chilena, con la reivindicación de la uva país y los vinos pipeños.
**QUIÉN:** Enólogos como Renán Cancino, Louis Antoine Luyt, Cristian Sepúlveda, Manuel Moraga, Mauricio González y Roberto Henríquez.
**CUÁNDO:** En los últimos diez años, con un punto de inflexión hace seis años.
**DÓNDE:** Principales valles vinícolas de Chile: Maule y Biobío.
**POR QUÉ:** Para transformar la producción de vinos de masiva y poco valorada a una industria de referencia, rescatando variedades tradicionales y técnicas artesanales.
**CÓMO:** Mediante la recuperación de uvas tradicionales como la país, producción de vinos pipeños con técnicas ancestrales, mínima intervención en la elaboración y enfoque en la calidad sobre la cantidad.</t>
  </si>
  <si>
    <r>
      <rPr>
        <rFont val="Arial"/>
        <color rgb="FF000000"/>
        <sz val="9.0"/>
      </rPr>
      <t xml:space="preserve">Here's a concise summary of the text:
The Chilean wine industry has undergone a significant transformation in just over a decade. Key changes include:
1. Shifting from mass production to becoming a wine industry reference point
2. Rediscovering and celebrating the País grape variety, historically considered humble and low-quality
3. Embracing "pipeño" - traditional peasant wine previously absent from restaurant menus
Notable developments:
- País is the oldest grape variety in Latin American vineyards
- Winemakers like Louis Antoine Luyt, Renán Cancino, and others have been instrumental in this wine revolution
- The movement focuses on traditional winemaking methods with minimal intervention
- </t>
    </r>
    <r>
      <rPr>
        <rFont val="Arial"/>
        <strike/>
        <color rgb="FF000000"/>
        <sz val="9.0"/>
      </rPr>
      <t>Wines from Maule and Biobío valleys showcase lighter, more vibrant styles</t>
    </r>
    <r>
      <rPr>
        <rFont val="Arial"/>
        <color rgb="FF000000"/>
        <sz val="9.0"/>
      </rPr>
      <t xml:space="preserve">
The transformation represents a return to roots and a celebration of Chile's wine heritage, moving away from commercial mass production towards more artisanal, authentic winemaking.</t>
    </r>
  </si>
  <si>
    <t>Resumen:
PRISA ha vendido el 94,69% de Media Capital a Cofina por 170 millones de euros, valorando la empresa en 255 millones. La operación busca reducir la deuda de PRISA y centrarse en educación e información.
Media Capital es el mayor grupo de medios en Portugal, con:
- TVI: cadena de televisión con varios canales
- MCR: grupo de radio líder 
- Media Capital Digital: plataforma web con 390 millones de visitas
- Plural Entertainment: productor audiovisual ibérico
- Otras empresas de servicios técnicos y construcción
Cofina, fundada en 1995, controla periódicos, revistas y un canal de televisión por cable en Portugal.
La venta está condicionada a:
- Autorizaciones de competencia
- Aumento de capital de Cofina
- Waiver de acreedores
- Aprobación de la Junta General
PRISA prevé una pérdida contable de 76,4 millones de euros por la transacción.</t>
  </si>
  <si>
    <t>Resumen de los puntos más relevantes:
PRISA ha vendido el 94,69% de Media Capital a Cofina por 170 millones de euros. La operación valora Media Capital en 255 millones, lo que equivale a 7,3 veces su ebitda. La venta le permitirá a PRISA reducir su deuda y centrarse en educación e información.
Media Capital es el mayor grupo de medios en Portugal, propietario de:
- TVI (cadena de televisión con varios canales)
- MCR (grupo de radio líder)
- Media Capital Digital 
- Plural Entertainment (productora audiovisual)
Cofina es una empresa portuguesa fundada en 1995 que controla varios periódicos, revistas y un canal de televisión por cable.
La transacción está condicionada a autorizaciones regulatorias y de competencia, y supondrá una pérdida contable estimada de 76,4 millones de euros para PRISA.</t>
  </si>
  <si>
    <t>Aquí está el resumen usando el método 5W1H:
**Qué:** Venta del 94,69% de Media Capital a Cofina por 170 millones de euros
**Quién:** 
- PRISA (vendedor)
- Cofina (comprador)
- Media Capital (empresa vendida)
**Cuándo:** No se especifica una fecha exacta, pero la operación está pendiente de autorizaciones
**Dónde:** Portugal (Media Capital es el mayor grupo de medios del país)
**Por qué:** 
- Reducir la deuda de PRISA
- Desinvertir en un activo no estratégico
- Enfocarse en negocios de educación e información
**Cómo:** 
- Venta condicionada a:
  1. Autorización de autoridades de competencia
  2. Aumento de capital de Cofina
  3. Waiver de acreedores financieros
  4. Aprobación de la Junta General
La operación valora Media Capital en 255 millones de euros, incluyendo deuda, lo que representa 7,3 veces su ebitda reciente.</t>
  </si>
  <si>
    <t>TLDR:
PRISA sells 94.69% of Media Capital to Portuguese company Cofina for €170 million. The deal values Media Capital at €255 million (including debt), which is 7.3 times its EBITDA. Key points:
- Proceeds will reduce PRISA's debt
- Transaction supports PRISA's strategy of focusing on education and information businesses
- Media Capital is Portugal's largest media group, owning:
  - TVI television networks
  - MCR radio group
  - Media Capital Digital
  - Plural Entertainment (audiovisual production)
The sale is subject to regulatory approvals and other conditions. PRISA expects a €76.4 million accounting loss from the transaction.
Cofina is a Portuguese media company founded in 1995, controlling several newspapers, magazines, and a cable TV channel.</t>
  </si>
  <si>
    <t>Resumen:
El Málaga CF ha despedido a José Luis Pérez Caminero como director deportivo, marcando otro episodio en la crisis del club. La decisión se produce en un contexto de graves problemas económicos, con el equipo en puestos de descenso a Segunda División B.
La relación entre Caminero y el propietario Al-Thani estaba deteriorada. El jeque frustró muchas operaciones de Caminero, realizando fichajes por su cuenta y limitando su capacidad de gestión. El club solo pudo inscribir 17 licencias profesionales debido a restricciones económicas.
El Málaga presentó un plan de viabilidad a LaLiga para ahorrar cinco millones de euros y asegurar su continuidad. Caminero no logró devolver al equipo a Primera División, realizando fichajes costosos como Alfred N'Diaye que no dieron los resultados esperados.
En los últimos meses, Caminero trabajaba desde Madrid y apenas aparecía por el club. Su última aparición pública fue el 23 de septiembre, con su imagen ya muy deteriorada. Ahora, el club está dirigido por asesores americanos en los que Al-Thani ha depositado su confianza.
Las instituciones políticas de Andalucía están presionando al propietario para encontrar una solución a los problemas del club.</t>
  </si>
  <si>
    <r>
      <rPr>
        <rFont val="Arial"/>
        <color theme="1"/>
        <sz val="9.0"/>
      </rPr>
      <t>Resumen conciso:
El Málaga CF ha despedido a José Luis Pérez Caminero como director deportivo en medio de una grave crisis económica. La decisión se produce</t>
    </r>
    <r>
      <rPr>
        <rFont val="Arial"/>
        <color rgb="FFFF0000"/>
        <sz val="9.0"/>
      </rPr>
      <t xml:space="preserve"> tras una relación deteriorada con el propietario</t>
    </r>
    <r>
      <rPr>
        <rFont val="Arial"/>
        <color theme="1"/>
        <sz val="9.0"/>
      </rPr>
      <t>, el jeque Al-Thani, quien frustró sus planes de fichajes. El club está en puestos de descenso a Segunda División B, con serios problemas financieros que le han obligado a presentar un plan de viabilidad a LaLiga para ahorrar cinco millones de euros. Caminero no logró el objetivo de devolver al equipo a Primera División y en los últimos meses apenas trabajaba desde Málaga.</t>
    </r>
  </si>
  <si>
    <t>Aquí está el resumen usando el método 5W1H:
QUÉ: El Málaga CF despide a José Luis Pérez Caminero de su cargo como director deportivo.
QUIÉN: 
- El Consejo de Administración del Málaga CF tomó la decisión
- José Luis Pérez Caminero, el director deportivo despedido
- El jeque Al-Thani, propietario del club
CUÁNDO: La noticia se produjo a primera hora de la mañana, aunque le comunicaron la decisión el viernes anterior. Caminero había llegado al club en junio de 2018.
DÓNDE: En el Málaga Club de Fútbol, Málaga, España.
POR QUÉ:
- La pérdida de confianza entre el propietario y Caminero
- El nuevo rumbo que está tomando la entidad
- Los problemas en la confección de la plantilla durante el verano
- La crisis económica del club
- El fracaso en lograr el ascenso a Primera División
CÓMO:
- Mediante un comunicado oficial del club
- En el contexto de una crisis más amplia que incluye problemas económicos severos
- Con el club gestionado ahora por asesores americanos en quienes Al-Thani ha depositado su confianza
- En medio de un plan de viabilidad que busca ahorrar cinco millones de euros hasta diciembre</t>
  </si>
  <si>
    <t>Let me provide a brief summary of this news about Málaga CF:
Málaga CF has terminated José Luis Pérez Caminero's position as sporting director, announcing this decision early in the morning. Key points:
1. Caminero, who joined from Atlético Madrid in 2018, was informed of his dismissal last Friday
2. The club is struggling with serious financial problems and is in the relegation zone to Segunda División B
3. The relationship between Caminero and club owner Sheikh Al-Thani had deteriorated, particularly after summer transfer issues where:
   - Many of Caminero's planned operations were blocked by the owner
   - The club could only register 17 professional players due to financial restrictions
4. Málaga is currently being run by American advisors trusted by Al-Thani
5. The club has submitted a viability plan to LaLiga, committing to save €5 million by December
Despite a recent important 0-2 victory against Deportivo, the club continues to face significant institutional and financial challenges, with local political institutions calling for solutions to the club's problems.</t>
  </si>
  <si>
    <r>
      <rPr>
        <rFont val="Arial"/>
        <color theme="1"/>
        <sz val="9.0"/>
      </rPr>
      <t xml:space="preserve">El texto describe una crisis política entre los partidos catalanes Junts per Catalunya y ERC, socios en el gobierno de la Generalitat. La tensión surge principalmente por los pactos postelectorales, específicamente después de que Junts per Catalunya acordara con el PSC gobernar la Diputación de Barcelona.
Los principales puntos de conflicto son:
1. ERC ha realizado pactos en 26 ayuntamientos que han desplazado a alcaldes de Junts per Catalunya, mientras que Junts ha hecho lo mismo en 7 municipios con alcaldes republicanos.
2. La portavoz del Gobierno catalán, Elsa Artadi, admitió que la relación entre ambos partidos "ha tocado fondo" y propuso revertir </t>
    </r>
    <r>
      <rPr>
        <rFont val="Arial"/>
        <strike/>
        <color theme="1"/>
        <sz val="9.0"/>
      </rPr>
      <t>algunos</t>
    </r>
    <r>
      <rPr>
        <rFont val="Arial"/>
        <color theme="1"/>
        <sz val="9.0"/>
      </rPr>
      <t xml:space="preserve"> acuerdos municipales.
3. ERC rechazó esta propuesta a través de Pere Aragonès, quien argumentó que no pueden interferir en las dinámicas locales, aunque ofreció la presidencia de la Diputación a Junts.
A pesar de la gravedad de la crisis, que es la tercera desde el inicio de la legislatura, ambas partes mantienen que la continuidad del Govern no está en cuestión, especialmente considerando la proximidad de la sentencia del procés.</t>
    </r>
  </si>
  <si>
    <t>Aquí está el resumen con el contenido más relevante del texto:
Junts per Catalunya y ERC, socios del gobierno catalán (Govern), atraviesan su crisis más grave debido a desacuerdos en pactos postelectorales. La situación se agravó después de que Junts per Catalunya pactara con el PSC para gobernar la Diputación de Barcelona. Elsa Artadi, diputada de Junts, admitió que la relación con ERC ha "tocado fondo" y que la unidad independentista está "más lejos que nunca".
El conflicto se intensificó porque ERC ha realizado pactos en 26 ayuntamientos para desplazar a alcaldes de Junts que ganaron las elecciones, mientras que Junts ha hecho lo mismo en 7 municipios. Aunque Junts propuso revertir estos acuerdos, ERC rechazó la propuesta, argumentando que no pueden interferir en las dinámicas locales.
A pesar de la gravedad de la crisis, ambas partes han confirmado que la continuidad del Govern no está en cuestión, especialmente considerando la proximidad de la sentencia del procés. Sin embargo, la tensión evidencia la creciente rivalidad electoral entre ambas formaciones independentistas.</t>
  </si>
  <si>
    <r>
      <rPr>
        <rFont val="Arial"/>
        <color theme="1"/>
        <sz val="9.0"/>
      </rPr>
      <t xml:space="preserve">Aquí está el resumen usando el método 5W1H:
QUÉ: Crisis grave entre los partidos Junts per Catalunya y ERC, socios del gobierno catalán, por desacuerdos en pactos postelectorales municipales. El conflicto se intensificó tras el acuerdo entre Junts per Catalunya y PSC para gobernar la Diputación de Barcelona.
QUIÉN: 
- Elsa Artadi (portavoz del Gobierno catalán)
- Junts per Catalunya (partido neoconvergente)
- ERC (Esquerra Republicana de Catalunya)
- PSC (Partido Socialista de Cataluña)
CUÁNDO: </t>
    </r>
    <r>
      <rPr>
        <rFont val="Arial"/>
        <strike/>
        <color theme="1"/>
        <sz val="9.0"/>
      </rPr>
      <t>Julio 2019</t>
    </r>
    <r>
      <rPr>
        <rFont val="Arial"/>
        <color theme="1"/>
        <sz val="9.0"/>
      </rPr>
      <t xml:space="preserve"> (según el contexto del artículo)
DÓNDE: Cataluña, España, específicamente afectando a:
- Diputación de Barcelona
- 26 ayuntamientos donde ERC desplazó a alcaldes neoconvergentes
- 7 ayuntamientos donde Junts desplazó a alcaldes republicanos
POR QUÉ: 
- Desacuerdos por pactos postelectorales municipales
- ERC critica el acuerdo de Junts con el PSC para la Diputación de Barcelona
- Junts critica los pactos de ERC que han desplazado a sus alcaldes
CÓMO:
- A través de pactos políticos postelectorales
- Mediante declaraciones públicas y negociaciones entre partidos
- Con propuestas de reversión de acuerdos que no llegaron a buen término
- Manteniendo la continuidad del gobierno catalán a pesar de las tensiones</t>
    </r>
  </si>
  <si>
    <t>Here's a brief summary of the article:
There's a major political crisis between Junts per Catalunya (JxCat) and Esquerra Republicana de Catalunya (ERC), the two main separatist parties in Catalonia's government. The crisis was triggered by post-electoral agreements, particularly JxCat's deal with PSC (Socialist Party) to govern the Barcelona Provincial Council.
Key points:
1. Elsa Artadi (JxCat spokesperson) admitted relations between the parties have "hit rock bottom"
2. ERC has made deals in 26 municipalities to displace JxCat mayors, while JxCat has done the same in 7 municipalities
3. The Barcelona Provincial Council agreement between JxCat and PSC particularly angered ERC, who see it as collaborating with a party that supported Article 155 (which suspended Catalan autonomy)
4. Despite the tension, both parties indicate the current Catalan government coalition isn't at risk, as they need each other ahead of the upcoming procés trial verdict
The crisis reflects growing competition between the two main pro-independence parties for leadership of the movement, though they're trying to maintain their coalition government despite their differences.</t>
  </si>
  <si>
    <t>El texto describe el dominio actual de Disney en la industria del entretenimiento y sus planes futuros. Los puntos principales son:
1. Disney domina la taquilla mundial en 2019, con las seis películas más exitosas del año, incluyendo "Vengadores: Endgame" como la película más taquillera de la historia.
2. Este éxito es resultado de 15 años de adquisiciones estratégicas:
- Pixar (2006) por $7.400 millones
- Marvel (2009) por $4.000 millones
- Lucasfilm (2012) por $4.000 millones
- Fox (2019) por $71.300 millones
3. La compañía está por lanzar Disney+, su plataforma de streaming, que competirá con Netflix y HBO ofreciendo contenido familiar exclusivo, incluyendo nuevas series de Star Wars y Marvel.
4. Sus próximos proyectos incluyen:
- Nuevas películas de Pixar (Onward y Soul)
- Frozen 2
- Star Wars: Episodio IX
- Nuevas películas de Marvel
- Adaptaciones live-action de clásicos animados
5. El único revés reciente ha sido la ruptura del acuerdo con Sony sobre Spider-Man, aunque esto no parece afectar significativamente su posición dominante en la industria del entretenimiento.
El texto subraya cómo Disney ha conseguido una posición sin precedentes en la industria del entretenimiento, controlando las franquicias más rentables y expandiéndose hacia el streaming.</t>
  </si>
  <si>
    <t>Aquí está un resumen con el contenido más relevante del texto:
Disney ha demostrado un dominio extraordinario de la industria del entretenimiento, especialmente en 2019, con las seis películas más taquilleras del año. Este éxito es resultado de una estrategia de adquisiciones clave durante 15 años: Pixar (2006), Marvel (2009), Lucasfilm (2012) y Fox (2019). 
La compañía ha conseguido explotar exitosamente estas marcas, generando ingresos significativos. Por ejemplo, las películas de Marvel han generado $18.000 millones en taquilla desde su adquisición. Disney se ha especializado en crear "películas-evento" que atraen al público a las salas.
Como siguiente paso estratégico, Disney lanzará su plataforma de streaming Disney+ (noviembre 2019 en EEUU, 2020 en España) por $7 mensuales, que incluirá contenido exclusivo de todas sus marcas. La plataforma ofrecerá nuevas series de Star Wars y Marvel, además de contenido familiar de Disney, Pixar y National Geographic.
La empresa mantiene una sólida línea de proyectos futuros que incluyen nuevas películas de Pixar (Onward, Soul), la conclusión de Star Wars, películas de Marvel (Black Widow, Eternals), y nuevas versiones de clásicos como Mulan y Cruella.</t>
  </si>
  <si>
    <t>Te presento un resumen del texto usando el método 5W1H:
QUÉ: Disney presenta sus novedades y demuestra su dominio en la industria del entretenimiento, revelando sus planes futuros que incluyen películas, series y el lanzamiento de su plataforma de streaming Disney+.
QUIÉN: The Walt Disney Company, bajo el liderazgo de Robert Iger y Alan Horn, junto con sus subsidiarias adquiridas (Pixar, Marvel, Lucasfilm, Fox) y numerosas estrellas de Hollywood.
CUÁNDO: El texto describe eventos durante la convención D23 de 2019, repasando la historia reciente de Disney (desde 2006) y anunciando proyectos hasta 2022.
DÓNDE: La convención D23 se realizó en el centro de convenciones de Anaheim, California, junto a Disneyland. Las operaciones principales de la compañía se desarrollan desde sus estudios en Burbank.
POR QUÉ: Disney busca mantener y expandir su dominio en la industria del entretenimiento, adaptándose a las nuevas tendencias de consumo y maximizando la explotación de sus marcas más reconocibles.
CÓMO: A través de:
- Adquisiciones estratégicas (Pixar, Marvel, Lucasfilm, Fox)
- Producción de películas-evento de gran presupuesto
- Lanzamiento de su propia plataforma de streaming (Disney+)
- Expansión de franquicias exitosas
- Desarrollo de contenido familiar exclusivo
- Inversión en nuevas producciones de sus marcas principales</t>
  </si>
  <si>
    <t>Te ofrezco un resumen de los puntos clave del artículo:
1. Disney demostró su dominio en la industria del entretenimiento durante la convención D23 en Anaheim. Las 6 películas más taquilleras de 2019 fueron suyas.
2. Este éxito es resultado de 15 años de adquisiciones estratégicas:
- Pixar (2006) por $7.400 millones
- Marvel (2009) por $4.000 millones
- Lucasfilm (2012) por $4.000 millones
- Fox (2019) por $71.300 millones
3. Disney se especializa en crear "películas-evento" que atraen al público a las salas, generando $8.000 millones en taquilla el año anterior.
4. La compañía lanzará Disney+ en noviembre de 2019 (en EEUU), su plataforma de streaming que incluirá contenido exclusivo de Disney, Pixar, Marvel, Lucasfilm y National Geographic por $7 mensuales.
5. Tienen una robusta línea de estrenos futuros que incluye:
- Nuevas series de Star Wars y Marvel para Disney+
- Películas de animación como Frozen 2
- Nuevas entregas de Marvel
- Adaptaciones live-action de clásicos animados
6. El único contratiempo reciente ha sido la ruptura del acuerdo con Sony por los derechos de Spider-Man.</t>
  </si>
  <si>
    <t>El texto describe las reacciones de varios artistas e intelectuales españoles tras el fracaso de la investidura de Pedro Sánchez como presidente del gobierno en julio de 2024. Estos personajes, que anteriormente habían firmado un manifiesto llamado "28 de abril, Tú decides" apoyando un gobierno progresista, expresan su decepción, rabia y tristeza por el resultado.
Los entrevistados, incluyendo a la cantante Zahara, el economista Carlos Berzosa, el actor Alberto San Juan, y varios artistas y escritores más, comparten sus perspectivas sobre el fracaso de las negociaciones entre el PSOE y Unidas Podemos. La mayoría considera que la responsabilidad es compartida entre ambos partidos, aunque algunos señalan más específicamente al PSOE.
Los firmantes expresan preocupación por la posibilidad de nuevas elecciones, temiendo que esto pueda desmovilizar al votante de izquierda y beneficiar a la derecha. Algunos mantienen la esperanza de un acuerdo antes del plazo del 23 de septiembre, mientras que otros ven esta posibilidad como remota. Una de las entrevistadas, la directora Chus Gutiérrez, incluso sugiere la intervención de mediadores profesionales para resolver el conflicto.</t>
  </si>
  <si>
    <t>El texto describe las reacciones de varios artistas e intelectuales españoles tras el fracaso de la investidura de Pedro Sánchez como presidente del gobierno en julio. Aquí están los puntos más relevantes:
1. Los firmantes de un manifiesto previo que pedía un gobierno progresista expresan decepción, desengaño y rabia por el fracaso de las negociaciones entre PSOE y Unidas Podemos.
2. La mayoría considera que la responsabilidad del fracaso es compartida entre ambos partidos, aunque hay opiniones divididas. Destacan la "masculinización" de la política y la teatralización del proceso.
3. Los entrevistados muestran preocupación por las consecuencias: temen que unas nuevas elecciones desmovilicen al votante de izquierdas y beneficien a la derecha.
4. A pesar de la decepción, varios de los firmantes insisten en la necesidad de seguir intentando un acuerdo antes del plazo límite (23 de septiembre) para evitar nuevas elecciones.
Este resumen captura los elementos más importantes del texto: el descontento de figuras culturales de izquierda, su análisis de la situación y su postura sobre el futuro inmediato del proceso político.</t>
  </si>
  <si>
    <r>
      <rPr>
        <rFont val="Arial"/>
        <color theme="1"/>
        <sz val="9.0"/>
      </rPr>
      <t xml:space="preserve">Te presento un resumen del texto usando el método 5W1H:
QUÉ: Reacciones de descontento y decepción de artistas e intelectuales ante el fracaso de la investidura de Pedro Sánchez como presidente del gobierno español.
QUIÉN: Diversos artistas y figuras culturales españolas, incluyendo:
- La cantante Zahara
- El economista Carlos Berzosa
- El actor Alberto San Juan
- La escritora Marta Sanz
- Los cineastas Chus Gutiérrez y Víctor García León
- El artista visual Abel Azcona
CUÁNDO: </t>
    </r>
    <r>
      <rPr>
        <rFont val="Arial"/>
        <strike/>
        <color theme="1"/>
        <sz val="9.0"/>
      </rPr>
      <t>Julio de 2024, específicamente tras el fracaso de la investidura el 25 de julio</t>
    </r>
    <r>
      <rPr>
        <rFont val="Arial"/>
        <color theme="1"/>
        <sz val="9.0"/>
      </rPr>
      <t>, en referencia a las elecciones celebradas el 28 de abril.
DÓNDE: España, principalmente en declaraciones recogidas por un periódico tras las sesiones en el Congreso de los Diputados.
POR QUÉ: La incapacidad de PSOE y Unidas Podemos para llegar a un acuerdo de gobierno, a pesar de haber firmado previamente un manifiesto ("28 de abril, Tú decides") que reclamaba un gobierno progresista.
CÓMO: A través de declaraciones y entrevistas donde expresan:
- Su frustración por el fracaso de las negociaciones
- Críticas a ambos partidos por su falta de acuerdo
- Preocupación por la posible repetición electoral
- Llamados a continuar buscando un acuerdo antes del 23 de septiembre para evitar nuevas elecciones</t>
    </r>
  </si>
  <si>
    <r>
      <rPr>
        <rFont val="Arial"/>
        <color theme="1"/>
        <sz val="9.0"/>
      </rPr>
      <t xml:space="preserve">Aquí está el resumen del artículo:
El texto describe la reacción de varios artistas e intelectuales españoles tras el fracaso de la investidura de Pedro Sánchez en julio de </t>
    </r>
    <r>
      <rPr>
        <rFont val="Arial"/>
        <strike/>
        <color theme="1"/>
        <sz val="9.0"/>
      </rPr>
      <t>2024</t>
    </r>
    <r>
      <rPr>
        <rFont val="Arial"/>
        <color theme="1"/>
        <sz val="9.0"/>
      </rPr>
      <t xml:space="preserve">. Estos personajes, que habían firmado un manifiesto pidiendo un gobierno progresista después de las elecciones del 28 de abril, expresan su decepción, rabia y tristeza por el fracaso de las negociaciones entre PSOE y Unidas Podemos.
Puntos principales:
1. La mayoría culpa a ambos partidos por el fracaso de las negociaciones
2. </t>
    </r>
    <r>
      <rPr>
        <rFont val="Arial"/>
        <strike/>
        <color theme="1"/>
        <sz val="9.0"/>
      </rPr>
      <t>Varios entrevistados critican la "masculinización" de la política</t>
    </r>
    <r>
      <rPr>
        <rFont val="Arial"/>
        <color theme="1"/>
        <sz val="9.0"/>
      </rPr>
      <t xml:space="preserve"> y el espectáculo de las negociaciones
3. Aunque hay división de opiniones, la mayoría insiste en la necesidad de seguir intentando un acuerdo para evitar nuevas elecciones
4. Existe preocupación de que unas nuevas elecciones puedan desmovilizar al votante de izquierda y beneficiar a la derecha
El artículo refleja un sentimiento general de frustración entre los intelectuales y artistas de izquierda que habían apoyado inicialmente la formación de un gobierno progresista.</t>
    </r>
  </si>
  <si>
    <t>El texto describe varias cuevas y sistemas cavernarios notables a nivel mundial:
La sima Krúbera-Voronya en Abjasia (Cáucaso Occidental) es actualmente la más profunda del mundo, alcanzando 2,191 metros de profundidad. Es técnicamente muy desafiante, con sifones y un paso estrecho a 1,600 metros.
Dark Star, en Uzbekistán, podría superarla con una profundidad estimada de 2,651 metros, aunque aún no ha sido completamente explorada. Es conocida como el "Everest subterráneo" y contiene importantes registros geológicos y climáticos.
En España, los Picos de Europa albergan importantes sistemas, incluyendo la torca del Cerro del Cuevón (-1,589 metros), la séptima más profunda del mundo. En 2016, se descubrió en Cantabria el pozo vertical más profundo de España, con 435.92 metros de caída libre.
También se menciona el sistema Wang Dong en China, explorado por primera vez en 2013, que destaca por sus inmensas salas como la Cloud Ladder Hall, que tiene su propio sistema meteorológico.</t>
  </si>
  <si>
    <t>El contenido más relevante de este texto se centra en las cuevas y simas más importantes del mundo. Aquí está el resumen con los puntos más significativos:
La sima Krúbera-Voronya, ubicada en Abjasia (Cáucaso Occidental), es actualmente la más profunda del mundo con 2,191 metros de profundidad. Es técnicamente muy difícil, con sifones y un estrecho paso de 40 centímetros a 1,600 metros de profundidad.
Dark Star, un sistema de cuevas en Uzbekistán, podría superar este récord, ya que se estima que podría alcanzar los 2,651 metros de profundidad, aunque aún no ha sido completamente explorado. Es conocido como el "Everest subterráneo".
En España, específicamente en los Picos de Europa, se encuentra la torca del Cerro del Cuevón, que con sus 1,589 metros de profundidad es la séptima más profunda del mundo. Además, en 2016 se descubrió en Cantabria el pozo vertical más profundo de España, con 435.92 metros de caída libre.</t>
  </si>
  <si>
    <t>Te presento un resumen usando el método 5W1H:
QUÉ: Exploración y descubrimientos de algunas de las cuevas y simas más profundas del mundo, incluyendo la sima Krúbera-Voronya (la más profunda conocida), Dark Star, la torca del Cerro del Cuevón, y las cavernas de Wang Dong.
QUIÉN: Varios exploradores y equipos notables:
- Gennadiy Samokhin (espeleólogo ucraniano)
- Jesús Calleja y su equipo de televisión
- Sergio García-Dils y su equipo de arqueólogos
- Espeleólogos del Espeleo Club Ábrigu y el Club Cántabro de Exploraciones Subterráneas
CUÁNDO: Diversos acontecimientos entre 2012 y 2016, siendo 2012 el año del récord de profundidad en Krúbera-Voronya.
DÓNDE: Diferentes ubicaciones alrededor del mundo:
- Sima Krúbera-Voronya en Abjasia (Cáucaso Occidental)
- Dark Star en Uzbekistán
- Torca del Cerro del Cuevón en Picos de Europa (España)
- Cavernas de Wang Dong en China
POR QUÉ: Para explorar y estudiar estas formaciones geológicas únicas, descubrir nuevas especies, establecer récords de profundidad y ampliar el conocimiento sobre los sistemas cavernarios del mundo.
CÓMO: Mediante expediciones espeleológicas técnicamente desafiantes, que requieren superar obstáculos como sifones, gateras estrechas y pozos verticales, algunas necesitando varios días para alcanzar las profundidades máximas.</t>
  </si>
  <si>
    <t>Aquí está el resumen (TLDR) de los puntos principales:
1. La sima Krúbera-Voronya en Abjasia (Cáucaso Occidental) es actualmente la cueva más profunda del mundo confirmada, con 2,191 metros de profundidad, explorada por Gennadiy Samokhin en 2012.
2. Dark Star en Uzbekistán podría superar este récord, con una profundidad estimada de 2,651 metros, aunque aún no ha sido completamente explorada.
3. En España, los Picos de Europa albergan importantes simas, destacando la torca del Cerro del Cuevón con -1,589 metros de profundidad, siendo la séptima más profunda del mundo.
4. En 2016 se descubrió en Cantabria el pozo vertical más profundo de España, con 435.92 metros de caída libre.
5. En China, las cavernas de Wang Dong, exploradas por primera vez en 2013, destacan por sus inmensas salas como la Cloud Ladder Hall, que tiene incluso su propio sistema meteorológico.</t>
  </si>
  <si>
    <t>Antonio Díaz, un hombre de 50 años, ha estado protestando diariamente en la Ciudad de la Justicia de Barcelona desde 2017. Su protesta, que consiste en gritar contra jueces, fiscales y la justicia en general, ha llevado al Tribunal Superior de Justicia de Cataluña (TSJC) a tomar medidas. El TSJC emitió una resolución ordenando a Díaz que se abstuviera de realizar actos que perturbaran la actividad normal en los edificios judiciales, incluyendo gritos e insultos. Desde entonces, ha sido detenido múltiples veces por los Mossos d'Esquadra.
La protesta de Díaz se debe a su disgusto por el embargo de la casa de sus padres, el cual atribuye a la actuación de entidades como el BBVA y Anticipa. Su camiseta, que antes era una pancarta, lleva mensajes contra estas empresas y contra la justicia, acusándola de estar "podrida".
La juez decana de Barcelona, Mercè Caso, presentó un informe sobre la alteración del orden y el funcionamiento de la justicia causada por los gritos de Díaz. El informe detalla las expresiones ofensivas utilizadas y cómo afectan al trabajo de los funcionarios. El TSJC, aunque reconoce la libertad de expresión, considera que Díaz debe abstenerse de impedir el trabajo normal de los jueces y funcionarios.
Se han intentado diversas opciones para resolver la situación, incluyendo diligencias penales, contacto con servicios sociales y reuniones con Díaz, pero nada ha funcionado. Díaz exige la devolución de la cláusula suelo de sus hipotecas y continúa su protesta a pesar de las detenciones y multas. Afirma que no tomará vacaciones en agosto y seguirá con su lucha.</t>
  </si>
  <si>
    <t>Antonio Díaz, un hombre de 50 años, protesta diariamente frente a la Ciudad de la Justicia de Barcelona en contra de la justicia y las instituciones judiciales. Su protesta, que dura más de dos años, ha llevado al Tribunal Superior de Justicia de Cataluña (TSJC) a tomar medidas, incluyendo su detención repetida por los Mossos d'Esquadra. Díaz alega que su protesta se debe a la pérdida de la casa de sus padres por embargos hipotecarios, y acusa a jueces y fiscales de corrupción y falta de acción. A pesar de las advertencias y detenciones, Díaz se mantiene firme en su protesta, desafiando las órdenes del TSJC y enfrentándose a posibles cargos por desobediencia.</t>
  </si>
  <si>
    <t>**Qué:** Antonio Díaz protesta diariamente en la Ciudad de la Justicia de Barcelona en contra de jueces, fiscales y la justicia en general.
**Quién:** Antonio Díaz, un hombre de 50 años, es el protagonista de esta historia. La juez decana de Barcelona, Mercè Caso, y el Tribunal Superior de Justicia de Cataluña (TSJC) también son actores clave.
**Cuándo:** Desde febrero de 2017, Antonio ha mantenido su protesta diaria. La resolución del TSJC se aprobó el 11 de junio, y desde entonces ha sido detenido varias veces.
**Dónde:** La protesta tiene lugar en la entrada de la Ciudad de la Justicia de Barcelona.
**Por qué:** Antonio protesta por el embargo del piso de sus padres, que atribuye a la actuación de entidades como el BBVA y Anticipa. Acusa a la justicia de estar "podrida" y de no permitir que los jueces y funcionarios trabajen con normalidad.
**Cómo:** Cada día, Antonio se presenta en la Ciudad de la Justicia con una botella de agua y grita contra jueces y fiscales. Ha sido detenido en múltiples ocasiones por los Mossos d'Esquadra, pero su protesta continúa. El TSJC ha aprobado una resolución para que cese su comportamiento, pero Antonio se mantiene firme en su lucha.</t>
  </si>
  <si>
    <t>Antonio Díaz, un hombre de 50 años, protesta diariamente frente a la Ciudad de la Justicia de Barcelona contra jueces, fiscales y la justicia en general. El Tribunal Superior de Justicia de Cataluña (TSJC) ha aprobado una resolución que ordena a Díaz abstenerse de gritar e insultar en las inmediaciones de los edificios judiciales, bajo amenaza de ser acusado de desobediencia. A pesar de las detenciones repetidas por parte de los Mossos d'Esquadra, Díaz continúa su protesta, alegando que la justicia está podrida y exigiendo la devolución de la cláusula suelo de sus hipotecas. La juez decana de Barcelona, Mercè Caso, ha emitido un informe sobre la alteración del orden y el funcionamiento de la justicia causada por Díaz, y el TSJC ha habilitado a Caso para requerir los medios necesarios para hacer cumplir la resolución. A pesar de los intentos de solución, incluyendo asistencia letrada gratuita, Díaz se niega a cesar su protesta y no planea tomarse vacaciones en agosto.</t>
  </si>
  <si>
    <t>El Estado mexicano ofrecerá una disculpa pública a Martha Camacho Loaiza, una exmiembro de la guerrilla Liga Comunista 23 de septiembre, quien fue torturada junto a su esposo en 1977. Con este acto, el gobierno de Andrés Manuel López Obrador reconoce la responsabilidad en las violaciones de derechos humanos durante la Guerra Sucia. Martha, quien fue arrestada y torturada mientras estaba embarazada, busca justicia y respuestas de los militares responsables. A pesar de los esfuerzos anteriores, como la creación de una fiscalía especializada, los resultados han sido insatisfactorios para las víctimas y sus familiares. Ahora, el gobierno de López Obrador busca hacer públicos los expedientes de la Guerra Sucia. Martha Camacho espera que este acto sirva para obtener respuestas y justicia, y destaca la importancia de reconocer al Estado como perpetrador. La memoria histórica en México sigue siendo un tema polémico, como lo demuestra la reciente destitución del historiador Pedro Salmerón por sus comentarios sobre la guerrilla.</t>
  </si>
  <si>
    <t>El Estado mexicano ofrecerá una disculpa pública a Martha Camacho Loaiza, una exintegrante de la Liga Comunista 23 de septiembre, quien fue torturada junto a su esposo durante 49 días en 1977. Con este acto, el gobierno reconoce su responsabilidad en las violaciones de derechos humanos cometidas durante la Guerra Sucia. Camacho, quien inició su búsqueda de justicia en el gobierno de Vicente Fox, quiere que los representantes militares respondan a sus preguntas y exige justicia y castigo para los culpables.</t>
  </si>
  <si>
    <r>
      <rPr>
        <rFont val="Arial"/>
        <color rgb="FF000000"/>
        <sz val="9.0"/>
      </rPr>
      <t xml:space="preserve">Qué: El Estado mexicano ofrecerá una disculpa pública a Martha Camacho Loaiza, una exguerrillera torturada durante la Guerra Sucia.
Quién: La Administración de Andrés Manuel López Obrador, la secretaria de Gobernación Olga Sánchez Cordero, el subsecretario Alejandro Encinas y Martha Camacho Loaiza.
Cuándo: Este lunes, </t>
    </r>
    <r>
      <rPr>
        <rFont val="Arial"/>
        <strike/>
        <color rgb="FF000000"/>
        <sz val="9.0"/>
      </rPr>
      <t>en el año 2025</t>
    </r>
    <r>
      <rPr>
        <rFont val="Arial"/>
        <color rgb="FF000000"/>
        <sz val="9.0"/>
      </rPr>
      <t>.
Dónde: En el Centro Cultural Tlatelolco, un lugar simbólico en la historia de México.
Por qué: Para reconocer la responsabilidad del gobierno en las violaciones de derechos humanos durante la Guerra Sucia y dar una segunda oportunidad a la memoria histórica.
Cómo: A través de una disculpa pública, con la presencia de autoridades gubernamentales y la participación de Camacho Loaiza, quien busca respuestas y justicia.</t>
    </r>
  </si>
  <si>
    <t>El gobierno mexicano se disculpará públicamente con Martha Camacho Loaiza, una exmiembro de la Liga Comunista 23 de Septiembre, quien fue torturada junto a su esposo durante la Guerra Sucia, un período de persecución a la guerrilla y movimientos sociales. La disculpa será ofrecida por la secretaria de Gobernación, Olga Sánchez Cordero, y el subsecretario Alejandro Encinas, reconociendo la responsabilidad gubernamental en violaciones de derechos humanos. Camacho, quien fue arrestada y torturada mientras estaba embarazada, busca justicia y respuestas de los militares sobre por qué fueron mantenidos en una zona militar y por qué su esposo fue mutilado frente a ella. La iniciativa del gobierno de López Obrador es abrir los expedientes de la Guerra Sucia y hacer públicos los documentos que estaban bajo vigilancia de inteligencia y el ejército. La Liga 23 de Septiembre fue un grupo marxista radical que recurrió a la toma de armas y acciones como asaltos a bancos, secuestros y asesinatos, incluyendo el del empresario Eugenio Garza Sada. La memoria histórica en México sigue siendo un tema polémico, como lo demuestra la reciente destitución del historiador Pedro Salmerón por sus comentarios sobre un intento de secuestro en 1973.</t>
  </si>
  <si>
    <t>El texto describe una conversación con un alto cargo del Ayuntamiento de Barcelona sobre varios problemas que afectan a la ciudad. El narrador comienza hablando sobre la invasión de perros y la falta de medidas para controlar la situación, mencionando la presencia de parques inaccesibles y la suciedad causada por las heces y orines caninos. También se toca el tema de la natalidad y cómo la falta de oportunidades económicas lleva a las parejas a criar perros en lugar de tener hijos.
A continuación, se aborda el problema del ruido en Barcelona, que se ha convertido en una característica casi institucionalizada de la ciudad. El narrador compara la situación con otras ciudades europeas más tranquilas y se pregunta por qué el Ayuntamiento no regula las actividades ruidosas. El alto cargo responde que no quieren prohibir la diversión de la gente, insinuando la existencia de un lobby que defiende estos intereses.
Por último, se discute el tema de la inseguridad en la ciudad, y el alto cargo menciona la presencia de una persona competente a cargo de la seguridad. El narrador expresa su preferencia por que la izquierda gestione estos asuntos en lugar de la derecha. La conversación termina sin una solución clara a los problemas mencionados.</t>
  </si>
  <si>
    <r>
      <rPr>
        <rFont val="Arial"/>
        <color rgb="FF000000"/>
        <sz val="9.0"/>
      </rPr>
      <t xml:space="preserve">El texto aborda varios problemas que afectan a la ciudad de Barcelona, pero el tema central y más relevante es la gestión de la convivencia y los conflictos urbanos, especialmente en lo que respecta a la presencia de perros, el ruido y la seguridad.
El autor destaca la falta de medidas efectivas por parte del Ayuntamiento para abordar estos problemas, que han ido agravándose con el tiempo. La invasión de perros, el ruido excesivo y la inseguridad son percibidos como una epidemia que afecta la calidad de vida de los ciudadanos.
A pesar de las conversaciones con un alto cargo municipal, no se vislumbran soluciones concretas, ya que se menciona la influencia de grupos de presión (lobbies) que impiden la implementación de medidas más estrictas. </t>
    </r>
    <r>
      <rPr>
        <rFont val="Arial"/>
        <strike/>
        <color rgb="FF000000"/>
        <sz val="9.0"/>
      </rPr>
      <t>El texto deja entrever una crítica a la inacción del Ayuntamiento y la necesidad de abordar estos temas de manera más contundente para mejorar la convivencia en la ciudad.</t>
    </r>
  </si>
  <si>
    <r>
      <rPr>
        <rFont val="Arial"/>
        <color rgb="FF000000"/>
        <sz val="9.0"/>
      </rPr>
      <t xml:space="preserve">**Qué:** El texto aborda varios problemas que afectan a la ciudad de Barcelona, como la invasión de perros, el ruido excesivo y la inseguridad.
**Quién:** El narrador, que mantiene una conversación con un alto cargo del Ayuntamiento de Barcelona, discute estos temas.
**Cuándo:** Antes de las últimas elecciones municipales, en una época en la que la inseguridad y otros problemas aún no se habían agravado.
**Dónde:** La conversación tiene lugar en Barcelona, </t>
    </r>
    <r>
      <rPr>
        <rFont val="Arial"/>
        <strike/>
        <color rgb="FF000000"/>
        <sz val="9.0"/>
      </rPr>
      <t>específicamente en el Ayuntamiento</t>
    </r>
    <r>
      <rPr>
        <rFont val="Arial"/>
        <color rgb="FF000000"/>
        <sz val="9.0"/>
      </rPr>
      <t>.
**Por qué:** El narrador quiere abordar temas que preocupan a los barceloneses y buscar soluciones a problemas como la presencia de perros, el ruido y la falta de medidas para mejorar la seguridad.
**Cómo:** El narrador plantea sus inquietudes al alto cargo, quien ofrece respuestas y justificaciones sobre la inacción del Ayuntamiento en estos asuntos. Se menciona la influencia de grupos de presión (lobbies) en la falta de medidas para controlar la presencia de perros y el ruido. La conversación también toca el tema de la natalidad y las oportunidades para las familias jóvenes.</t>
    </r>
  </si>
  <si>
    <t>El texto aborda varios problemas que afectan a la ciudad de Barcelona, incluyendo la presencia de perros, el ruido y la inseguridad. A continuación, se presenta un resumen de los temas tratados:
- Invasión de perros: Se discute la proliferación de perros en la ciudad, la falta de cumplimiento de ordenanzas y la creación de parques exclusivos para canes. Se menciona la influencia de los dueños de perros como un lobby que impide la implementación de medidas más estrictas.
- Ruido: Barcelona es considerada la ciudad más ruidosa de Europa, con actividades y eventos que generan ruido excesivo y molesto. El alto cargo justifica la falta de regulación como una forma de permitir la diversión de la gente, sin considerar el impacto en la calidad de vida de los ciudadanos.
- Inseguridad: Se toca brevemente el tema de la seguridad, destacando la presencia de una persona competente a cargo de este asunto. Se sugiere que la gestión de la seguridad por parte de la izquierda es preferible a la de la derecha.
En resumen, el texto expresa la preocupación por la falta de acción del Ayuntamiento de Barcelona frente a estos problemas, especialmente en lo que respecta a la influencia de grupos de interés (lobbies) que impiden la implementación de medidas efectivas.</t>
  </si>
  <si>
    <t>La industria vinícola chilena ha experimentado una transformación significativa en los últimos diez años, pasando de ser una producción masiva a convertirse en una referencia en el mundo del vino. La uva país y el pipeño, tradicionalmente menospreciados, se han convertido en emblemas de una revolución enológica. El texto describe el descubrimiento y fascinación por los vinos de uva país, destacando la labor de enólogos como Renán Cancino y Louis Antoine Luyt. Se mencionan diferentes vinos y bodegas chilenas, como Huaso de Sauzal, Huasa de Pilén Alto, J. Bauchon y Cacique Maravilla, y se resalta la importancia de la tradición y los métodos antiguos en la elaboración de estos vinos. La autora concluye que estos vinos representan el corazón de los nuevos vinos chilenos y su evolución hacia la calidad y la diferenciación.</t>
  </si>
  <si>
    <t>La industria vinícola chilena ha experimentado una transformación significativa en los últimos diez años, pasando de ser una producción masiva a convertirse en una referencia vinícola de renombre. La clave de esta revolución ha sido la reivindicación de la uva país y el pipeño, vinos tradicionales y humildes que han ganado reconocimiento y han marcado un antes y un después en la viticultura chilena.</t>
  </si>
  <si>
    <t>**Qué:** El texto describe la transformación de la industria vinícola chilena en los últimos diez años y la reivindicación de la uva país y los pipeños.
**Quién:** Enólogos como Renán Cancino, Louis Antoine Luyt, Cristian Sepúlveda, Manuel Moraga, Mauricio González y Roberto Henríquez han sido clave en esta revolución. La sumiller Macarena Lladser también ha contribuido a dar a conocer estos vinos.
**Cuándo:** En la última década, con un punto de inflexión hace seis años con la aparición de la uva país y los pipeños en el mercado.
**Dónde:** En Chile, específicamente en los valles vinícolas del Maule y Biobío.
**Por qué:** La industria vinícola chilena buscaba diferenciarse y establecer su propia identidad, dejando atrás las producciones masivas. La reivindicación de la uva país y los pipeños ha permitido resaltar la tradición y la cultura vitivinícola del país.
**Cómo:** A través de la recuperación de variedades antiguas como la uva país, y la elaboración de vinos con métodos tradicionales, como el zarandeo de las uvas y la fermentación en madera o cemento. Estos vinos han ganado reconocimiento y se han convertido en un símbolo de la nueva identidad vinícola chilena.</t>
  </si>
  <si>
    <t>¡Por supuesto! Aquí te dejo un resumen de la evolución y la importancia de la uva país y los vinos pipeños en Chile:
En los últimos diez años, la industria vinícola chilena ha experimentado una transformación significativa, pasando de ser una producción masiva destinada a supermercados a convertirse en una referencia vinícola de renombre. La clave de este cambio ha sido la entronización de la uva país y los vinos pipeños, que han pasado de ser despreciados a convertirse en emblemas de una revolución vinícola.
La uva país, la variedad más antigua del viñedo latinoamericano, llegó a Chile desde España y ha sido reivindicada como un símbolo del vino del pueblo. Los vinos pipeños, elaborados con esta uva, han ganado reconocimiento y han dejado de estar ausentes en las cartas de los restaurantes.
El trabajo de enólogos como Renán Cancino y Louis Antoine Luyt ha sido fundamental para el resurgimiento de la país. Cancino ha recuperado los viejos usos vinícolas, incluyendo el zarandeo de las uvas y la fermentación en cubas de raulí. Luyt, por su parte, es conocido por su papel en el redescubrimiento de la variedad y en la promoción de las viejas formas del vino.
En la actualidad, los vinos de uva país y pipeños se caracterizan por su rusticidad, acidez y profundidad. Son vinos elaborados con paciencia y respeto por las tradiciones, y reflejan el corazón de los nuevos vinos chilenos.
En resumen, la uva país y los vinos pipeños han experimentado un renacimiento en Chile, pasando de ser humildes y despreciados a convertirse en representantes de una revolución vinícola que mira al futuro con optimismo.</t>
  </si>
  <si>
    <t>PRISA, el grupo editor de EL PAÍS, ha vendido el 94,69% de Media Capital a la empresa portuguesa Cofina por 170 millones de euros. La operación valora a Media Capital en 255 millones, incluyendo deuda, y los fondos obtenidos se destinarán a reducir la deuda de PRISA, acelerando su plan de desapalancamiento. Media Capital, el mayor grupo de medios en Portugal, incluye canales de televisión, radios, sitios web y empresas de producción audiovisual. La venta, que aún requiere aprobaciones y autorizaciones, generará una pérdida contable estimada de 76,4 millones de euros para PRISA. Cofina, fundada en 1995, es dueña de varios periódicos y revistas en Portugal, así como de un canal de televisión por cable. La transacción confirma la estrategia de PRISA de reducir su endeudamiento y enfocarse en negocios rentables relacionados con la educación y la información.</t>
  </si>
  <si>
    <t>PRISA vende el 94,69% de Media Capital a Cofina por 170 millones de euros, destinando los fondos a reducir su deuda y enfocarse en negocios estratégicos de educación e información. La operación valora a Media Capital en 255 millones, incluyendo deuda, y confirma la hoja de ruta de PRISA para reducir su endeudamiento.</t>
  </si>
  <si>
    <t>Qué: PRISA ha acordado la venta de una parte significativa de Media Capital a Cofina.
Quién: PRISA, grupo editor de EL PAÍS, vende el 94,69% de Media Capital a la empresa portuguesa Cofina.
Cuándo: La fecha exacta no se especifica, pero la operación está en proceso y su ejecución depende de varias aprobaciones.
Dónde: La venta se refiere a activos en Portugal, ya que Media Capital es el mayor grupo de medios en ese país.
Por qué: PRISA busca reducir su endeudamiento y enfocar su estrategia en negocios de educación e información. La venta de Media Capital, considerada un activo no estratégico, generará fondos para amortizar deuda y acelerar el plan de desapalancamiento.
Cómo: La operación valora a Media Capital en 255 millones de euros, incluyendo deuda. Los fondos se destinarán a reducir la deuda de PRISA. La ejecución requiere aprobaciones de autoridades portuguesas y de los accionistas de ambas empresas.</t>
  </si>
  <si>
    <t>PRISA ha acordado vender el 94,69% de Media Capital a Cofina por 170 millones de euros. La operación valora a Media Capital en 255 millones de euros, incluyendo deuda. Los fondos de la venta se usarán para reducir la deuda de PRISA, acelerando su plan de desapalancamiento. La transacción está sujeta a aprobaciones regulatorias y de los accionistas, y resultará en una pérdida contable de aproximadamente 76,4 millones de euros para PRISA. Media Capital es el mayor grupo de medios en Portugal, propietario de TVI y su red de canales, así como de MCR, un grupo de radio líder. También incluye Media Capital Digital, Plural Entertainment y otras empresas relacionadas con la producción audiovisual. Cofina, por su parte, es una empresa portuguesa de medios con presencia en prensa, revistas y televisión por cable.</t>
  </si>
  <si>
    <t>El Málaga CF ha decidido terminar su relación laboral con José Luis Pérez Caminero, su director deportivo. Esta decisión se produce en medio de una crisis económica y deportiva que enfrenta el club, con problemas de descenso y una relación deteriorada entre el propietario, Al-Thani, y Caminero. El propietario frustró varios fichajes propuestos por Caminero, perdiendo así su confianza. El Málaga presentó un plan de viabilidad para asegurar su estabilidad financiera, pero Caminero no formará parte de este proyecto, siendo la primera salida importante en la nueva dirección del club, ahora liderada por asesores americanos. Caminero no logró el objetivo de ascender al Málaga a Primera División y su gestión ha sido cuestionada, especialmente tras la planificación de la plantilla en el verano. El club enfrenta una situación delicada y las instituciones políticas de Andalucía exigen una solución al propietario.</t>
  </si>
  <si>
    <r>
      <rPr>
        <rFont val="Arial"/>
        <color theme="1"/>
        <sz val="9.0"/>
      </rPr>
      <t xml:space="preserve">El Málaga CF ha decidido rescindir el contrato de su director deportivo, José Luis Pérez Caminero, </t>
    </r>
    <r>
      <rPr>
        <rFont val="Arial"/>
        <strike/>
        <color theme="1"/>
        <sz val="9.0"/>
      </rPr>
      <t>debido a la crisis y los problemas económicos que enfrenta el club</t>
    </r>
    <r>
      <rPr>
        <rFont val="Arial"/>
        <color theme="1"/>
        <sz val="9.0"/>
      </rPr>
      <t>. La relación entre el propietario y Caminero se había deteriorado, y el equipo se encuentra en una situación delicada, con riesgo de descenso a Segunda División B. La salida de Caminero es un reflejo de los constantes cambios de rumbo en la gestión del club por parte del jeque Al-Thani.</t>
    </r>
  </si>
  <si>
    <t>Qué: El Consejo de Administración del Málaga CF ha decidido finalizar la relación laboral con José Luis Pérez Caminero, su director deportivo.
Quién: El Consejo de Administración, encabezado por el propietario del club, el jeque Al-Thani, tomó la decisión. Caminero era el director deportivo del Málaga.
Cuándo: La noticia se hizo pública a primera hora de la mañana, y la decisión se tomó colectivamente. Caminero recibió la noticia el viernes anterior.
Dónde: En el Málaga CF, un club de fútbol andaluz.
Por qué: Debido al nuevo rumbo que está tomando el club y a la crisis económica que enfrenta, con problemas de inscripción de jugadores y un plan de viabilidad para asegurar su supervivencia. La relación entre Al-Thani y Caminero se había roto, y el propietario frustró muchas de las operaciones del director deportivo, perdiendo así su confianza.
Cómo: El Málaga emitió un comunicado oficial anunciando la salida de Caminero y ya ha iniciado el proceso para contratar a un nuevo director deportivo. La decisión se tomó de manera colectiva y se comunicó al afectado el viernes.</t>
  </si>
  <si>
    <t>El Málaga CF ha despedido a su director deportivo, José Luis Pérez Caminero, debido a desacuerdos con el propietario, el jeque Al-Thani, y a la situación económica y deportiva del club. Caminero, que llegó en 2018, no pudo cumplir el objetivo de ascender al equipo a Primera División y su relación con Al-Thani se deterioró tras la confección de la plantilla este verano. El Málaga, con problemas económicos y en puestos de descenso, ha ofrecido un plan de viabilidad a LaLiga y ahora es dirigido por asesores americanos. La salida de Caminero es la primera de una serie de cambios en el club, que lucha por su supervivencia en Segunda División.</t>
  </si>
  <si>
    <t>Junts per Catalunya y ERC, socios del Gobierno catalán, enfrentan una crisis grave debido a los pactos postelectorales. La diputada Elsa Artadi admite que la relación entre ambos partidos separatistas está en su punto más bajo. El conflicto surge por un pacto entre Junts per Catalunya y el PSC para gobernar la Diputación de Barcelona, lo que ha generado desavenencias y un intercambio de declaraciones en redes sociales. Junts per Catalunya acusa a ERC de sellar pactos en 26 ayuntamientos para desplazar a alcaldes neoconvergentes, mientras que Junts ha hecho lo mismo en siete municipios. Junts y sus representaciones piden a ERC que revirtieran estos acuerdos y garantizaran la unidad estratégica del independentismo. ERC ofrece la presidencia de la Diputación a Junts, pero esto depende de los comunes, que apuestan por un tripartito de izquierdas. El PSC critica la contraoferta de ERC, considerando que es una "subasta" del cargo. Esta crisis es la tercera entre los socios y se produce tras un ciclo electoral en el que han competido por la hegemonía del independentismo. La tensión continuará en la sesión semanal del Govern, pero ambos partidos se necesitan ante la sentencia del procés.</t>
  </si>
  <si>
    <t>**Qué:** Junts per Catalunya y ERC, socios del Govern de la Generalitat de Cataluña, atraviesan una crisis grave debido a los pactos postelectorales.
**Quién:** La diputada Elsa Artadi, portavoz del Gobierno catalán, y los representantes de Junts per Catalunya y ERC, incluyendo a Ferran Bel y Pere Aragonès.
**Cuándo:** La crisis se desencadenó tras el pacto entre Junts per Catalunya y el PSC para gobernar la Diputación de Barcelona, y se ha intensificado en los días posteriores.
**Dónde:** La mayoría de los eventos tienen lugar en Barcelona y en el Parlament de Cataluña.
**Por qué:** La causa de la crisis es el desacuerdo entre los partidos separatistas sobre los pactos postelectorales. Junts per Catalunya está molesto por los acuerdos de ERC con otros partidos para desplazar a alcaldes neoconvergentes, mientras que ERC critica el pacto de Junts con el PSC para la Diputación.
**Cómo:** La crisis se ha manifestado a través de declaraciones públicas, reuniones y negociaciones entre los partidos. Junts per Catalunya ha propuesto una agenda para revertir los acuerdos y garantizar la unidad estratégica del independentismo, mientras que ERC ofrece la presidencia de la Diputación a Junts, pero la decisión final depende de los comunes. La tensión se mantendrá en la sesión semanal del Govern, pero ambos partidos buscan evitar una crisis mayor a pocos meses de la sentencia del procés.</t>
  </si>
  <si>
    <t>La crisis entre los socios de gobierno en Cataluña, Junts per Catalunya y ERC, se agudiza debido a los pactos postelectorales. La diputada Elsa Artadi admite que la relación entre ambos partidos ha tocado fondo y que la unión entre los separatistas está más lejana que nunca. El conflicto surge tras el acuerdo entre Junts per Catalunya y el PSC para gobernar la Diputación de Barcelona, lo que ha provocado un cruce de declaraciones y desavenencias entre los socios.
Junts per Catalunya acusa a ERC de sellar pactos en 26 ayuntamientos para desplazar a alcaldes neoconvergentes, mientras que ellos han desbancado a siete primeros ediles republicanos. Junts pide a ERC que acepte una agenda para revertir estos acuerdos y garantice la unidad estratégica del independentismo. Artadi sugiere que ERC podría empezar por Sant Cugat, Tàrrega y Figueres, ahora en manos de ERC.
ERC, por su parte, ofrece la presidencia de la Diputación a Junts per Catalunya, pero esto depende de los comunes, que apuestan por un tripartito de izquierdas. El PSC critica la contraoferta de ERC, considerando que es una subasta del cargo.
Esta crisis es la tercera de calado entre los socios desde que comenzó la legislatura, y se produce tras un ciclo electoral en el que han competido por la hegemonía del independentismo. La tensión entre ambos partidos se trasladará hoy al Govern, pero se espera que no haya una ruptura total, ya que ambos se necesitan ante la inminente sentencia del procés.</t>
  </si>
  <si>
    <t>Disney, tras un año extraordinario en el que sus películas han dominado la taquilla, responde a las dudas sobre su tamaño con una demostración de poder. La compañía ha adquirido a lo largo de los años estudios y marcas reconocibles como Pixar, Marvel, Lucasfilm y Fox, lo que le permite controlar y explotar franquicias populares. Con ingresos brutos de $59.000 millones en 2019, Disney ha entendido que la gente acude al cine solo por las películas-evento, por lo que se ha especializado en producir este tipo de películas. Ahora, la compañía se propone también dominar la guerra de las plataformas de streaming con el lanzamiento de Disney+, que incluirá todo el contenido de Disney, Pixar, Lucasfilm, Marvel y National Geographic. Durante la convención D23, Disney presentó sus próximos proyectos, incluyendo series de televisión basadas en Marvel y Star Wars, así como nuevas películas de Pixar, Disney y Marvel. Sin embargo, esta semana Sony anunció la ruptura de su acuerdo con Disney para la explotación del personaje de Spiderman, lo que ha causado decepción entre los fans. A pesar de esto, el futuro de Disney parece prometedor y su dominio en la cultura popular es evidente.</t>
  </si>
  <si>
    <t>Disney, con su dominio en la industria del entretenimiento, ha logrado un éxito extraordinario a través de adquisiciones estratégicas y una visión clara para explotar marcas reconocidas. La compañía ha dominado la taquilla con películas taquilleras y ahora se expande a la guerra de plataformas de streaming con Disney+, ofreciendo contenido familiar y exclusivo. Con un poder sin precedentes en la cultura popular, Disney planea utilizar sus franquicias más populares, como Marvel y Star Wars, para competir con Netflix y HBO, y seguir dominando la industria del entretenimiento.</t>
  </si>
  <si>
    <t>Qué: La compañía Disney presenta sus novedades y responde a las dudas sobre su tamaño y dominio en la industria del entretenimiento.
Quién: Disney, con su CEO Robert Iger, y las estrellas de Hollywood como Robert Downey Jr., Tom Holland, entre otros.
Cuándo: Durante la convención D23 de 2019, que se celebra cada dos años, y en el contexto de los últimos años de adquisiciones y éxitos de la empresa.
Dónde: En un pabellón del centro de convenciones de Anaheim, California, al lado de Disneyland.
Por qué: Para mostrar su poderío y responder a las críticas sobre su tamaño y estrategia. Disney ha entendido que la gente busca películas-evento y se ha especializado en ello, dominando la cultura popular.
Cómo: A través de la presentación de sus próximas películas y series, incluyendo franquicias como Marvel, Star Wars, Pixar y Disney Animation. También lanzarán su propio servicio de streaming, Disney+, para competir en la guerra de plataformas.</t>
  </si>
  <si>
    <t>Disney ha tenido un año extraordinario, con seis de las películas más taquilleras de 2019 procedentes de sus estudios. La compañía ha crecido a través de adquisiciones estratégicas, incluyendo Pixar, Marvel, Lucasfilm y Fox, lo que le permite controlar marcas populares y decidir su futuro. Disney entiende que la gente busca películas-evento y se ha especializado en producirlas, generando ingresos significativos en taquilla. Ahora, la compañía se propone lanzar su propio servicio de streaming, Disney+, con contenido familiar y exclusivo, incluyendo series de Marvel y Star Wars. A pesar de su éxito, Sony ha decidido romper su acuerdo con Disney para la explotación conjunta del personaje de Spiderman.</t>
  </si>
  <si>
    <r>
      <rPr>
        <rFont val="Arial"/>
        <color theme="1"/>
        <sz val="9.0"/>
      </rPr>
      <t xml:space="preserve">El texto describe la decepción y la rabia de un grupo de artistas, escritores e intelectuales de izquierda tras el fracaso de la investidura de Pedro Sánchez. Estos firmantes de un manifiesto que pedía un gobierno progresista expresan su amargura y su desengaño ante la incapacidad de PSOE y Unidas Podemos (UP) para llegar a un acuerdo. 
Entre las opiniones recogidas, destacan las de Zahara, quien expresa su tristeza y su sensación de falta de empatía por parte de los políticos. Carlos Berzosa, economista y exrector, lamenta la pérdida de ilusión y culpa a los políticos de cargársela. Alberto San Juan, actor y director teatral, admite que ha sido un duro golpe. Marta Sanz, escritora, cree que el fracaso beneficia a la derecha y a los defensores del bipartidismo. 
Los entrevistados culpan a ambos partidos del naufragio y piden que dejen de echarse la culpa mutuamente. Chus Gutiérrez, directora de cine, critica la masculinización de la política y la falta de flexibilidad. Víctor García León, también cineasta, ve una escenificación para echar culpas. Abel Azcona, artista visual, </t>
    </r>
    <r>
      <rPr>
        <rFont val="Arial"/>
        <strike/>
        <color theme="1"/>
        <sz val="9.0"/>
      </rPr>
      <t>culpa</t>
    </r>
    <r>
      <rPr>
        <rFont val="Arial"/>
        <color theme="1"/>
        <sz val="9.0"/>
      </rPr>
      <t xml:space="preserve"> al PSOE de poner trabas y </t>
    </r>
    <r>
      <rPr>
        <rFont val="Arial"/>
        <strike/>
        <color theme="1"/>
        <sz val="9.0"/>
      </rPr>
      <t>a Podemos de hacer concesiones.</t>
    </r>
    <r>
      <rPr>
        <rFont val="Arial"/>
        <color theme="1"/>
        <sz val="9.0"/>
      </rPr>
      <t xml:space="preserve"> 
A pesar de todo, algunos insisten en la necesidad de un acuerdo para evitar unas nuevas elecciones, que ven como una alternativa suicida para la izquierda. Chus Gutiérrez sugiere la ayuda de mediadores profesionales para lograr un acuerdo.</t>
    </r>
  </si>
  <si>
    <t>El texto refleja la decepción y la preocupación de un grupo de artistas, escritores e intelectuales de izquierda tras el fracaso de la investidura de Pedro Sánchez y la incapacidad de PSOE y Unidas Podemos para formar un gobierno progresista. El manifiesto firmado por estos intelectuales hace un llamado a la unidad y al entendimiento entre los partidos de izquierda, pero la realidad política ha llevado a una situación de bloqueo y frustración. El debate se centra en la responsabilidad compartida de ambos partidos y en la necesidad de encontrar una solución para evitar unas nuevas elecciones que podrían beneficiar a la derecha.</t>
  </si>
  <si>
    <t>**Qué:** Artistas, escritores e intelectuales expresan su decepción y rabia tras el fracaso de la investidura de Pedro Sánchez y el estancamiento de las negociaciones entre el PSOE y Unidas Podemos.
**Quién:** Zahara, cantante; Carlos Berzosa, economista y exrector; Alberto San Juan, actor y director teatral; Marta Sanz, escritora; Chus Gutiérrez, directora de cine; Víctor García León, cineasta; Abel Azcona, artista visual; y otros firmantes del manifiesto "28 de abril, Tú decides".
**Cuándo:** Tras el fracaso de la investidura de Pedro Sánchez el 25 de julio (25-J), 10 días después de la firma del manifiesto.
**Dónde:** En España, con repercusiones en la izquierda cultural y política.
**Por qué:** La falta de acuerdo entre los partidos de izquierda ha generado una sensación de amargura y desilusión. Los firmantes del manifiesto creen que ambos partidos son responsables y que la falta de empatía y estrategia ha llevado a esta situación.
**Cómo:** Los artistas y escritores expresan su opinión a través de declaraciones y entrevistas, criticando la falta de participación real y la escenificación de las negociaciones. Sugieren la necesidad de una propuesta flexible de Podemos y la intervención de mediadores profesionales para facilitar un acuerdo.</t>
  </si>
  <si>
    <t>La izquierda española se siente decepcionada, desilusionada y enfadada tras el fracaso de la investidura de Pedro Sánchez. Artistas, escritores e intelectuales que firmaron un manifiesto para reclamar un gobierno progresista expresan su decepción y rabia. Consideran que la responsabilidad del naufragio es compartida entre el PSOE y Unidas Podemos, y que la falta de acuerdo es un fracaso para la izquierda. A pesar de ello, insisten en la necesidad de seguir empujando para lograr un gobierno progresista y evitar unas nuevas elecciones que podrían favorecer a la derecha.</t>
  </si>
  <si>
    <t>El texto habla sobre algunas de las cavernas y simas más profundas y técnicas del mundo. Se destaca la sima Krúbera-Voronya en Abjasia, que con sus 2.191 metros de profundidad es la más profunda conocida hasta la fecha. También se menciona a Dark Star en Uzbekistán, que podría superar esta marca con una profundidad estimada de 2.651 metros. En España, se destaca el descubrimiento del pozo más profundo, con 435,92 metros, en Ruesga, Cantabria. Además, se mencionan las cavernas de Wang Dong en China, con salas inmensas y simas verticales, y las simas del macizo central de Picos de Europa, como la torca del Cerro del Cuevón, que es la séptima más profunda del mundo.</t>
  </si>
  <si>
    <t>El texto se centra en la exploración y descubrimiento de algunas de las cavernas y simas más profundas y técnicas del mundo, destacando sus características únicas y los logros de los exploradores.</t>
  </si>
  <si>
    <t>Qué: Se resume la información sobre las cuevas y simas más profundas y técnicas del mundo, así como los descubrimientos y exploraciones realizadas en ellas.
Quién: Gennadiy Samokhin, Jesús Calleja, Sergio García-Dils, espeleólogos y equipos de exploración.
Cuándo: En 2012, 2013, 2015 y 2016 se produjeron los eventos clave mencionados.
Dónde: La sima Krúbera-Voronya en Abjasia, Dark Star en Uzbekistán, el macizo de Gagra en el Cáucaso Occidental, el macizo central de Picos de Europa en España, las cavernas de Wang Dong en China, y otras ubicaciones en España y China.
Por qué: Se exploran estas cuevas para descubrir sus secretos, especies únicas, y para desafiar los límites de la espeleología.
Cómo: A través de expediciones y exploraciones subterráneas, utilizando técnicas especializadas y enfrentando desafíos como sifones y espacios estrechos.</t>
  </si>
  <si>
    <t>La Sima Krúbera-Voronya en Abjasia es la más profunda del mundo, con 2.191 metros. En 2015, se descubrieron 12 nuevas especies de invertebrados en este complejo cavernario. Dark Star en Uzbekistán podría ser aún más profunda, con una estimación de 2.651 metros. En España, la torca del Cerro del Cuevón en los Picos de Europa es la séptima más profunda del mundo, con -1.589 metros. En 2016, se descubrió en Ruesga (Cantabria) el pozo más profundo de España, con 435,92 metros. Las cavernas de Wang Dong en China son un vasto complejo de galerías con salas inmensas y simas verticales.</t>
  </si>
  <si>
    <t>Antonio Díaz, de 50 años, lleva protestando desde 2017 frente a la Ciudad de la Justicia de Barcelona contra jueces, fiscales y la justicia en general. Su descontento surge del embargo del piso de sus padres debido a problemas hipotecarios con BBVA y Anticipa. Aunque el Tribunal Superior de Justicia de Cataluña (TSJC) ha prohibido sus protestas por alterar el funcionamiento judicial, Antonio sigue manifestándose y ha sido detenido 17 veces desde que la orden se hizo efectiva en julio. A pesar de los intentos de los Mossos y del TSJC por detener sus acciones, incluyendo asistencia social y legal, Antonio persiste en su demanda por la devolución de su cláusula suelo hipotecaria. Admite que ahora grita menos debido a las frecuentes detenciones, pero asegura que no dejará de protestar.</t>
  </si>
  <si>
    <t>Antonio Díaz, un hombre de 50 años, protesta desde 2017 frente a la Ciudad de la Justicia de Barcelona contra jueces, fiscales y el sistema judicial. Su protesta surge por el embargo de la casa de sus padres debido a problemas con hipotecas relacionadas con el BBVA y Anticipa. Aunque el Tribunal Superior de Justicia de Cataluña (TSJC) le ha ordenado cesar sus gritos e insultos por perturbar la actividad judicial, Antonio ha sido detenido 17 veces desde julio, pero sigue firme en su objetivo. 
A pesar de intentos de diálogo, asistencia letrada gratuita y medidas legales, su protesta continúa. El TSJC argumenta que afecta el trabajo de los funcionarios, y la juez decana Mercè Caso lamenta la falta de acción más contundente. Antonio admite que ahora modera sus expresiones, aunque sigue siendo detenido con frecuencia. Él insiste en que no descansará hasta que se resuelva su reclamo sobre las cláusulas suelo de sus hipotecas.</t>
  </si>
  <si>
    <t>### Resumen usando el método de las 5W1H:
- **Qué:**  
Antonio Díaz lleva a cabo una protesta constante contra jueces, fiscales y la justicia en general por el embargo del piso de sus padres debido a hipotecas vinculadas a BBVA y Anticipa. Utiliza gritos, camisetas con mensajes y su presencia diaria frente a la Ciudad de la Justicia.
- **Quién:**  
Antonio Díaz, un hombre de 50 años, afectado por problemas hipotecarios que llevaron al embargo de la casa de sus padres.
- **Cuándo:**  
Desde febrero de 2017, Antonio protesta diariamente. La resolución del TSJC que limita sus actos se aprobó el 11 de junio y se hizo efectiva el 8 de julio. Desde entonces ha sido detenido 17 veces.
- **Dónde:**  
Frente a la Ciudad de la Justicia en Barcelona, donde Antonio realiza sus protestas.
- **Por qué:**  
Antonio está indignado por lo que considera una injusticia en el sistema judicial y financiero que provocó la pérdida de la vivienda de sus padres. Reclama la devolución de la cláusula suelo de sus hipotecas.
- **Cómo:**  
Protesta con gritos e insultos, ahora más controlados para evitar arrestos inmediatos. Aunque se han intentado medidas legales, sociales y penales para resolver la situación, Antonio sigue firme en su propósito.</t>
  </si>
  <si>
    <t>Antonio Díaz, de 50 años, lleva protestando desde 2017 en la entrada de la Ciudad de la Justicia de Barcelona por el embargo del piso de sus padres debido a problemas hipotecarios. Se pasea diariamente con una camiseta en la que denuncia al BBVA, Anticipa y el sistema judicial, gritando contra jueces y fiscales. A pesar de una resolución del TSJC que le prohíbe perturbar el funcionamiento de los juzgados, Antonio ha sido detenido 17 veces por los Mossos desde julio de 2019 por desobediencia. Afirma que no le importa ser arrestado, ya que busca justicia y la devolución de su cláusula suelo. La jueza decana asegura que su protesta altera la normalidad del trabajo judicial, pero Antonio se mantiene firme y dice que no se tomará vacaciones.</t>
  </si>
  <si>
    <t>El Estado mexicano ofrecerá una disculpa pública a Martha Camacho Loaiza, una exintegrante de la guerrilla Liga Comunista 23 de Septiembre, torturada junto a su esposo en 1977 durante la Guerra Sucia, un periodo en el que el gobierno persiguió movimientos sociales y guerrilleros. Este acto, encabezado por funcionarios del gobierno de Andrés Manuel López Obrador, representa el reconocimiento oficial de las violaciones graves de derechos humanos cometidas por el Estado en ese tiempo. Camacho, quien fue testigo de la tortura y ejecución de su esposo, busca justicia desde hace décadas y considera este evento un paso importante, aunque insuficiente sin castigo para los responsables. Además, el gobierno actual pretende hacer públicos los expedientes de la Guerra Sucia, un esfuerzo que otros gobiernos no concretaron. La memoria histórica en México sigue siendo un tema controvertido.</t>
  </si>
  <si>
    <t>El texto narra que el Gobierno de México, liderado por Andrés Manuel López Obrador, ofrecerá una disculpa pública a Martha Camacho Loaiza, exintegrante de la guerrilla Liga Comunista 23 de Septiembre, quien fue torturada junto a su esposo en 1977 durante la Guerra Sucia. Este acto histórico, encabezado por la secretaria de Gobernación Olga Sánchez Cordero, reconoce la responsabilidad estatal en graves violaciones a los derechos humanos durante ese periodo de represión contra movimientos sociales y guerrilleros. Camacho, quien fue testigo de la tortura y ejecución de su esposo en instalaciones militares, busca justicia tras décadas de impunidad. 
El evento simboliza un cambio en la política de memoria histórica, luego de esfuerzos fallidos en gobiernos anteriores, y contempla la apertura de expedientes de la Guerra Sucia. A pesar de la disculpa, Camacho enfatiza que sin justicia ni castigo a los responsables no puede haber perdón. La disculpa se enmarca en el contexto más amplio de las heridas aún abiertas en México sobre su pasado autoritario y la represión política.</t>
  </si>
  <si>
    <t>### Resumen con el método 5W1H:
- **¿Qué?**  
  México ofrece una disculpa pública por violaciones de derechos humanos cometidas durante la Guerra Sucia, reconociendo la responsabilidad del Estado en actos como tortura, detenciones y ejecuciones. El evento busca reparar a Martha Camacho Loaiza, una exguerrillera que fue torturada junto a su esposo en 1977.
- **¿Quién?**  
  Martha Camacho Loaiza, exintegrante de la guerrilla Liga Comunista 23 de Septiembre, es la principal figura del acto. La disculpa será presentada por Olga Sánchez Cordero, secretaria de Gobernación, y Alejandro Encinas, subsecretario de Derechos Humanos, en representación del gobierno de Andrés Manuel López Obrador.
- **¿Cuándo?**  
  El acto tendrá lugar al mediodía del lunes.
- **¿Dónde?**  
  En el Centro Cultural Tlatelolco, un lugar simbólico por la represión del movimiento estudiantil el 2 de octubre de 1968.
- **¿Por qué?**  
  Para reconocer oficialmente la culpabilidad del Estado en violaciones de derechos humanos durante la Guerra Sucia, en un esfuerzo por enfrentar el pasado autoritario y brindar justicia histórica.
- **¿Cómo?**  
  Mediante una disculpa pública en un acto oficial, con la participación de altos funcionarios del gobierno, y comprometiéndose a abrir expedientes históricos para esclarecer los hechos. Martha Camacho busca respuestas y justicia, aunque afirma que sin castigo para los responsables, no puede haber perdón.</t>
  </si>
  <si>
    <r>
      <rPr>
        <rFont val="Arial"/>
        <color rgb="FF000000"/>
        <sz val="9.0"/>
      </rPr>
      <t xml:space="preserve">El Gobierno de México, encabezado por Andrés Manuel López Obrador, ofrecerá una disculpa pública a Martha Camacho Loaiza, exmiembro de la guerrilla Liga Comunista 23 de Septiembre, quien fue torturada junto a su esposo en 1977. Este acto histórico reconoce las violaciones de derechos humanos cometidas durante la Guerra Sucia, periodo en el que el Estado persiguió guerrillas y movimientos sociales. Camacho busca justicia tras décadas de impunidad, incluida la tortura y ejecución de su esposo. El evento se celebrará en el Centro Cultural Tlatelolco, un lugar simbólico por la represión del movimiento estudiantil en 1968. </t>
    </r>
    <r>
      <rPr>
        <rFont val="Arial"/>
        <strike/>
        <color rgb="FF000000"/>
        <sz val="9.0"/>
      </rPr>
      <t>Aunque se han abierto expedientes, muchos delitos han prescrito, lo que ha dejado a las víctimas sin respuestas ni justicia.</t>
    </r>
  </si>
  <si>
    <t>El texto relata una conversación entre el autor y un alto cargo del Ayuntamiento de Barcelona, abordando varios problemas de la ciudad. Primero se discute la proliferación de perros y los problemas asociados, como suciedad en parques y aceras. Aunque hay ordenanzas, no se toman medidas firmes porque los dueños de perros se han convertido en un "lobby" con influencia política. 
Luego, se aborda el ruido, destacando que Barcelona es la ciudad más ruidosa de Europa. Este problema se relaciona con una permisividad hacia actividades ruidosas y la falta de regulación por parte del Ayuntamiento, que justifica esta actitud como una forma de permitir entretenimiento en tiempos de crisis económica.
Finalmente, se toca brevemente el tema de la inseguridad, considerada una cuestión compleja que el Ayuntamiento intenta gestionar con personal capacitado, aunque sin acciones claras. En general, el texto refleja una mezcla de resignación y falta de iniciativas contundentes frente a estos problemas urbanos.</t>
  </si>
  <si>
    <t>**Resumen:**  
El texto narra una conversación con un alto cargo del Ayuntamiento de Barcelona sobre tres problemas principales: la proliferación de perros, el ruido y la inseguridad en la ciudad. 
1. **Perros:** Se discute la creciente cantidad de perros en Barcelona, los problemas asociados (excrementos, orines, y ocupación de parques) y la falta de acción del Ayuntamiento, que lo atribuye al poder del "lobby" de dueños de perros. Aunque existen ordenanzas, no se hacen cumplir. Incluso se han habilitado espacios exclusivos para perros en lugar de construir viviendas sociales.  
2. **Ruido:** Barcelona es descrita como la ciudad más ruidosa de Europa. Se critica la permisividad del Ayuntamiento hacia actividades ruidosas, especialmente en verano, bajo el argumento de que privar a los ciudadanos de estas diversiones, en un contexto de precariedad económica, sería injusto.  
3. **Inseguridad:** Aunque se reconoce que la seguridad es un problema creciente, el Ayuntamiento asegura tener a una persona competente a cargo, pero parece resignado frente a los desafíos.  
En general, el Ayuntamiento se muestra limitado o resignado frente a estos problemas, muchas veces priorizando intereses electorales o evitando enfrentarse a ciertos grupos influyentes.</t>
  </si>
  <si>
    <t>### Resumen 5W1H:
**¿Qué?**  
El texto relata una conversación entre el autor y un alto cargo del Ayuntamiento de Barcelona sobre tres problemas que afectan a la ciudad: la proliferación de perros y sus impactos (suciedad y uso del espacio público), el ruido excesivo, y la inseguridad.
**¿Quién?**  
El autor y un alto cargo del Ayuntamiento de Barcelona.
**¿Cuándo?**  
Antes de las últimas elecciones municipales.
**¿Dónde?**  
En Barcelona, con referencias específicas a lugares como el Paseo de Sant Joan y Travessera de Gràcia.
**¿Por qué?**  
El autor busca respuestas sobre medidas que el Ayuntamiento podría implementar para abordar estas problemáticas urbanas que generan incomodidad entre los ciudadanos.
**¿Cómo?**  
La conversación aborda las dificultades del Ayuntamiento para actuar debido a la influencia de lobbies (como los dueños de perros o los promotores de actividades ruidosas) y la priorización de evitar conflictos electorales. Las respuestas reflejan una postura de resignación o incapacidad para implementar soluciones contundentes.</t>
  </si>
  <si>
    <t>Antes de las elecciones municipales, un alto cargo del Ayuntamiento de Barcelona discutió con el autor sobre problemas de la ciudad. Se abordaron temas como:
1. **Problemas con perros**: Creciente número de perros en la ciudad, parques y aceras deterioradas, cacas y orines por doquier. Aunque hay ordenanzas, no se aplican, y el alto cargo confesó que los dueños de perros forman un lobby influyente que el Ayuntamiento no quiere enfrentar para no perder votos. Se opta por evitar que la situación empeore.
2. **Ruido urbano**: Barcelona es la ciudad más ruidosa de Europa, con festividades desreguladas y molestias constantes. El alto cargo justificó que no se regula porque “quitar el circo” a los ciudadanos sería cruel, dado que ya enfrentan precariedad laboral y social.
3. **Inseguridad**: Aunque reconoció que la percepción de inseguridad y los delitos iban en aumento, afirmó que confiaban en una persona “muy competente” para gestionar este problema. La resignación ante estos desafíos fue evidente.
La conclusión del autor: los lobbies y el temor a perder votos limitan las acciones del Ayuntamiento.</t>
  </si>
  <si>
    <r>
      <rPr>
        <rFont val="Arial"/>
        <color rgb="FF000000"/>
        <sz val="9.0"/>
      </rPr>
      <t>En la última década, la industria vinícola chilena ha experimentado una transformación profunda. Ha dejado atrás las producciones masivas para convertirse en un referente de calidad, compitiendo con los vinos argentinos. Este cambio se refleja en la reivindicación de la uva país y el pipeño, vinos tradicionalmente humildes y populares, que ahora son emblemas de una revolución vinícola.
La uva país, introducida desde España como listán, es la variedad más antigua de Latinoamérica y ha sido redescubierta</t>
    </r>
    <r>
      <rPr>
        <rFont val="Arial"/>
        <strike/>
        <color rgb="FF000000"/>
        <sz val="9.0"/>
      </rPr>
      <t xml:space="preserve"> con nuevas técnicas </t>
    </r>
    <r>
      <rPr>
        <rFont val="Arial"/>
        <color rgb="FF000000"/>
        <sz val="9.0"/>
      </rPr>
      <t>que respetan tradiciones ancestrales, como el zarandeo de las uvas y fermentación en depósitos de raulí. Enólogos como Renán Cancino y Louis Antoine Luyt han sido clave en este movimiento, recuperando el valor de estos vinos que destacan por su rusticidad, acidez y autenticidad.
En los valles del Maule y Biobío, han surgido vinos únicos que combinan tradición y modernidad, mostrando un estilo vibrante, puro y afinado. Ejemplos como el Pipeño País, el País Viejo o las creaciones de enólogos como Manuel Moraga y Roberto Henríquez confirman que los vinos chilenos viven un momento de renovación apasionante, con un prometedor futuro.</t>
    </r>
  </si>
  <si>
    <t>En los últimos diez años, los vinos chilenos han experimentado una transformación radical. Han pasado de ser producciones masivas enfocadas en supermercados a convertirse en referentes de calidad. Este cambio se simboliza en la revalorización de la uva país, la cepa más antigua y humilde del viñedo latinoamericano, tradicionalmente despreciada, y de los pipeños, vinos campesinos que ahora son emblemas de una revolución vinícola.
La uva país, introducida desde España, ha sido redescubierta gracias a enólogos como Renán Cancino y Louis Antoine Luyt, quienes recuperaron métodos tradicionales como el uso de madera de raulí y fermentación en cemento. Los vinos elaborados con esta cepa, como Huaso de Sauzal, Huasa de Pilén Alto y los de Biobío, destacan por su rusticidad, profundidad y frescura. Enólogos de valles como Maule y Biobío están liderando este movimiento, que representa el renacer de los vinos chilenos, equilibrando tradición y modernidad.</t>
  </si>
  <si>
    <t>**Qué:** La industria vinícola chilena ha experimentado una transformación significativa en la última década, pasando de producciones masivas de supermercado a vinos de alta calidad, con la uva país y el pipeño como símbolos de esta revolución.  
**Quién:** Enólogos como Renán Cancino, Louis Antoine Luyt, Cristian Sepúlveda, Manuel Moraga, Mauricio González, y Roberto Henríquez lideran este cambio, junto con sumilleres como Macarena Lladser.  
**Cuándo:** En los últimos diez años, con hitos como la aparición de nuevos pipeños hace seis años, marcando el redescubrimiento de las antiguas tradiciones vinícolas.  
**Dónde:** En los valles vinícolas de Chile, especialmente en Maule y Biobío.  
**Por qué:** La búsqueda de autenticidad, respeto por las tradiciones y un mercado que valora los vinos locales y de calidad han impulsado esta transformación.  
**Cómo:** A través del redescubrimiento de la uva país, el rescate de técnicas tradicionales como el zarandeo de las uvas, fermentaciones mínimamente intervenidas y procesos de reposo prolongados que permiten obtener vinos únicos, ligeros, vibrantes y puros.</t>
  </si>
  <si>
    <t>En la última década, la industria vinícola chilena ha evolucionado notablemente, dejando atrás producciones masivas para convertirse en una referencia de calidad. Este cambio ha sido simbolizado por la reivindicación de la uva país, la cepa más antigua de América Latina, y los vinos pipeños, tradicionales y humildes. Antes despreciados, ahora representan la revolución vinícola chilena, marcada por técnicas tradicionales y vinos auténticos. Destacan productores como Renán Cancino y Louis Antoine Luyt, quienes han recuperado prácticas ancestrales y dado nueva vida a estas variedades en los valles del Maule y Biobío. Los vinos de uva país destacan por su rusticidad, acidez y elegancia, consolidándose como el corazón del nuevo Chile vinícola.</t>
  </si>
  <si>
    <t>El grupo PRISA, editor de *EL PAÍS*, ha vendido el 94,69 % de Media Capital a la portuguesa Cofina por 170 millones de euros, valorando el 100 % de Media Capital en 255 millones (incluida la deuda). Los ingresos de la venta, que se destinarán a reducir la deuda de PRISA, refuerzan su estrategia de desapalancamiento y enfoque en negocios estratégicos como la educación y la información. La operación, sujeta a varias aprobaciones regulatorias y financieras, generará una pérdida contable estimada de 76,4 millones de euros para PRISA.
Media Capital, fundado en 1992, es el principal grupo de medios en Portugal. Posee canales de TV (TVI), radios líderes como Radio Comercial y M80, así como una destacada presencia digital y empresas de producción audiovisual como Plural Entertainment. Cofina, fundada en 1995, controla destacados medios impresos y un canal de televisión en Portugal.</t>
  </si>
  <si>
    <t>PRISA ha vendido el 94,69% de Media Capital a Cofina por 170 millones de euros, valorando el 100% de la empresa en 255 millones, incluyendo deuda. La venta permitirá a PRISA amortizar deuda y acelerar su plan de desapalancamiento, enfocándose en negocios estratégicos como la educación e información. Media Capital, un importante grupo de medios en Portugal con activos como TVI, radios líderes y productoras de contenido, es considerado rentable pero no estratégico para PRISA. La operación está sujeta a diversas aprobaciones regulatorias y financieras y generará una pérdida contable estimada de 76,4 millones de euros.</t>
  </si>
  <si>
    <t xml:space="preserve">### Resumen con el método de las 5W1H:
- **¿Qué?**  
PRISA vendió el 94,69 % de Media Capital a Cofina por 170 millones de euros, valorando la totalidad de Media Capital en 255 millones, deuda incluida. Los fondos serán destinados a reducir la deuda del grupo. La operación implica una pérdida contable estimada de 76,4 millones de euros para PRISA.
- **¿Quién?**  
El Grupo PRISA, editor de EL PAÍS, y Cofina, una empresa portuguesa de medios de comunicación.
- **¿Cuándo?**  
El acuerdo se anunció con datos actualizados hasta el 30 de junio, y su ejecución depende de aprobaciones regulatorias y de la Junta General de PRISA, además del aumento de capital de Cofina.
- **¿Dónde?**  
La transacción afecta a Media Capital, una empresa con operaciones principalmente en Portugal, y está condicionada por la legislación portuguesa.
- **¿Por qué?**  
PRISA considera a Media Capital un activo no estratégico y busca reducir su deuda para centrarse en negocios prioritarios como educación e información.
- **¿Cómo?**  
La venta está sujeta a la aprobación de autoridades regulatorias, un waiver de acreedores financieros de PRISA y la aprobación de la Junta General de la Sociedad. Cofina financiará la compra a través de un aumento de capital.
</t>
  </si>
  <si>
    <t>PRISA, grupo editor de **EL PAÍS**, ha vendido el 94,69 % de Media Capital a la portuguesa **Cofina** por 170 millones de euros, valorando el 100 % de la compañía en 255 millones, deuda incluida (7,3 veces su EBITDA). La venta, parte del plan de PRISA para reducir deuda y enfocarse en educación e información, está sujeta a varias aprobaciones regulatorias y financieras. Se estima una pérdida contable de 76,4 millones para PRISA. Media Capital es líder en medios en Portugal, propietaria de **TVI**, varias radios destacadas y productoras audiovisuales como **Plural Entertainment**. Cofina es un grupo editorial portugués con periódicos, revistas y un canal de TV por cable.</t>
  </si>
  <si>
    <t>El Málaga CF ha anunciado la destitución de José Luis Pérez Caminero como director deportivo debido a diferencias con el propietario del club, el jeque Al-Thani, y a los problemas económicos que atraviesa la entidad. Caminero, quien llegó en 2018 procedente del Atlético de Madrid, tuvo una relación tensa con Al-Thani, quien frustró varias de sus operaciones y realizó fichajes por su cuenta. Durante su gestión, el Málaga no logró ascender a Primera División, y este verano solo pudo inscribir 17 fichas profesionales debido a las restricciones económicas de LaLiga. Ahora, el club, dirigido por asesores estadounidenses, enfrenta una crisis financiera y deportiva mientras busca un nuevo director deportivo. Las instituciones políticas andaluzas han pedido una solución urgente a la delicada situación del club.</t>
  </si>
  <si>
    <t>El Málaga CF ha despedido a su director deportivo, José Luis Pérez Caminero, debido a una pérdida de confianza por parte del propietario, el jeque Al-Thani, tras una serie de desacuerdos relacionados con la planificación del equipo y fichajes frustrados. Caminero, que llegó en 2018, no logró los objetivos deportivos ni económicos del club, que enfrenta graves problemas financieros, con un límite salarial excedido y vetos impuestos por LaLiga. El Málaga ahora está gestionado por asesores americanos en un contexto de crisis institucional y deportiva, con el equipo en puestos de descenso a Segunda División B. Las instituciones andaluzas han pedido una solución urgente a la crítica situación del club.</t>
  </si>
  <si>
    <t>**Qué**: El Málaga CF decidió finalizar la relación laboral con José Luis Pérez Caminero, quien ocupaba el cargo de director deportivo.
**Quién**: José Luis Pérez Caminero, exdirector deportivo del Málaga CF, y el Consejo de Administración del club, con el propietario Al-Thani como figura destacada.
**Cuándo**: La decisión fue comunicada el viernes pasado, aunque el anuncio oficial se realizó en la mañana del día en que se publica la noticia.
**Dónde**: Málaga CF, club de fútbol ubicado en Andalucía, España.
**Por qué**: La decisión se tomó debido al deterioro de la relación entre Caminero y el propietario Al-Thani, sumado a los malos resultados deportivos, problemas económicos del club y desacuerdos en la confección de la plantilla. Además, el club busca un nuevo rumbo bajo la dirección de asesores americanos.
**Cómo**: Caminero fue despedido tras varios meses de conflictos internos, operaciones de fichajes frustradas y una planificación limitada por restricciones económicas. Ahora, el club busca implementar un plan de viabilidad económica y garantizar su estabilidad bajo una nueva gestión.</t>
  </si>
  <si>
    <r>
      <rPr>
        <rFont val="Arial"/>
        <color theme="1"/>
        <sz val="9.0"/>
      </rPr>
      <t>El Málaga CF ha despedido a su director deportivo, José Luis Pérez Caminero,</t>
    </r>
    <r>
      <rPr>
        <rFont val="Arial"/>
        <color rgb="FFFF0000"/>
        <sz val="9.0"/>
      </rPr>
      <t xml:space="preserve"> tras una relación deteriorada con el propietario,</t>
    </r>
    <r>
      <rPr>
        <rFont val="Arial"/>
        <color theme="1"/>
        <sz val="9.0"/>
      </rPr>
      <t xml:space="preserve"> Al-Thani, y una mala gestión económica y deportiva. Caminero, quien llegó en 2018 desde el Atlético de Madrid, sufrió bloqueos en sus planes de fichajes por parte del jeque, lo que llevó al equipo a una crisis deportiva (en puestos de descenso a Segunda B) y económica (superando su límite salarial y con riesgos de impagos). Su gestión no logró devolver al club a Primera División, y este verano no pudo invertir en fichajes. Ahora, el club afronta un incierto plan de viabilidad mientras es dirigido por asesores estadounidenses de confianza de Al-Thani.</t>
    </r>
  </si>
  <si>
    <t>Junts per Catalunya y ERC atraviesan su mayor crisis como socios del Govern catalán debido a los pactos postelectorales. Elsa Artadi, de Junts, admitió que la relación ha "tocado fondo" tras el acuerdo de su partido con el PSC para gobernar la Diputación de Barcelona, lo que ha provocado tensiones con ERC. Además, ERC ha pactado en 26 municipios desplazando a alcaldes de Junts, mientras que este último ha hecho lo propio en 7 municipios gobernados por republicanos.
Junts propone revertir algunos pactos para recuperar la unidad del independentismo, pero ERC se opone alegando que sus acuerdos municipales son irreversibles. El PSC también critica las negociaciones entre los partidos independentistas, defendiendo su pacto con Junts como legítimo.
La crisis refleja la rivalidad entre ambos partidos por liderar el independentismo tras un ciclo electoral y antes de la sentencia del procés. A pesar de la tensión, ninguno de los dos socios quiere romper el Govern, aunque la competencia electoral ya es evidente.</t>
  </si>
  <si>
    <t>**Resumen:**
Junts per Catalunya (JxCat) y Esquerra Republicana de Catalunya (ERC), socios del Govern catalán, atraviesan su mayor crisis desde el inicio del mandato debido a desacuerdos por pactos postelectorales, especialmente por el acuerdo entre JxCat y el PSC para gobernar la Diputación de Barcelona. Elsa Artadi, portavoz de JxCat, reconoció que la relación entre los partidos independentistas está en su peor momento y que la unidad independentista parece más lejana que nunca.
JxCat acusa a ERC de haber pactado en 26 ayuntamientos para desplazar a sus alcaldes, mientras que JxCat ha hecho lo mismo en menor medida (7 municipios). La situación se agrava porque la Diputación de Barcelona, que maneja un presupuesto de 1.000 millones de euros, es clave para ambos partidos. Aunque ERC propuso revertir el pacto con el PSC, JxCat lo considera inviable sin el apoyo de los comunes.
Pere Aragonès (ERC) descartó interferir en los acuerdos municipales y defendió que los pactos son irreversibles, aunque dejó abierta la posibilidad de renegociar el acuerdo en la Diputación. A pesar de las tensiones, ambos partidos aseguran que la continuidad del Govern no está en peligro, aunque la rivalidad electoral entre ellos sigue creciendo de cara a futuros desafíos políticos.</t>
  </si>
  <si>
    <r>
      <rPr>
        <rFont val="Arial"/>
        <color theme="1"/>
        <sz val="9.0"/>
      </rPr>
      <t xml:space="preserve">**¿Qué?** Una crisis política ha surgido entre Junts per Catalunya (JxCat) y Esquerra Republicana de Catalunya (ERC), socios del Govern de la Generalitat, debido a desacuerdos por pactos postelectorales, especialmente relacionados con la Diputación de Barcelona. JxCat pactó con el PSC, lo que causó tensiones con ERC.
**¿Quién?** Los principales actores son Elsa Artadi (portavoz de JxCat), Pere Aragonès (vicepresidente del Govern y miembro de ERC), Salvador Illa (PSC), y otros líderes de los partidos implicados como Carles Puigdemont, Quim Torra y Miquel Iceta.
**¿Cuándo?** La crisis se intensificó tras los acuerdos postelectorales </t>
    </r>
    <r>
      <rPr>
        <rFont val="Arial"/>
        <strike/>
        <color theme="1"/>
        <sz val="9.0"/>
      </rPr>
      <t>del 26 de mayo (26-M)</t>
    </r>
    <r>
      <rPr>
        <rFont val="Arial"/>
        <color theme="1"/>
        <sz val="9.0"/>
      </rPr>
      <t xml:space="preserve"> y un pacto clave entre JxCat y PSC el viernes pasado. Las declaraciones y reuniones ocurrieron en los días posteriores.
**¿Dónde?** La disputa tiene lugar en Cataluña, con foco en la Diputación de Barcelona, que es clave para ambos partidos independentistas y el PSC por su presupuesto de 1.000 millones de euros.
**¿Por qué?** ERC critica que JxCat haya pactado con el PSC, partido asociado al artículo 155, mientras que JxCat reprocha a ERC haber llegado a acuerdos en 26 ayuntamientos para desbancar alcaldes de su partido. Ambas partes buscan mantener o ganar hegemonía en el movimiento independentista.
**¿Cómo?** JxCat y ERC han intercambiado reproches públicos y propuesto soluciones que no han prosperado. JxCat pidió revertir pactos con el PSC en varios municipios, mientras que ERC ofreció ceder la presidencia de la Diputación, pero la propuesta fue criticada por su inviabilidad. A pesar de las tensiones, ambos socios descartan una ruptura total por su necesidad mutua en el Govern y ante la inminente sentencia del procés.</t>
    </r>
  </si>
  <si>
    <t>Junts per Catalunya y ERC, socios en el Govern catalán, atraviesan una grave crisis por los pactos postelectorales. Elsa Artadi (Junts) admitió que la relación con ERC ha “tocado fondo” tras un acuerdo entre Junts y el PSC para gobernar la Diputación de Barcelona, lo que ERC considera inaceptable por beneficiar a un partido constitucionalista. ERC también selló acuerdos en 26 ayuntamientos para desplazar a alcaldes de Junts, provocando tensiones. Ambos partidos se culpan mutuamente y rechazan revertir sus respectivos pactos. Aunque la crisis es intensa, no parece amenazar la continuidad del Govern, ya que ambas fuerzas necesitan mantener la unidad de cara a la sentencia del procés.</t>
  </si>
  <si>
    <t>Disney mostró su poderío en la convención D23, un evento bianual para fans en Anaheim, donde presentó sus próximos proyectos con grandes estrellas de Hollywood. La compañía domina la industria del entretenimiento gracias a adquisiciones estratégicas como Pixar, Marvel, Lucasfilm y Fox, consolidándose como líder en taquilla y cultura popular. En 2019, las películas más exitosas fueron de Disney, incluyendo *Vengadores: Endgame* (la más taquillera de la historia) y *El rey león*. Además, Disney+ se lanzará en noviembre con contenidos exclusivos de Disney, Marvel y Star Wars, entre otros, desafiando a plataformas como Netflix. Entre los próximos estrenos destacan *Frozen 2*, *Star Wars: Episodio IX*, nuevas series como *The Mandalorian* y películas como *La viuda negra* y *Mulan*. Aunque enfrenta desafíos, como la ruptura con Sony sobre Spiderman, Disney sigue siendo imparable en su expansión y creatividad.</t>
  </si>
  <si>
    <t>**Resumen del contenido más relevante del texto:**
Disney reafirma su dominio en la industria del entretenimiento durante la convención D23, donde presentó sus próximas producciones y estrategias. En 2019, logró las seis películas más taquilleras, destacando *Endgame*, la más exitosa de la historia. Este imperio es resultado de adquisiciones estratégicas como Pixar, Marvel, Lucasfilm y Fox, que le permiten liderar la animación, la taquilla y ahora la guerra del streaming con Disney+, lanzado en noviembre de 2019. Este servicio reunirá todo su contenido exclusivo y busca competir directamente con Netflix y HBO. 
Además, anunció nuevas series de *Star Wars* (*The Mandalorian* y otra de Obi-Wan Kenobi) y Marvel, así como películas de Pixar (*Soul*, *Onward*), *Frozen 2*, *Raya y el último dragón*, *La viuda negra*, *Eternals*, y adaptaciones de *Mulán* y *Cruella*. Disney se especializa en películas-evento y capitaliza su capacidad para innovar y explotar sus franquicias, consolidándose como líder global en cultura popular.</t>
  </si>
  <si>
    <t>**Qué:**  
Disney presentó su evento bienal D23, revelando planes ambiciosos para sus marcas (Marvel, Star Wars, Pixar, Disney Animation, etc.) y anunciando lanzamientos clave como su plataforma de streaming Disney+.  
**Quién:**  
La compañía Disney, bajo la dirección de Robert Iger, Alan Horn, y Kevin Mayer, con la participación de estrellas como Robert Downey Jr., Tom Holland, Ewan McGregor, Angelina Jolie, entre otros.  
**Cuándo:**  
El evento tuvo lugar este fin de semana, en el marco de la convención D23.  
**Dónde:**  
En el centro de convenciones de Anaheim, California, cerca de Disneyland.  
**Por qué:**  
Para consolidar su dominio en la industria del entretenimiento, reforzar su catálogo de películas y series, y posicionar su nuevo servicio Disney+ frente a competidores como Netflix y HBO.  
**Cómo:**  
Disney mostró avances de películas y series, destacó el éxito histórico de sus franquicias, y anunció proyectos futuros como *Frozen 2*, *La viuda negra*, y *The Mandalorian*. También reforzó su estrategia de adquisiciones con marcas como Marvel, Lucasfilm y Fox.</t>
  </si>
  <si>
    <t>Disney reafirmó su dominio durante la convención D23 en Anaheim, mostrando su inmenso éxito reciente y planes futuros. En 2019, las seis películas más taquilleras fueron suyas, incluyendo *Avengers: Endgame*, la más taquillera de la historia. Con adquisiciones clave como Pixar, Marvel, Lucasfilm, y Fox, Disney controla grandes marcas y domina el entretenimiento global. Además, lanzará su plataforma de streaming, Disney+, con contenido exclusivo de sus franquicias. Proyecta grandes estrenos como *Frozen 2*, *Star Wars: El ascenso de Skywalker*, y nuevas películas de Marvel. Aunque Sony rompió el acuerdo de *Spiderman*, Disney sigue consolidando su hegemonía en la industria.</t>
  </si>
  <si>
    <t>El texto aborda la decepción y frustración de artistas, escritores e intelectuales que firmaron un manifiesto pidiendo un gobierno progresista tras las elecciones del 28 de abril. Estos sentimientos surgen del fracaso de la investidura de Pedro Sánchez y las tensiones entre PSOE y Unidas Podemos (UP), que no lograron pactar. Los entrevistados coinciden en que ambos partidos son responsables del fiasco, aunque algunos, como Zahara y Carlos Berzosa, destacan la necesidad de unidad. 
Mientras que unos, como el cineasta Víctor García León, critican la teatralización de las negociaciones, otros, como Abel Azcona, culpan más al PSOE. La escritora Marta Sanz lamenta el fortalecimiento de la derecha por este fracaso, y San Juan sugiere que UP haga una propuesta flexible para desbloquear la situación. Sin un acuerdo, se teme que nuevas elecciones desmovilicen a los votantes de izquierda, favoreciendo a la derecha. En contraste, algunos ven las elecciones como una oportunidad para reestructurar la izquierda.</t>
  </si>
  <si>
    <r>
      <rPr>
        <rFont val="Arial"/>
        <color theme="1"/>
        <sz val="9.0"/>
      </rPr>
      <t xml:space="preserve">El texto refleja el desánimo y frustración entre artistas, escritores e intelectuales tras el fracaso en la investidura de Pedro Sánchez, percibido como una oportunidad perdida para formar un Gobierno progresista entre PSOE y Unidas Podemos (UP). Los firmantes del manifiesto "28 de abril, Tú decides" expresan una mezcla de tristeza, rabia y decepción ante la incapacidad de ambos partidos para pactar, lo que consideran una responsabilidad compartida. 
Entre las opiniones destacan:  
- **Críticas a ambos partidos:** Zahara, Berzosa, y otros lamentan la falta de empatía y el bloqueo político.  
- **Reproches al PSOE:** Algunos, como Abel Azcona, ven al PSOE como el principal responsable, mientras otros, como San Juan, consideran que UP debería ser más flexible.  
- **Impacto negativo del conflicto:** Se teme que unas nuevas elecciones desmovilicen a la izquierda y beneficien a la derecha.  
- **Llamados a un acuerdo:** </t>
    </r>
    <r>
      <rPr>
        <rFont val="Arial"/>
        <strike/>
        <color theme="1"/>
        <sz val="9.0"/>
      </rPr>
      <t>Varias voces</t>
    </r>
    <r>
      <rPr>
        <rFont val="Arial"/>
        <color theme="1"/>
        <sz val="9.0"/>
      </rPr>
      <t xml:space="preserve"> insisten en buscar mediadores o estrategias para evitar repetir errores y garantizar un gobierno progresista.  
El consenso general es que persistir en el enfrentamiento podría tener consecuencias graves para el electorado de izquierda y el futuro político del país.</t>
    </r>
  </si>
  <si>
    <t>**Qué:** Un grupo de artistas, escritores e intelectuales, que firmaron el manifiesto "28 de abril, Tú decides", expresa su decepción, rabia y tristeza tras el fracaso de la investidura de Pedro Sánchez y la incapacidad de PSOE y Unidas Podemos de formar un Gobierno progresista.
**Quién:** Personas como la cantante Zahara, el economista Carlos Berzosa, el actor Alberto San Juan, la escritora Marta Sanz, la cineasta Chus Gutiérrez, el cineasta Víctor García León y el artista visual Abel Azcona, entre otros firmantes del manifiesto.
**Cuándo:** Desde las elecciones del 28 de abril (28-A), que generaron esperanza en un pacto de izquierdas, hasta el fracaso de la investidura el 25 de julio (25-J).
**Dónde:** En el contexto político de España, con debates y negociaciones en el Congreso de los Diputados.
**Por qué:** Los firmantes consideran que la falta de acuerdo entre PSOE y Unidas Podemos se debe a la falta de empatía, posturas enquistadas, masculinidad política y una lucha de poder entre ambos partidos.
**Cómo:** Los firmantes critican la teatralización de las negociaciones y responsabilizan a ambos partidos del fracaso, aunque hay matices en las culpas. Insisten en la necesidad de encontrar una solución antes de que se convoquen nuevas elecciones, ya que consideran que estas favorecerían a la derecha. Algunos proponen flexibilizar posturas o incluso recurrir a mediadores.</t>
  </si>
  <si>
    <t>Tras el fracaso de la investidura de Pedro Sánchez, artistas, escritores e intelectuales que firmaron el manifiesto *"28 de abril, Tú decides"* expresan desilusión, rabia y tristeza. Aunque inicialmente celebraron el resultado electoral del 28-A, ahora critican la incapacidad del PSOE y Unidas Podemos para pactar, considerándolos corresponsables del desastre. Figuras como Zahara, Carlos Berzosa, Alberto San Juan, y Marta Sanz lamentan la falta de empatía, las luchas de poder y el espectáculo mediático que han marcado las negociaciones. La alternativa de unas nuevas elecciones es vista como peligrosa por muchos, dado el riesgo de desmovilización en la izquierda y una posible victoria de la derecha. Aun así, persiste la esperanza en un acuerdo, aunque destacan la necesidad de propuestas flexibles o incluso mediadores para superar el estancamiento.</t>
  </si>
  <si>
    <t>El texto describe algunas de las cuevas y simas más profundas y complejas del mundo:
1. **Krúbera-Voronya (Abjasia)**: La sima más profunda conocida, con 2.191 metros. Destaca por su dificultad técnica, incluyendo pasos anegados y estrecheces extremas. Gennadiy Samokhin alcanzó su punto más profundo en 2012, y en 2013 un equipo de Jesús Calleja quedó atrapado durante nueve días. En 2015 se descubrieron allí 12 nuevas especies de invertebrados.
2. **Dark Star (Uzbekistán)**: Considerada el "Everest subterráneo", podría superar los 2.651 metros de profundidad, aunque aún no se ha explorado completamente. Es una cápsula geológica con formaciones como el Salón de la Luna Llena.
3. **Picos de Europa (España)**: Alberga simas como la Torca del Cerro del Cuevón, con 1.589 metros de profundidad y un torrente subterráneo. También se encuentra el pozo más profundo de España, descubierto en 2016, con 435,92 metros de caída libre.
4. **Wang Dong (China)**: Un complejo subterráneo con enormes salas, como la Cloud Ladder Hall de 250 metros de altura, que tiene su propio sistema meteorológico, y profundas simas como el Abismo de Xinu Attic. 
Estas cuevas destacan por su valor científico, técnico y natural.</t>
  </si>
  <si>
    <t>El texto destaca exploraciones en algunas de las cuevas más profundas y técnicas del mundo:
1. **Krúbera-Voronya (Abjasia, Cáucaso Occidental)**: La cueva más profunda del mundo conocida, con 2.191 metros de profundidad. Requiere alta pericia debido a su dificultad técnica, incluyendo sifones y pasajes estrechos. En 2015, se descubrieron allí 12 especies nuevas de invertebrados.
2. **Dark Star (Uzbekistán)**: Considerada el "Everest subterráneo". Aún no completamente explorada, se estima que podría alcanzar 2.651 metros, superando a Krúbera-Voronya. Sus formaciones revelan una historia climática milenaria.
3. **Torca del Cerro del Cuevón (Picos de Europa, España)**: Séptima cueva más profunda del mundo, con -1.589 metros. Su acceso requiere tres días de exploración.
4. **Pozo más profundo de España (Cantabria)**: En 2016, se descubrió un pozo de 435,92 metros de caída libre, superando al récord previo de 346 metros en el Pozo de los Pasiegos.
5. **Cavernas de Wang Dong (China)**: Un vasto complejo con grandes salas como Cloud Ladder Hall (250 metros de altura) y simas verticales, explorado en 2013.
Este texto ilustra la complejidad y los descubrimientos asociados a estas exploraciones subterráneas únicas.</t>
  </si>
  <si>
    <t>**Qué:**  
Exploración de las simas más profundas y complejas del mundo, incluyendo descubrimientos científicos, récords de profundidad y hallazgos geológicos y biológicos.  
**Quién:**  
- Gennadiy Samokhin: exploró hasta los 2.191 metros en la sima Krúbera-Voronya (2012).  
- Jesús Calleja y su equipo: quedaron atrapados en la misma cueva (2013).  
- Sergio García-Dils y su equipo: descubrieron 12 nuevas especies en Krúbera-Voronya (2015).  
- Espeleólogos del Espeleo Club Ábrigu y Club Cántabro de Exploraciones Subterráneas: descubrieron el pozo más profundo de España (2016).  
- Una expedición de 15 espeleólogos: exploró Wang Dong en China (2013).  
**Cuándo:**  
Entre 2012 y 2016, destacando los hitos específicos de cada exploración en esos años.  
**Dónde:**  
- Krúbera-Voronya: Abjasia, Cáucaso Occidental.  
- Dark Star: cordillera de Boysuntov, Uzbekistán.  
- Torca del Cerro del Cuevón: Picos de Europa, España.  
- Pozo más profundo de España: Ruesga, Cantabria.  
- Wang Dong: Chongqing, China.  
**Por qué:**  
Para avanzar en el conocimiento sobre el mundo subterráneo, superar límites de exploración humana y estudiar aspectos geológicos, climáticos y biológicos.  
**Cómo:**  
Mediante expediciones espeleológicas que implican equipos especializados, exploración de ambientes extremos y técnicas avanzadas para superar obstáculos como sifones, torrentes y caídas verticales.</t>
  </si>
  <si>
    <t>En 2012, Gennadiy Samokhin alcanzó los 2.191 metros de profundidad en la sima Krúbera-Voronya (Abjasia), la cueva más profunda y técnica del mundo, con sifones y estrechas gateras. En 2013, Jesús Calleja y su equipo quedaron atrapados allí durante nueve días. En 2015, Sergio García-Dils descubrió 12 nuevas especies de invertebrados en esta cueva. Dark Star (Uzbekistán), considerado el "Everest subterráneo", podría superar los 2.651 metros de profundidad. En España, la torca del Cerro del Cuevón (Picos de Europa) alcanza 1.589 metros, y el pozo más profundo conocido, de 435,92 metros, fue descubierto en Cantabria en 2016. En China, la cueva Wang Dong posee enormes salas como la Cloud Ladder Hall, de 250 metros, con un sistema meteorológico propio.</t>
  </si>
  <si>
    <t xml:space="preserve"> Antonio Díaz, de 50 años, ha estado protestando diariamente frente a la Ciudad de la Justicia de Barcelona desde febrero de 2017 contra jueces, fiscales y la justicia en general, a menudo gritando e insultando. Después de dos años y medio, el Tribunal Superior de Justicia de Cataluña (TSJC) ordenó que cesara estas acciones bajo amenaza de delito de desobediencia. Desde entonces, ha sido detenido 17 veces por los Mossos d'Esquadra. A pesar de las detenciones, Antonio se niega a parar y afirma que continuará protestando, incluso en agosto. Su protesta comenzó debido al embargo de la casa de sus padres, atribuido a problemas con el BBVA y Anticipa. La juez decana de Barcelona ha expresado su preocupación por la "grave alteración" del orden y funcionamiento de la justicia causada por las acciones de Antonio, y ha solicitado medidas para detenerlo. A pesar de intentos previos de resolver el conflicto, incluyendo diligencias penales y ofertas de asistencia letrada, Antonio persiste en sus acciones.
</t>
  </si>
  <si>
    <r>
      <rPr>
        <rFont val="Arial"/>
        <color rgb="FF000000"/>
        <sz val="9.0"/>
      </rPr>
      <t xml:space="preserve"> **Resumen:**
Antonio Díaz, de 50 años, ha estado protestando diariamente frente a la Ciudad de la Justicia de Barcelona desde febrero de 2017 contra la justicia, especialmente por el embargo de la casa de sus padres debido a problemas con hipotecas y empresas como BBVA y Anticipa. Su constante </t>
    </r>
    <r>
      <rPr>
        <rFont val="Arial"/>
        <color rgb="FFFF0000"/>
        <sz val="9.0"/>
      </rPr>
      <t>gritaria</t>
    </r>
    <r>
      <rPr>
        <rFont val="Arial"/>
        <color rgb="FF000000"/>
        <sz val="9.0"/>
      </rPr>
      <t xml:space="preserve"> y insultos han llevado al Tribunal Superior de Justicia de Cataluña (TSJC) a emitir una resolución el 11 de junio de 2023 ordenándole abstenerse de tales actos bajo amenaza de desobediencia penal. Desde entonces, ha sido detenido 17 veces por los Mossos d'Esquadra, pero sigue sin cesar sus protestas. La juez decana de Barcelona ha expresado su preocupación por la "grave alteración" del orden y funcionamiento de la justicia causada por Díaz, y ha solicitado medidas para detener sus acciones. A pesar de las sanciones, Díaz afirma que no piensa parar y que no tomará vacaciones en agosto.</t>
    </r>
  </si>
  <si>
    <t xml:space="preserve"> **Qué:** Antonio Díaz, de 50 años, protesta diariamente frente a la Ciudad de la Justicia de Barcelona desde febrero de 2017 contra jueces, fiscales y la justicia en general, gritando e insultando, lo que ha llevado al Tribunal Superior de Justicia de Cataluña (TSJC) a ordenarle abstenerse de estas acciones bajo amenaza de delito de desobediencia.
**Quién:** Antonio Díaz, un hombre de 50 años, y el Tribunal Superior de Justicia de Cataluña (TSJC).
**Cuándo:** Desde febrero de 2017, con una resolución del TSJC el 11 de junio y efectiva desde el 8 de julio, y continuando con detenciones desde entonces.
**Dónde:** Frente a la Ciudad de la Justicia de Barcelona.
**Por qué:** Antonio protesta por el embargo del piso de sus padres, atribuido a empresas como BBVA y Anticipa, y considera que la justicia está "podrida".
**Cómo:** Antonio se manifiesta gritando e insultando, y ha sido detenido 17 veces por los Mossos d'Esquadra desde la entrada en vigor de la resolución del TSJC. A pesar de las advertencias y detenciones, no ha cesado en sus protestas y amenaza con no tomar vacaciones en agosto.
</t>
  </si>
  <si>
    <t xml:space="preserve"> Antonio Díaz, de 50 años, ha estado protestando diariamente frente a la Ciudad de la Justicia de Barcelona desde febrero de 2017, gritando insultos contra jueces y fiscales por el embargo de la casa de sus padres debido a problemas con hipotecas y empresas como BBVA y Anticipa. El Tribunal Superior de Justicia de Cataluña (TSJC) ha ordenado que cese sus protestas bajo amenaza de delito de desobediencia, pero ha sido detenido 17 veces sin que esto detenga sus acciones. La juez decana de Barcelona ha expresado su preocupación por la "grave alteración" del orden en la administración de justicia y ha solicitado medidas para detener sus protestas. A pesar de las sanciones, Antonio insiste en continuar su protesta y no tiene planes de tomar vacaciones en agosto.
</t>
  </si>
  <si>
    <r>
      <rPr>
        <rFont val="Arial"/>
        <color rgb="FF000000"/>
        <sz val="9.0"/>
      </rPr>
      <t xml:space="preserve"> México ofrece una disculpa pública a Martha Camacho Loaiza, exmiembro de la guerrilla urbana Liga Comunista 23 de septiembre, quien fue torturada junto a su esposo en 1977 por el Estado durante la Guerra Sucia. Este acto reconoce las violaciones de derechos humanos cometidas durante ese período. La disculpa será entregada por la secretaria de Gobernación y el subsecretario de Derechos Humanos en el Centro Cultural Tlatelolco, simbólico por la represión estudiantil de 1968. Camacho ha luchado por justicia desde </t>
    </r>
    <r>
      <rPr>
        <rFont val="Arial"/>
        <color rgb="FFFF0000"/>
        <sz val="9.0"/>
      </rPr>
      <t>2000</t>
    </r>
    <r>
      <rPr>
        <rFont val="Arial"/>
        <color rgb="FF000000"/>
        <sz val="9.0"/>
      </rPr>
      <t>, sin éxito significativo hasta ahora. El gobierno de López Obrador busca ahora hacer públicos los expedientes de la Guerra Sucia y reconoce la responsabilidad estatal. Camacho espera respuestas de las autoridades militares sobre las torturas y el asesinato de su esposo. La Liga 23 de septiembre fue un grupo marxista que utilizó la violencia, incluyendo secuestros y asesinatos, antes de disolverse en 1979. La disculpa marca un paso hacia la reconciliación y el enfrentamiento de la memoria histórica en México, aunque aún existen controversias, como la reciente destitución de un historiador por sus comentarios sobre un secuestro.</t>
    </r>
  </si>
  <si>
    <t xml:space="preserve"> El Gobierno de México, bajo la administración de Andrés Manuel López Obrador, ofrecerá una disculpa pública a Martha Camacho Loaiza, exintegrante de la Liga Comunista 23 de Septiembre, por las torturas y violaciones a sus derechos humanos sufridas en 1977 durante la Guerra Sucia. Este acto reconoce la responsabilidad estatal en los abusos cometidos durante ese período de represión contra guerrillas y movimientos sociales. Camacho, quien fue torturada junto a su esposo y presenció su ejecución, ha luchado por justicia durante décadas. El evento se llevará a cabo en el Centro Cultural Tlatelolco, simbólico por la represión estudiantil de 1968. Este reconocimiento es un paso hacia la apertura de expedientes cerrados y la búsqueda de verdad y justicia por las víctimas de la Guerra Sucia.
</t>
  </si>
  <si>
    <t xml:space="preserve"> **Qué:** El Estado mexicano ofrecerá una disculpa pública a Martha Camacho Loaiza por las torturas y violaciones a los derechos humanos sufridas por ella y su esposo durante la Guerra Sucia en 1977.
**Quién:** Martha Camacho Loaiza, exintegrante de la Liga Comunista 23 de septiembre, y representantes del Gobierno mexicano, incluyendo a la secretaria de Gobernación, Olga Sánchez Cordero, y el subsecretario Alejandro Encinas.
**Cuándo:** El lunes al mediodía.
**Dónde:** En el Centro Cultural Tlatelolco, un lugar simbólico por la represión del movimiento estudiantil en 1968.
**Por qué:** Reconocer la responsabilidad gubernamental en las violaciones graves de derechos humanos cometidas durante la Guerra Sucia y dar una segunda oportunidad a la memoria histórica, cerrando una deuda pendiente con las víctimas y sus familias.
**Cómo:** A través de un acto público de disculpa, donde se abordarán los hechos y se buscará una forma de justicia y reparación para las víctimas, aunque Camacho Loaiza enfatiza que sin castigo a los culpables no habrá verdadero perdón.
</t>
  </si>
  <si>
    <t xml:space="preserve"> El gobierno de México, bajo la administración de Andrés Manuel López Obrador, ofrecerá una disculpa pública a Martha Camacho Loaiza, exmiembro de la guerrilla urbana Liga Comunista 23 de septiembre, quien fue torturada junto a su esposo en 1977. Este acto reconoce las violaciones de derechos humanos cometidas durante la Guerra Sucia, un período de represión gubernamental contra guerrillas y movimientos sociales. La disculpa se llevará a cabo en el Centro Cultural Tlatelolco y marca un esfuerzo por abordar y reconocer el pasado autoritario del país. Aunque previos gobiernos intentaron abordar estas cuestiones, sus esfuerzos fueron insuficientes y a menudo criticados por falta de justicia y castigo a los responsables. Camacho busca respuestas de las autoridades militares sobre las circunstancias de la tortura y ejecución de su esposo. Este evento es parte de un esfuerzo más amplio del gobierno actual por desclasificar archivos y hacer públicos los detalles de la Guerra Sucia.</t>
  </si>
  <si>
    <r>
      <rPr>
        <rFont val="Arial"/>
        <color rgb="FF000000"/>
        <sz val="9.0"/>
      </rPr>
      <t xml:space="preserve"> En una reunión previa a las elecciones municipales en Barcelona, un alto cargo municipal abordó con el autor varios problemas ciudadanos, incluyendo la seguridad, la invasión de perros en la ciudad, y el excesivo ruido. Sobre los perros, el cargo admitió que los dueños se han organizado en un "lobby" poderoso, lo que impide tomar medidas efectivas contra el aumento de perros y los problemas asociados como suciedad y daños a la propiedad. En cuanto al ruido, se reconoció que Barcelona es la ciudad más ruidosa de Europa y que </t>
    </r>
    <r>
      <rPr>
        <rFont val="Arial"/>
        <strike/>
        <color rgb="FF000000"/>
        <sz val="9.0"/>
      </rPr>
      <t>el Ayuntamiento no regula adecuadamente las actividades nocturnas y las fiestas en la calle</t>
    </r>
    <r>
      <rPr>
        <rFont val="Arial"/>
        <color rgb="FF000000"/>
        <sz val="9.0"/>
      </rPr>
      <t>, temiendo quitarles a los ciudadanos una forma de entretenimiento en tiempos de crisis económica. Finalmente, sobre la seguridad, se mencionó que hay una persona competente encargada, aunque el autor expresó su opinión de que la gestión de la seguridad por la izquierda es preferible a la de la derecha. La conversación terminó sin resolver estos problemas crónicos de la ciudad.</t>
    </r>
  </si>
  <si>
    <r>
      <rPr>
        <rFont val="Arial"/>
        <color rgb="FF000000"/>
        <sz val="9.0"/>
      </rPr>
      <t xml:space="preserve"> **Resumen:**
En una conversación con un alto cargo del Ayuntamiento de Barcelona antes de las elecciones municipales, se abordaron varios problemas ciudadanos, incluyendo la invasión de perros en la ciudad, el ruido excesivo y la inseguridad. El cargo reconoció que los dueños de perros han formado un poderoso lobby que impide medidas efectivas contra la sobrepoblación canina, limitándose el ayuntamiento a evitar que la situación empeore. Respecto al ruido, se destacó que Barcelona es la ciudad más ruidosa de Europa, y el cargo argumentó que regular las actividades ruidosas podría privar a la gente de su única forma de diversión en tiempos de crisis económica, evitando así tocar un "lobby" sensible. Finalmente, se mencionó que, a pesar de considerar la seguridad como un trabajo sucio, el ayuntamiento cuenta con una persona competente para manejarlo, </t>
    </r>
    <r>
      <rPr>
        <rFont val="Arial"/>
        <strike/>
        <color rgb="FF000000"/>
        <sz val="9.0"/>
      </rPr>
      <t>prefiriendo que sea la izquierda quien lo gestione.</t>
    </r>
  </si>
  <si>
    <r>
      <rPr>
        <rFont val="Arial"/>
        <color rgb="FF000000"/>
        <sz val="9.0"/>
      </rPr>
      <t xml:space="preserve"> **Qué:** Se discutió la situación de la invasión perruna, el ruido excesivo y la inseguridad en Barcelona con un alto cargo municipal antes de las elecciones municipales.
**Quién:** Un alto cargo del Ayuntamiento de Barcelona y el autor del texto.
**Cuándo:** Antes de las últimas elecciones municipales en Barcelona.
**Dónde:** En una reunión</t>
    </r>
    <r>
      <rPr>
        <rFont val="Arial"/>
        <strike/>
        <color rgb="FF000000"/>
        <sz val="9.0"/>
      </rPr>
      <t xml:space="preserve"> en el Ayuntamiento de Barcelona.</t>
    </r>
    <r>
      <rPr>
        <rFont val="Arial"/>
        <color rgb="FF000000"/>
        <sz val="9.0"/>
      </rPr>
      <t xml:space="preserve">
**Por qué:** El autor quería conocer las medidas que el ayuntamiento planeaba tomar frente a problemas como la invasión de perros, el ruido y la inseguridad en la ciudad.
**Cómo:** A través de una conversación en la que el alto cargo municipal admitió la influencia de lobbies de dueños de perros y la dificultad de regular el ruido debido a consideraciones políticas y sociales. También se mencionó la competencia en seguridad pero </t>
    </r>
    <r>
      <rPr>
        <rFont val="Arial"/>
        <strike/>
        <color rgb="FF000000"/>
        <sz val="9.0"/>
      </rPr>
      <t>se subrayó que es un aspecto crítico gestionado por la izquierda</t>
    </r>
    <r>
      <rPr>
        <rFont val="Arial"/>
        <color rgb="FF000000"/>
        <sz val="9.0"/>
      </rPr>
      <t>.
El alto cargo justificó la falta de acción en estos temas por la presión de lobbies y la preocupación por no perder votos, además de mencionar la dificultad de regular ciertas actividades debido a la percepción de que afectarían la diversión y el bienestar de la ciudadanía.</t>
    </r>
  </si>
  <si>
    <r>
      <rPr>
        <rFont val="Arial"/>
        <color rgb="FF000000"/>
        <sz val="9.0"/>
      </rPr>
      <t xml:space="preserve"> En una conversación con un alto cargo del Ayuntamiento de Barcelona antes de las elecciones municipales, se discutieron varios problemas ciudadanos, incluyendo la invasión de perros, el ruido excesivo y la inseguridad. El cargo admitió que los dueños de perros han formado un "lobby" fuerte que impide medidas efectivas, y que el ruido es visto como parte de la identidad de la ciudad y no se regula debido a la preocupación de afectar la diversión y </t>
    </r>
    <r>
      <rPr>
        <rFont val="Arial"/>
        <strike/>
        <color rgb="FF000000"/>
        <sz val="9.0"/>
      </rPr>
      <t>el espíritu comunitario</t>
    </r>
    <r>
      <rPr>
        <rFont val="Arial"/>
        <color rgb="FF000000"/>
        <sz val="9.0"/>
      </rPr>
      <t xml:space="preserve">. En cuanto a la seguridad, se mencionó que hay una persona competente encargada, aunque se reconoció que es un desafío constante que </t>
    </r>
    <r>
      <rPr>
        <rFont val="Arial"/>
        <strike/>
        <color rgb="FF000000"/>
        <sz val="9.0"/>
      </rPr>
      <t>generalmente se gestiona mejor bajo administraciones de izquierda.</t>
    </r>
  </si>
  <si>
    <t xml:space="preserve"> En la última década, la industria vinícola chilena ha experimentado una transformación significativa, pasando de ser una producción masiva y poco reconocida a convertirse en una referencia vinícola global. Este cambio se ha visto liderado por la revitalización de la uva país, tradicionalmente despreciada, y el pipeño, vino del campesino. Estas variedades han sido emblemas de una revolución que ha redefinido la identidad vinícola chilena, destacando por su rusticidad, profundidad y acidez.
La reivindicación de la uva país y los pipeños ha traído consigo un interés renovado por los vinos del pueblo, con enólogos como Renán Cancino, Louis Antoine Luyt, Cristian Sepúlveda, Manuel Moraga, Mauricio González y Roberto Henríquez jugando papeles clave en este renacimiento. Estos profesionales han adoptado métodos tradicionales de elaboración, minimizando la intervención humana y permitiendo que los vinos expresen plenamente su terroir.
Los vinos probados, que abarcan desde la cosecha de 2014 hasta 2018, muestran una diversidad de estilos, desde los más profundos y con larga vida útil hasta los más ligeros, vibrantes y luminosos. A pesar de estas diferencias, todos comparten una calidad y autenticidad que reflejan el nuevo espíritu de la vitivinicultura chilena. Este cambio no solo ha fortalecido la posición de Chile en el mercado internacional, sino que también ha establecido una base sólida para un futuro prometedor en la producción de vinos de alta calidad.
</t>
  </si>
  <si>
    <t xml:space="preserve"> En la última década, la industria vinícola chilena ha transformado su imagen, pasando de producciones masivas a convertirse en una referencia vinícola de calidad. Este cambio se ha visto liderado por la revitalización de la uva país, tradicionalmente despreciada, y el pipeño, vino del campesino. Estas variedades han sido emblemas de una revolución que ha redefinido los vinos chilenos, destacando por su rusticidad, profundidad y acidez, y alejándose de las producciones estandarizadas para enfocarse en métodos tradicionales y mínima intervención en la elaboración.
Envalentonados por el éxito de la uva país y el pipeño, enólogos chilenos han explorado y recuperado técnicas antiguas, como el zarandeo de uvas y la fermentación en cubas de raulí, y han comenzado a mezclar variedades locales para crear vinos únicos y expresivos. Este enfoque ha resultado en vinos más ligeros, vibrantes y puros, especialmente en el valle de Biobío, donde enólogos como Manuel Moraga, Mauricio González y Roberto Henríquez han destacado.
La reivindicación de estas cepas tradicionales y los métodos artesanales ha posicionado a Chile en un nuevo escenario vinícola, donde los vinos del pueblo son celebrados y reconocidos tanto a nivel nacional como internacional, marcando un futuro prometedor para la industria vinícola chilena.
</t>
  </si>
  <si>
    <t xml:space="preserve"> **Qué:** La industria vinícola chilena ha experimentado una transformación significativa en la última década, pasando de producciones masivas a convertirse en una referencia vinícola, con un enfoque en variedades tradicionales como la uva país y el pipeño.
**Quién:** Principales figuras incluyen Renán Cancino, Louis Antoine Luyt, Cristian Sepúlveda, Manuel Moraga, Mauricio González y Roberto Henríquez, quienes han liderado la reivindicación y desarrollo de estos vinos tradicionales.
**Cuándo:** El cambio comenzó hace más de diez años y ha alcanzado su punto culminante en la última década, con la aparición y reconocimiento de la uva país y el pipeño a partir de hace seis años.
**Dónde:** Las principales regiones vinícolas involucradas son el valle del Maule y Biobío en Chile, donde se han desarrollado y popularizado estos vinos tradicionales.
**Por qué:** La revolución se debe a un redescubrimiento y revalorización de las cepas tradicionales y los métodos de elaboración antiguos, buscando una autenticidad y calidad diferenciadas en el mercado vinícola global.
**Cómo:** Los enólogos han adoptado técnicas de elaboración mínimamente intervencionistas, como el zarandeo de uvas y la fermentación en cubas de madera local, con periodos de reposo prolongados en madera y botella, lo que permite a los vinos desarrollar su carácter único y profundidad.
</t>
  </si>
  <si>
    <t xml:space="preserve"> En la última década, la industria vinícola chilena ha experimentado una transformación significativa, pasando de producciones masivas a convertirse en una referencia vinícola de calidad. La uva país, tradicionalmente despreciada, y el pipeño, vino del campesino, han emergido como emblemas de esta revolución. Estos vinos, que reflejan las antiguas prácticas vinícolas del país, han ganado reconocimiento por su rusticidad, profundidad y acidez, desafiando las expectativas de los vinos más comerciales. Enólogos innovadores como Renán Cancino, Louis Antoine Luyt, Cristian Sepúlveda, Manuel Moraga, Mauricio González y Roberto Henríquez han jugado un papel crucial en este renacimiento, recuperando técnicas tradicionales y variedades olvidadas. Los nuevos vinos chilenos se caracterizan por su elaboración cuidadosa y lenta, lo que les otorga una calidad y personalidad únicas, posicionando al país como un actor destacado en el mundo del vino.
</t>
  </si>
  <si>
    <t xml:space="preserve"> PRISA ha vendido el 94,69% de Media Capital a la empresa portuguesa Cofina por 170 millones de euros, valorando el 100% de la compañía en 255 millones, incluida la deuda. Esta transacción, que se considera muy ventajosa (7,3 veces el ebitda de los últimos 12 meses), permitirá a PRISA amortizar deuda y acelerar su plan de desapalancamiento, enfocándose en negocios estratégicos como la educación y la información.
Media Capital, el mayor grupo de medios en Portugal, posee TVI y sus canales asociados, MCR (el grupo de radio líder), Media Capital Digital con alto tráfico web y redes sociales, y empresas de producción y servicios técnicos. La operación está sujeta a aprobaciones regulatorias y financieras.
Cofina, fundada en 1995, es una empresa portuguesa con presencia en prensa escrita y televisión por cable, y con esta adquisición expande su portfolio mediático. PRISA estima una pérdida contable de aproximadamente 76,4 millones de euros por la transacción.
</t>
  </si>
  <si>
    <t xml:space="preserve"> PRISA ha vendido el 94,69% de Media Capital a la portuguesa Cofina por 170 millones de euros, valorando el 100% de la empresa en 255 millones, incluida la deuda. Esta transacción, que generará fondos para amortizar deuda de PRISA, refuerza el plan del grupo de enfocarse en la reducción del endeudamiento y en crecimientos rentables en educación e información. Media Capital, el mayor grupo de medios en Portugal, incluye TVI, MCR (grupo de radio líder), Media Capital Digital, y varias empresas de producción y servicios. La operación está sujeta a aprobaciones regulatorias y financieras.
</t>
  </si>
  <si>
    <t xml:space="preserve"> **Qué:** PRISA ha vendido el 94,69% de Media Capital a la empresa portuguesa Cofina por 170 millones de euros.
**Quién:** PRISA (grupo editor de EL PAÍS) y Cofina (empresa portuguesa).
**Cuándo:** La operación está condicionada a aprobaciones y se espera que se concrete bajo ciertas condiciones previas.
**Dónde:** La transacción involucra empresas con operaciones principalmente en Portugal, aunque Media Capital tiene alcance internacional.
**Por qué:** PRISA vende Media Capital para enfocarse en reducir su deuda y apoyar crecimientos rentables en educación e información. La venta se considera atractiva valorando el 100% de Media Capital en 255 millones de euros, incluyendo deuda.
**Cómo:** La venta se realizará una vez obtenidas las autorizaciones necesarias y aprobadas ciertas condiciones por parte de accionistas y autoridades. Los fondos obtenidos se utilizarán para amortizar deuda de PRISA.
Además, Media Capital es un grupo líder en medios de Portugal, poseyendo TVI, MCR (grupos de radio), Media Capital Digital, y varias empresas de producción y servicios relacionados. Cofina, la compradora, es una empresa portuguesa con presencia en medios impresos y televisión por cable.
</t>
  </si>
  <si>
    <t xml:space="preserve"> PRISA ha vendido el 94,69% de Media Capital a la empresa portuguesa Cofina por 170 millones de euros, valorando el 100% de la compañía en 255 millones, incluida la deuda. Los fondos de la venta se usarán para amortizar deuda de PRISA, apoyando su plan de desapalancamiento. Media Capital, líder en medios en Portugal, incluye TVI, varias radios y plataformas digitales. La operación está sujeta a aprobaciones regulatorias y financieras. La transacción resultará en una pérdida contable estimada de 76,4 millones para PRISA.
</t>
  </si>
  <si>
    <r>
      <rPr>
        <rFont val="Arial"/>
        <color theme="1"/>
        <sz val="9.0"/>
      </rPr>
      <t xml:space="preserve"> El Consejo de Administración del Málaga CF ha decidido terminar la relación laboral con el director deportivo, José Luis Pérez Caminero, debido a diferencias sobre el rumbo del club y su desempeño. Caminero, quien llegó en 2018 desde el Atlético de Madrid, enfrentaba una mala relación con el propietario, el jeque Al-Thani, y su gestión fue cuestionada especialmente tras problemas en la confección de la plantilla este verano y la infracción del límite salarial. El club está inmerso en crisis económica y deportiva, luchando contra el descenso a Segunda División B. Tras su salida, el Málaga ya busca un nuevo director deportivo y ha presentado un plan de viabilidad a LaLiga para asegurar su supervivencia. </t>
    </r>
    <r>
      <rPr>
        <rFont val="Arial"/>
        <strike/>
        <color theme="1"/>
        <sz val="9.0"/>
      </rPr>
      <t>La decisión de Caminero</t>
    </r>
    <r>
      <rPr>
        <rFont val="Arial"/>
        <color theme="1"/>
        <sz val="9.0"/>
      </rPr>
      <t xml:space="preserve"> es parte de la serie de cambios en la dirección del club y ha generado preocupación entre las instituciones locales y la afición.</t>
    </r>
  </si>
  <si>
    <r>
      <rPr>
        <rFont val="Arial"/>
        <color theme="1"/>
        <sz val="9.0"/>
      </rPr>
      <t xml:space="preserve"> El Consejo de Administración del Málaga CF ha decidido finalizar la relación laboral con el director deportivo José Luis Pérez Caminero </t>
    </r>
    <r>
      <rPr>
        <rFont val="Arial"/>
        <color rgb="FFFF0000"/>
        <sz val="9.0"/>
      </rPr>
      <t>debido a diferencias</t>
    </r>
    <r>
      <rPr>
        <rFont val="Arial"/>
        <color theme="1"/>
        <sz val="9.0"/>
      </rPr>
      <t xml:space="preserve"> y la necesidad de un nuevo rumbo para el club. Caminero, quien llegó en 2018, enfrentaba una mala relación con el propietario, el jeque Al-Thani, y problemas significativos en la confección de la plantilla este verano, incluyendo la frustración de varias operaciones y la inscripción de solo 17 licencias profesionales. El club está inmerso en crisis económica y lucha por evitar el descenso a Segunda División B. Tras la salida de Caminero, el Málaga ha iniciado la búsqueda de un nuevo director deportivo y ha presentado un plan de viabilidad a LaLiga para asegurar su viabilidad económica. La decisión se produce </t>
    </r>
    <r>
      <rPr>
        <rFont val="Arial"/>
        <color rgb="FFFF0000"/>
        <sz val="9.0"/>
      </rPr>
      <t>en medio de la unión de instituciones políticas</t>
    </r>
    <r>
      <rPr>
        <rFont val="Arial"/>
        <color theme="1"/>
        <sz val="9.0"/>
      </rPr>
      <t xml:space="preserve"> para pedir soluciones al propietario y tras la fallida temporada pasada en la que el equipo no logró el ascenso a Primera División.</t>
    </r>
  </si>
  <si>
    <r>
      <rPr>
        <rFont val="Arial"/>
        <color theme="1"/>
        <sz val="9.0"/>
      </rPr>
      <t xml:space="preserve"> **Qué:** El Consejo de Administración del Málaga CF ha decidido finalizar la relación laboral con el director deportivo José Luis Pérez Caminero.
**Quién:** El Consejo de Administración del Málaga CF y José Luis Pérez Caminero.
**Cuándo:** </t>
    </r>
    <r>
      <rPr>
        <rFont val="Arial"/>
        <strike/>
        <color theme="1"/>
        <sz val="9.0"/>
      </rPr>
      <t>La decisión se tomó a primera hora de la mañana y se comunicó el lunes</t>
    </r>
    <r>
      <rPr>
        <rFont val="Arial"/>
        <color theme="1"/>
        <sz val="9.0"/>
      </rPr>
      <t xml:space="preserve">, tras una notificación dada el viernes pasado.
**Dónde:** En la sede del Málaga CF, en Málaga, España.
**Por qué:** La decisión se tomó debido </t>
    </r>
    <r>
      <rPr>
        <rFont val="Arial"/>
        <color rgb="FFFF0000"/>
        <sz val="9.0"/>
      </rPr>
      <t>a la inconveniencia de que Caminero continuara en el cargo dada la nueva dirección que está tomando la entidad</t>
    </r>
    <r>
      <rPr>
        <rFont val="Arial"/>
        <color theme="1"/>
        <sz val="9.0"/>
      </rPr>
      <t>, y tras una mala gestión de la plantilla y problemas económicos.
**Cómo:** La noticia se comunicó oficialmente a través de un comunicado del club. Se están iniciando gestiones para contratar a un nuevo director deportivo. Caminero había llegado al club en junio de 2018 desde el Atlético de Madrid y su salida es parte de una serie de cambios en la dirección del Málaga CF bajo el propietario jeque Al-Thani.</t>
    </r>
  </si>
  <si>
    <r>
      <rPr>
        <rFont val="Arial"/>
        <color theme="1"/>
        <sz val="9.0"/>
      </rPr>
      <t xml:space="preserve"> El Consejo de Administración del Málaga CF ha despedido a su director deportivo, José Luis Pérez Caminero, debido a diferencias y la mala gestión de la plantilla esta temporada, incluyendo conflictos con el propietario, el jeque Al-Thani, y </t>
    </r>
    <r>
      <rPr>
        <rFont val="Arial"/>
        <strike/>
        <color theme="1"/>
        <sz val="9.0"/>
      </rPr>
      <t>problemas económicos que han llevado al equipo a estar en riesgo de descenso a Segunda División B</t>
    </r>
    <r>
      <rPr>
        <rFont val="Arial"/>
        <color theme="1"/>
        <sz val="9.0"/>
      </rPr>
      <t>. Se está buscando un reemplazo mientras el club implementa un plan de viabilidad para evitar impagos.</t>
    </r>
  </si>
  <si>
    <r>
      <rPr>
        <rFont val="Arial"/>
        <color theme="1"/>
        <sz val="9.0"/>
      </rPr>
      <t xml:space="preserve"> El Gobierno catalán está atravesando una grave crisis entre sus socios, Junts per Catalunya y ERC, debido a los pactos postelectorales. La portavoz del Gobierno, Elsa Artadi, ha admitido que la relación entre ambos partidos "ha tocado fondo" y que la unión está "más lejos que nunca". El conflicto surgió tras un pacto entre Junts y el PSC para gobernar la Diputación de Barcelona, lo que ha llevado a ERC </t>
    </r>
    <r>
      <rPr>
        <rFont val="Arial"/>
        <strike/>
        <color theme="1"/>
        <sz val="9.0"/>
      </rPr>
      <t>a cuestionar la lealtad de su socio y a revertir acuerdos en varios ayuntamientos.</t>
    </r>
    <r>
      <rPr>
        <rFont val="Arial"/>
        <color theme="1"/>
        <sz val="9.0"/>
      </rPr>
      <t xml:space="preserve">
A pesar de las tensiones, ambos partidos aseguran que la continuidad del Govern no está en riesgo y se reunieron para buscar una solución, aunque sin éxito.</t>
    </r>
    <r>
      <rPr>
        <rFont val="Arial"/>
        <strike/>
        <color theme="1"/>
        <sz val="9.0"/>
      </rPr>
      <t xml:space="preserve"> ERC propuso dar la presidencia de la Diputación a Junts a cambio de un acuerdo en otros ámbitos, pero esta oferta fue rechazada por Junts, que considera que los pactos locales son irreversibles.</t>
    </r>
    <r>
      <rPr>
        <rFont val="Arial"/>
        <color theme="1"/>
        <sz val="9.0"/>
      </rPr>
      <t xml:space="preserve">
El PSC ha criticado la situación, acusando a ERC de "subastar" cargos y de no respetar los acuerdos legítimos. La crisis es la tercera de gran envergadura entre los socios desde el inicio de la legislatura y se produce en un momento crítico, a pocos meses de la sentencia del procés y tras una competencia electoral por la hegemonía independentista.
Aunque la tensión es alta, ambos partidos reconocen la necesidad de mantener la colaboración y han asegurado que no habrá una crisis de gobierno inminente. Sin embargo, los reproches y la rivalidad electoral están presentes, y la situación sigue siendo muy delicada.</t>
    </r>
  </si>
  <si>
    <r>
      <rPr>
        <rFont val="Arial"/>
        <color theme="1"/>
        <sz val="9.0"/>
      </rPr>
      <t xml:space="preserve"> **Resumen:**
La coalición entre Junts per Catalunya y ERC en el Gobierno de Cataluña enfrenta su crisis más grave desde su inicio debido a desacuerdos sobre pactos postelectorales, especialmente en la Diputación de Barcelona. Elsa Artadi, portavoz del Gobierno, ha admitido que la relación entre ambos partidos "ha tocado fondo" y que la unión está "más lejos que nunca". La disputa surgió tras un acuerdo entre Junts y el PSC para gobernar la Diputación, mientras ERC firmó pactos con el PSC en 26 ayuntamientos, desplazando a alcaldes de Junts.
Junts per Catalunya ha propuesto a ERC una agenda para revertir estos acuerdos y garantizar la unidad independentista, pero ERC ha rechazado la interferencia en sus decisiones locales, argumentando ser una formación asamblearia. </t>
    </r>
    <r>
      <rPr>
        <rFont val="Arial"/>
        <strike/>
        <color theme="1"/>
        <sz val="9.0"/>
      </rPr>
      <t xml:space="preserve">La propuesta de Junts de ceder la presidencia de la Diputación a ERC a cambio de apoyos </t>
    </r>
    <r>
      <rPr>
        <rFont val="Arial"/>
        <color theme="1"/>
        <sz val="9.0"/>
      </rPr>
      <t>ha sido vista por el PSC como una "subasta" y ha generado críticas.
A pesar de la tensión, ambos partidos han asegurado que no hay crisis de gobierno y que necesitan mantener la alianza, especialmente ante la inminente sentencia del procés. La rivalidad electoral comienza a manifestarse, con reproches mutuos sobre estrategias electorales y listas unitarias. La sesión semanal del Govern de mañana reflejará la persistente tensión entre los socios.</t>
    </r>
  </si>
  <si>
    <r>
      <rPr>
        <rFont val="Arial"/>
        <color theme="1"/>
        <sz val="9.0"/>
      </rPr>
      <t xml:space="preserve"> **Qué:** Junts per Catalunya y ERC, socios del Govern de la Generalitat, enfrentan una grave crisis por discrepancias en los pactos postelectorales, especialmente en la Diputación de Barcelona.
**Quién:** Principales actores involucrados son Elsa Artadi (portavoz del Gobierno catalán y de Junts per Catalunya), Ferran Bel (exdiputado de Junts per Catalunya), Pere Aragonès (vicepresidente del Govern y secretario general de ERC), y representantes del PSC y otros partidos.
**Cuándo:** La crisis se desencadenó tras el pacto entre Junts per Catalunya y el PSC para gobernar la Diputación de Barcelona el viernes y ha escalado durante el fin de semana y la semana siguiente.
**Dónde:** La crisis ocurre en el contexto del Gobierno de la Generalitat de Cataluña y específicamente en torno a la Diputación de Barcelona, una institución clave con un presupuesto de 1.000 millones de euros.
**Por qué:** La crisis surge por diferencias en la estrategia de pactos electorales, con </t>
    </r>
    <r>
      <rPr>
        <rFont val="Arial"/>
        <strike/>
        <color theme="1"/>
        <sz val="9.0"/>
      </rPr>
      <t>ERC acusando a Junts per Catalunya de desplazar a alcaldes republicanos en 26 municipios y Junts per Catalunya respondiendo con críticas a los pactos de ERC con el PSC, incluido el de la Diputación de Barcelona.</t>
    </r>
    <r>
      <rPr>
        <rFont val="Arial"/>
        <color theme="1"/>
        <sz val="9.0"/>
      </rPr>
      <t xml:space="preserve">
**Cómo:** La disputa se ha manifestado a través de declaraciones públicas, reuniones internas de los partidos y una propuesta de Junts per Catalunya para revertir algunos de los acuerdos, que ha sido rechazada por ERC. La situación ha generado tensión dentro del Govern y podría afectar la unidad estratégica del independentismo de cara a la sentencia del procés.</t>
    </r>
  </si>
  <si>
    <r>
      <rPr>
        <rFont val="Arial"/>
        <color theme="1"/>
        <sz val="9.0"/>
      </rPr>
      <t xml:space="preserve"> **Resumen:**
La coalición entre Junts per Catalunya y ERC en el Gobierno de Cataluña está atravesando su peor crisis desde su formación, debido a desacuerdos sobre pactos postelectorales, especialmente en la Diputación de Barcelona. Elsa Artadi, portavoz del Gobierno, ha admitido que la relación entre ambos partidos "ha tocado fondo" y que la unión está "más lejos que nunca". La disputa surgió tras un acuerdo entre Junts y el PSC para gobernar la Diputación, mientras ERC firmaba pactos con el PSC en varios ayuntamientos, desplazando a alcaldes de Junts.
Junts ha exigido a ERC una agenda para revertir estos acuerdos y garantizar la unidad independentista, pero ERC ha respondido que no puede interferir en las decisiones locales y ofrece solo la presidencia de la Diputación a Junts </t>
    </r>
    <r>
      <rPr>
        <rFont val="Arial"/>
        <strike/>
        <color theme="1"/>
        <sz val="9.0"/>
      </rPr>
      <t>a cambio de un tripartito de izquierdas que incluya Comunes</t>
    </r>
    <r>
      <rPr>
        <rFont val="Arial"/>
        <color theme="1"/>
        <sz val="9.0"/>
      </rPr>
      <t>, lo que Junts rechaza. La crisis se intensifica en un momento crítico, previo a la sentencia del procés, y a pesar de las tensiones, ambos partidos aseguran que no hay crisis de gobierno y que seguirán trabajando juntos, aunque la rivalidad electoral es evidente.</t>
    </r>
  </si>
  <si>
    <t xml:space="preserve"> Durante la convención D23 de Disney, la compañía presentó su impresionante éxito reciente, con seis de las películas más taquilleras de 2019 procedentes de sus estudios. Entre ellas destacan "Vengadores: Endgame", el film más taquillero de la historia, y otras como "El rey león" y "Capitana Marvel". Disney ha logrado esto a través de una serie de adquisiciones estratégicas como Pixar, Marvel, Lucasfilm y Fox, lo que le ha permitido controlar y explotar marcas icónicas a nivel global.
La empresa también anunció su entrada en el mercado de los servicios de streaming con el lanzamiento de Disney+ en noviembre de 2020 en Estados Unidos y en 2021 en España, ofreciendo un catálogo exclusivo de contenido familiar de todas sus subsidiarias. Este movimiento se ve como una respuesta directa a la competencia de plataformas como Netflix y HBO.
Además, durante la convención se revelaron numerosos proyectos futuros, incluyendo nuevas películas y series de Marvel, Star Wars, Pixar y otros estudios bajo el paraguas de Disney. Estos anuncios refuerzan la posición dominante de Disney en la industria del entretenimiento y su capacidad para atraer a grandes estrellas y mantener el interés del público con contenido de alta calidad y eventos espectaculares.
A pesar de la ruptura de su acuerdo con Sony para el personaje de Spider-Man, Disney mantiene un optimismo desbordante y una agenda cargada de proyectos que prometen seguir consolidando su imperio en el mundo del cine y el streaming.
</t>
  </si>
  <si>
    <t xml:space="preserve"> **Resumen del Contenido Más Relevante:**
Disney ha alcanzado un dominio sin precedentes en la industria del entretenimiento con una serie de adquisiciones estratégicas que incluyen Pixar (2006), Marvel (2009), Lucasfilm (2012) y Fox (2017). Estas adquisiciones le han permitido controlar marcas icónicas como Star Wars, Marvel, y los personajes de Disney, así como expandirse en la animación y el contenido para adultos.
En la convención D23, Disney presentó un impresionante lineup de próximos proyectos, incluyendo películas como "Frozen 2", "Star Wars: Episodio IX", y varias series exclusivas para su nuevo servicio de streaming, Disney+, que lanzará en noviembre de 2019 en Estados Unidos por $7 al mes. Este servicio integrará todos los catálogos adquiridos y ofrecerá contenido familiar exclusivo.
La compañía también ha demostrado su capacidad para reinventar y expandir sus franquicias, con series como "The Mandalorian" de Star Wars y proyectos de Marvel que involucran a actores de la saga de Vengadores. Además, Disney está diversificando su oferta con películas como "Onward" de Pixar y "Raya y el último dragón".
A pesar del éxito, Disney enfrenta desafíos, como la ruptura de su acuerdo con Sony para el personaje de Spider-Man, lo que podría afectar la continuidad del personaje dentro del Universo Cinematográfico de Marvel (MCU).
En resumen, Disney está en la cima de la industria del entretenimiento gracias a su estrategia de adquisiciones, su capacidad para innovar y expandir sus marcas, y su lanzamiento de Disney+, que promete revolucionar la forma en que los consumidores acceden a su contenido.
</t>
  </si>
  <si>
    <t xml:space="preserve"> **Qué:** La compañía Disney presentó sus próximos proyectos y novedades en la convención D23 en Anaheim, California, ante 7,000 asistentes pagantes y con la presencia de estrellas de sus películas más taquilleras.
**Quién:** Disney, junto con figuras clave como Robert Iger (consejero delegado), Alan Horn (director creativo y copresidente), Kevin Mayer (director de servicios directos al consumidor), y numerosas estrellas de cine y televisión como Robert Downey Jr., Tom Holland, y Dwayne Johnson.
**Cuándo:** Durante el fin de semana de la convención D23, que tuvo lugar este año sin una fecha específica mencionada pero en el contexto de 2019.
**Dónde:** En el pabellón del centro de convenciones de Anaheim, California, al lado de Disneyland.
**Por qué:** Para mostrar su dominio en la industria del entretenimiento, destacar sus adquisiciones estratégicas (como Pixar, Marvel, Lucasfilm y Fox), y anunciar sus próximos lanzamientos en cine y televisión a través de su servicio de streaming Disney+.
**Cómo:** A través de presentaciones espectaculares en vivo, con demostraciones de nuevas películas, series, y anuncios de proyectos futuros, todo ello rodeado de un gran despliegue de estrellas y efectos especiales.
Disney aprovechó el evento para reafirmar su posición como líder en la industria del entretenimiento, anunciando una amplia gama de proyectos que abarcan desde películas de gran presupuesto hasta series exclusivas para su plataforma de streaming Disney+, que se lanzará en noviembre de 2019 en Estados Unidos.
</t>
  </si>
  <si>
    <t xml:space="preserve"> Disney ha tenido un año récord con sus películas, liderando en taquilla con títulos de Marvel, Star Wars y Pixar. La compañía ha expandido su imperio con adquisiciones como Marvel, Lucasfilm y Fox, y ahora se prepara para lanzar su propio servicio de streaming, Disney+, el 12 de noviembre en EE.UU., ofreciendo contenido exclusivo de sus estudios. Para mantener su dominio, Disney anuncia una serie de nuevas películas y series para Disney+, incluyendo proyectos de Marvel, Star Wars y Pixar. Además, enfrenta un desafío con Sony al romper el acuerdo para compartir el personaje de Spider-Man, lo que decepciona a los fans. La estrategia de Disney se centra en crear eventos cinematográficos y contenido familiar exclusivo para consolidar su posición en la industria del entretenimiento.
</t>
  </si>
  <si>
    <r>
      <rPr>
        <rFont val="Arial"/>
        <color theme="1"/>
        <sz val="9.0"/>
      </rPr>
      <t xml:space="preserve"> Después del fracaso de la investidura de Pedro Sánchez, artistas, escritores e intelectuales que firmaron un manifiesto a favor de un Gobierno progresista expresan decepción, rabia y tristeza. Sienten que la situación podría ser parte de una estrategia que carece de empatía y pudor. Aunque inicialmente hubo ilusión tras las elecciones del 28-A, el 25-J marcó un punto de inflexión hacia la perplejidad y el enfado. La responsabilidad del fracaso es atribuida tanto al PSOE como a UP, aunque algunos consideran que la culpa recae más en el PSOE por no ofrecer una participación real a UP. A pesar de las dificultades, muchos insisten en la necesidad de seguir empujando para un acuerdo que evite nuevas elecciones, vistas como suicidas para la izquierda. </t>
    </r>
    <r>
      <rPr>
        <rFont val="Arial"/>
        <strike/>
        <color theme="1"/>
        <sz val="9.0"/>
      </rPr>
      <t>Algunos</t>
    </r>
    <r>
      <rPr>
        <rFont val="Arial"/>
        <color theme="1"/>
        <sz val="9.0"/>
      </rPr>
      <t xml:space="preserve"> sugieren la intervención de mediadores para facilitar un pacto. La alternativa de elecciones anticipadas es vista con preocupación por la posible desmovilización de votantes de izquierda y el consiguiente triunfo de la derecha.</t>
    </r>
  </si>
  <si>
    <t xml:space="preserve"> **Resumen:**
La izquierda cultural muestra decepción, rabia y tristeza tras el fracaso de la investidura de Pedro Sánchez, criticando tanto al PSOE como a Unidas Podemos por su falta de acuerdo y estrategia. Aunque algunos reconocen la complejidad de las negociaciones, la mayoría lamenta la pérdida de la ilusión generada tras las elecciones del 28-A y teme las consecuencias de nuevas elecciones para la izquierda. A pesar de esto, varios artistas y escritores insisten en la necesidad de seguir presionando para un acuerdo progresista, sugiriendo transparencia y propuestas flexibles por parte de UP. Algunos incluso consideran que un pacto de derecha podría ser un catalizador para una mayor unión de la izquierda en el futuro.
</t>
  </si>
  <si>
    <r>
      <rPr>
        <rFont val="Arial"/>
        <color theme="1"/>
        <sz val="9.0"/>
      </rPr>
      <t xml:space="preserve"> **Qué:** Artistas, escritores e intelectuales expresan su decepción, desengaño y rabia tras el fracaso de la investidura de Pedro Sánchez, criticando la falta de acuerdo entre PSOE y Unidas Podemos.
**Quién:** Siete figuras de la cultura y la intelectualidad española, incluidos Zahara, Carlos Berzosa, Alberto San Juan, Marta Sanz, Chus Gutiérrez y Víctor García León, así como Abel Azcona.
**Cuándo:** Después del 25 de julio de </t>
    </r>
    <r>
      <rPr>
        <rFont val="Arial"/>
        <strike/>
        <color theme="1"/>
        <sz val="9.0"/>
      </rPr>
      <t>2023</t>
    </r>
    <r>
      <rPr>
        <rFont val="Arial"/>
        <color theme="1"/>
        <sz val="9.0"/>
      </rPr>
      <t xml:space="preserve">, fecha de la fallida investidura de Pedro Sánchez, y en referencia a los eventos previos desde las elecciones del 28 de abril de </t>
    </r>
    <r>
      <rPr>
        <rFont val="Arial"/>
        <strike/>
        <color theme="1"/>
        <sz val="9.0"/>
      </rPr>
      <t>2023</t>
    </r>
    <r>
      <rPr>
        <rFont val="Arial"/>
        <color theme="1"/>
        <sz val="9.0"/>
      </rPr>
      <t>.
**Dónde:** España, en el contexto del proceso político y parlamentario tras las elecciones generales.
**Por qué:** La frustración surge por la incapacidad de PSOE y UP para alcanzar un acuerdo que permita la formación de un gobierno progresista, a pesar de las expectativas generadas tras las elecciones del 28-A.
**Cómo:** A través de declaraciones y opiniones recogidas por un diario, donde los artistas e intelectuales analizan las causas del fracaso, critican la actitud de los partidos políticos y expresan su preocupación por las consecuencias para la izquierda y el país en general.</t>
    </r>
  </si>
  <si>
    <r>
      <rPr>
        <rFont val="Arial"/>
        <color theme="1"/>
        <sz val="9.0"/>
      </rPr>
      <t xml:space="preserve"> Artistas y escritores que firmaron un manifiesto a favor de un Gobierno progresista expresan decepción, desengaño y rabia tras el fracaso de la investidura de Pedro Sánchez. Sienten que tanto el PSOE como Unidas Podemos han compartido la responsabilidad del estancamiento y critican la falta de empatía y estrategia en las negociaciones. Aunque algunos mantienen la esperanza en un acuerdo último, la mayoría ve con preocupación la posibilidad de nuevas elecciones que podrían beneficiar a la derecha. </t>
    </r>
    <r>
      <rPr>
        <rFont val="Arial"/>
        <strike/>
        <color theme="1"/>
        <sz val="9.0"/>
      </rPr>
      <t>Algunos</t>
    </r>
    <r>
      <rPr>
        <rFont val="Arial"/>
        <color theme="1"/>
        <sz val="9.0"/>
      </rPr>
      <t xml:space="preserve"> sugieren la intervención de mediadores para facilitar un pacto.</t>
    </r>
  </si>
  <si>
    <t xml:space="preserve"> En 2012, Gennadiy Samokhin alcanzó los 2,191 metros en la sima Krúbera-Voronya, en Abjasia, la más profunda del mundo. En 2013, Jesús Calleja y su equipo quedaron atrapados en ella durante nueve días. En 2015, se descubrieron 12 nuevas especies en esta cueva. Dark Star en Uzbekistán es considerado el "Everest subterráneo" con posibles 2,651 metros de profundidad. En Picos de Europa, la torca del Cerro del Cuevón es la séptima más profunda con -1,589 metros. En 2016, se descubrió en Ruesga el pozo más profundo de España con 435,92 metros. Las cavernas de Wang Dong en China, exploradas en 2013, contienen una vasta red subterránea con impresionantes salas y simas.
</t>
  </si>
  <si>
    <t xml:space="preserve"> **Resumen del contenido más relevante:**
- **Gennadiy Samokhin** alcanzó los **2.191 metros** en la sima **Krúbera-Voronya** en 2012, la más profunda del mundo.
- **Jesús Calleja y su equipo** estuvieron atrapados **9 días** a **1.637 metros** en la misma sima en 2013.
- **Sergio García-Dils y su equipo** descubrieron **12 nuevas especies** en Krúbera-Voronya en 2015.
- **Dark Star** en Uzbekistán es considerado el "Everest subterráneo", con una profundidad estimada de **hasta 2.651 metros**.
- En **Picos de Europa**, la **torca del Cerro del Cuevón** tiene una profundidad de **-1.589 metros**, siendo la séptima más profunda del mundo.
- En **Ruesga, Cantabria**, se descubrió el **pozo más profundo de España**, con **435,92 metros** de caída libre.
- **Las cavernas de Wang Dong en China** albergan una de las mayores redes subterráneas, incluyendo la **salón Cloud Ladder Hall** de **250 metros de altura** y el **Abismo de Xinu Attic** con paredes verticales.
Estos puntos destacan los logros en exploración subterránea, las profundidades récord y los descubrimientos científicos en diversas cuevas alrededor del mundo.
</t>
  </si>
  <si>
    <t xml:space="preserve"> **Qué:** Se describen diversas cuevas y simas de gran profundidad y complejidad en diferentes partes del mundo, incluyendo logros de espeleólogos, descubrimientos de especies y características únicas de estos entornos subterráneos.
**Quién:** 
- Gennadiy Samokhin (espeleólogo ucraniano)
- Jesús Calleja (aventurero y presentador de televisión)
- Sergio García-Dils (arqueólogo)
- Espeleo Club Ábrigu y el Club Cántabro de Exploraciones Subterráneas (ÁBRIGU-CCES)
- Equipo de espeleólogos que exploraron las cavernas de Wang Dong (China)
**Cuándo:** 
- 2012: Gennadiy Samokhin logra la profundidad récord en Krúbera-Voronya.
- 2013: Jesús Calleja y su equipo quedan atrapados en Krúbera-Voronya.
- 2015: Sergio García-Dils y su equipo descubren nuevas especies en Krúbera-Voronya.
- 2016: Espeleólogos de ÁBRIGU-CCES descubren el pozo más profundo de España en Ruesga.
- 2013: Primera exploración detallada de las cavernas de Wang Dong por una expedición china.
**Dónde:** 
- Sima Krúbera-Voronya, macizo de Gagra, Abjasia, Cáucaso Occidental.
- Sistema de cuevas Dark Star, cordillera de Boysuntov, Uzbekistán.
- Salón de la Luna Llena, sistema de cuevas en Uzbekistán.
- Macizo central de Picos de Europa (Cantabria, Asturias y León), España.
- Ruesga, Cantabria, España.
- Cavernas de Wang Dong, provincia de Chongquing, China.
**Por qué:** 
- Los espeleólogos buscan establecer récords de profundidad y explorar áreas inéditas del subsuelo.
- Se busca descubrir y estudiar la biodiversidad única de estos entornos subterráneos.
- La exploración de cuevas y simas contribuye al conocimiento geológico y climático de las regiones donde se encuentran.
**Cómo:** 
- Utilizando equipo de espeleología avanzado, técnicas de descenso en cuerda, y navegación subterránea.
- Realizando expediciones prolongadas que pueden durar varios días o semanas.
- Mediante el estudio de depósitos minerales y la observación de características físicas de las cuevas para reconstruir la historia climática y geológica de la zona.
</t>
  </si>
  <si>
    <t xml:space="preserve"> En 2012, Gennadiy Samokhin alcanzó los 2,191 metros en la sima Krúbera-Voronya, la más profunda del mundo. En 2013, Jesús Calleja y su equipo quedaron atrapados a 1,637 metros en la misma sima. En 2015, se descubrieron 12 nuevas especies en Krúbera-Voronya. Dark Star en Uzbekistán se estima que podría superar los 2,651 metros de profundidad. En Picos de Europa, la torca del Cerro del Cuevón es la séptima más profunda con -1,589 metros. En 2016, se descubrió en Ruesga el pozo más profundo de España con 435,92 metros. Las cavernas de Wang Dong en China tienen una de las mayores redes subterráneas conocidas.
</t>
  </si>
  <si>
    <t xml:space="preserve"> Antonio Díaz, un hombre de 50 años, lleva protestando diariamente en la Ciudad de la Justicia de Barcelona desde febrero de 2017. Su protesta se debe a que tiene dos hipotecas que han llevado al embargo de la casa de sus padres, y culpa a la justicia y a entidades bancarias como el BBVA. Ha sido detenido 17 veces por los Mossos d'Esquadra desde que el Tribunal Superior de Justicia de Cataluña (TSJC) ordenó que se abstuviera de gritar e insultar en las inmediaciones de los edificios judiciales. A pesar de las detenciones, Antonio sigue protestando y afirma que no se detendrá. La jueza decana de Barcelona, Mercè Caso, ha presentado un informe sobre la "grave alteración del orden" causada por las protestas de Antonio, y el TSJC ha habilitado a la jueza para tomar medidas para que Antonio pare. Sin embargo, Antonio sigue firme en su protesta y advierte que no piensa tomar vacaciones en agosto.</t>
  </si>
  <si>
    <t>El contenido más relevante del texto es la historia de Antonio Díaz, un hombre de 50 años que ha estado protestando diariamente en la Ciudad de la Justicia de Barcelona desde febrero de 2017. Su protesta se debe a que cree que la justicia está "podrida" y que ha sido víctima de una injusticia en relación con el embargo de la casa de sus padres, que atribuye al BBVA y a las empresas Anticipa.
A continuación, se resume el contenido más relevante:
* Antonio Díaz ha estado protestando en la Ciudad de la Justicia de Barcelona durante 2 años y medio, gritando y lanzando insultos contra jueces, fiscales y la justicia en general.
* El Tribunal Superior de Justicia de Cataluña (TSJC) ha aprobado una resolución que ordena a Antonio que se abstenga de perturbar la normal actividad en los edificios judiciales, bajo pena de desobediencia.
* A pesar de la resolución, Antonio ha seguido protestando y ha sido detenido 17 veces por los Mossos d'Esquadra desde que se hizo efectiva la resolución.
* La protesta de Antonio se debe a que cree que la justicia no ha actuado justamente en su caso, y que ha sido víctima de una injusticia en relación con el embargo de la casa de sus padres.
* El TSJC ha intentado otras opciones para solucionar el problema, como abrir diligencias penales, contactar con los servicios sociales y ofrecer asistencia letrada gratuita, pero nada ha surtido efecto.
* Antonio ha anunciado que no piensa tomar vacaciones en agosto y que seguirá protestando.</t>
  </si>
  <si>
    <t>A continuación, te presento un resumen del texto utilizando el método de las 5W1H (qué, quién, cuándo, dónde, por qué, cómo):
* **Qué**: Antonio Díaz, un hombre de 50 años, ha estado protestando diariamente en la Ciudad de la Justicia de Barcelona desde febrero de 2017, gritando y lanzando insultos contra jueces, fiscales y la justicia en general. El Tribunal Superior de Justicia de Cataluña (TSJC) ha aprobado una resolución que ordena a Antonio que se abstenga de protagonizar actos que perturben la normal actividad en las inmediaciones de los edificios judiciales.
* **Quién**: Antonio Díaz, un hombre de 50 años, es el protagonista de la protesta. También están involucrados el TSJC, la jueza decana Mercè Caso, los Mossos d'Esquadra y los servicios sociales.
* **Cuándo**: La protesta de Antonio Díaz comenzó en febrero de 2017 y ha continuado hasta la actualidad. La resolución del TSJC se aprobó el 11 de junio y se hizo efectiva el 8 de julio.
* **Dónde**: La protesta tiene lugar en la Ciudad de la Justicia de Barcelona, específicamente en la entrada de la sede judicial.
* **Por qué**: Antonio Díaz protesta porque considera que la justicia está "podrida" y que no ha hecho nada para ayudarle en su caso, en el que afirma que el BBVA y las empresas Anticipa lo han perjudicado con dos hipotecas que han llevado al embargo de la casa de sus padres.
* **Cómo**: Antonio Díaz protesta gritando y lanzando insultos contra jueces, fiscales y la justicia en general, y ha sido detenido 17 veces por los Mossos d'Esquadra desde que se hizo efectiva la resolución del TSJC. También ha desplegado una pancarta y ha llevado una camiseta blanca serigrafiada con mensajes contra el BBVA y las empresas Anticipa.</t>
  </si>
  <si>
    <t>Antonio Díaz, un hombre de 50 años, ha estado protestando diariamente desde febrero de 2017 en la Ciudad de la Justicia de Barcelona, gritando contra jueces, fiscales y la justicia en general debido a un conflicto con el banco BBVA y las empresas Anticipa que resultó en el embargo de la casa de sus padres. El Tribunal Superior de Justicia de Cataluña (TSJC) ordenó que se abstenga de perturbar la actividad judicial, pero Antonio ha sido detenido 17 veces desde julio por desobediencia. Asegura que no parará de protestar y está dispuesto a enfrentar las consecuencias.</t>
  </si>
  <si>
    <t>El gobierno mexicano ofrecerá una disculpa pública a Martha Camacho Loaiza, una exintegrante de la guerrilla urbana Liga Comunista 23 de septiembre, quien fue torturada junto a su esposo durante 49 días en 1977. Esta disculpa es un reconocimiento de la responsabilidad gubernamental en las violaciones graves de derechos humanos cometidos durante la Guerra Sucia, un periodo de casi dos décadas en el que el gobierno persiguió a la guerrilla y a los movimientos sociales. Camacho Loaiza, quien fue arrestada en 1977 mientras estaba embarazada, fue obligada a presenciar la tortura y ejecución de su esposo, y sus captores también pusieron una metralleta en la sien de su hijo al momento de nacer. La disculpa se llevará a cabo en el Centro Cultural Tlatelolco, un sitio simbólico donde fue reprimido el movimiento estudiantil en 1968. Esta es la primera vez que un gobierno mexicano reconoce su culpabilidad en estos crímenes y es un paso hacia la justicia y la verdad para las víctimas de la Guerra Sucia.</t>
  </si>
  <si>
    <r>
      <rPr>
        <rFont val="Arial"/>
        <color rgb="FF999999"/>
        <sz val="9.0"/>
      </rPr>
      <t>El contenido más relevante del texto es</t>
    </r>
    <r>
      <rPr>
        <rFont val="Arial"/>
        <color rgb="FF000000"/>
        <sz val="9.0"/>
      </rPr>
      <t xml:space="preserve"> la disculpa pública que el Estado mexicano ofrecerá a Martha Camacho Loaiza, una exintegrante de la guerrilla urbana Liga Comunista 23 de septiembre, quien fue torturada junto a su esposo durante 49 días en 1977 dentro de instalaciones militares. El acto de disculpa pública es importante porque reconoce la responsabilidad gubernamental en las violaciones graves de derechos humanos cometidos durante los años de la Guerra Sucia, un periodo de casi dos décadas en el que el Gobierno persiguió a la guerrilla y a los movimientos sociales.
En resumen, el Estado mexicano ofrece una disculpa pública a Martha Camacho Loaiza, víctima de tortura y violaciones de derechos humanos durante la Guerra Sucia, y reconoce la responsabilidad gubernamental en estos hechos. Este acto es un paso importante hacia la justicia y la memoria histórica en México, y busca saldar las cuentas con el pasado autoritario y opresivo del país.</t>
    </r>
  </si>
  <si>
    <t>A continuación, te presento un resumen del texto utilizando el método de las 5W1H (qué, quién, cuándo, dónde, por qué, cómo):
* **Qué**: El Estado mexicano ofrecerá una disculpa pública a Martha Camacho Loaiza, una exintegrante de la guerrilla urbana Liga Comunista 23 de septiembre, por las violaciones graves de derechos humanos cometidos durante la Guerra Sucia.
* **Quién**: La disculpa será ofrecida por la secretaria de Gobernación, Olga Sánchez Cordero, y el subsecretario Alejandro Encinas, en representación del Estado mexicano, a Martha Camacho Loaiza.
* **Cuándo**: El acto de disculpa se llevará a cabo este lunes en el Centro Cultural Tlatelolco.
* **Dónde**: El evento se realizará en el Centro Cultural Tlatelolco, un sitio cargado de simbolismo debido a la represión del movimiento estudiantil en 1968.
* **Por qué**: El Estado mexicano ofrece la disculpa para reconocer su responsabilidad en las violaciones graves de derechos humanos cometidos durante la Guerra Sucia y para saldar las cuentas con el pasado autoritario.
* **Cómo**: La disculpa se ofrecerá en un acto público, en el que Martha Camacho Loaiza recibirá la disculpa de los representantes del Estado mexicano y tendrá la oportunidad de hacer preguntas a los militares sobre los hechos que ocurrieron durante su detención y tortura en 1977.</t>
  </si>
  <si>
    <t>El Estado mexicano ofrecerá una disculpa pública a Martha Camacho Loaiza, exintegrante de la guerrilla urbana Liga Comunista 23 de septiembre, quien fue torturada junto a su esposo durante 49 días en 1977 dentro de instalaciones militares. La disculpa es un reconocimiento de la responsabilidad gubernamental en las violaciones graves de derechos humanos cometidos durante la Guerra Sucia. Camacho Loaiza busca justicia y respuestas a preguntas que la han rondado durante más de 40 años, y espera que el acto sea un paso hacia la verdad y la justicia.</t>
  </si>
  <si>
    <t>El autor del artículo habla sobre una conversación que tuvo con un alto cargo del Ayuntamiento de Barcelona antes de las elecciones municipales. Discutieron varios temas que preocupan a los barceloneses, como la seguridad, la invasión de perros en la ciudad y el ruido. El autor se refiere a la gran cantidad de perros en la ciudad, lo que causa problemas de suciedad y molestias, y cómo el Ayuntamiento no ha tomado medidas efectivas para abordar el problema. También habla sobre el ruido en la ciudad, que considera "casi institucionalizado", y cómo el Ayuntamiento no regula las actividades ruidosas. El alto cargo del Ayuntamiento le dijo que no pueden tomar medidas drásticas porque los dueños de perros y los que se benefician del ruido han formado "lobbies" poderosos que no quieren tocar. El autor concluye que el Ayuntamiento no ha hecho nada para abordar estos problemas y que la ciudad sigue sufriendo de ellos.</t>
  </si>
  <si>
    <t>El contenido más relevante del texto es la conversación entre el autor y un alto cargo del Ayuntamiento de Barcelona sobre los problemas que afectan a la ciudad, como la seguridad, el ruido y la presencia de perros en la ciudad. El autor destaca la falta de medidas efectivas para abordar estos problemas y la percepción de que los dueños de perros y los organizadores de eventos ruidosos han creado un "lobby" que impide al Ayuntamiento tomar medidas para solucionar estos problemas.
En resumen, el texto critica la inacción del Ayuntamiento de Barcelona para abordar problemas como la seguridad, el ruido y la presencia de perros en la ciudad, y sugiere que la influencia de ciertos grupos de interés (los dueños de perros y los organizadores de eventos ruidosos) es un obstáculo para la implementación de medidas efectivas.</t>
  </si>
  <si>
    <r>
      <rPr>
        <rFont val="Arial"/>
        <color rgb="FF000000"/>
        <sz val="9.0"/>
      </rPr>
      <t>A continuación, te presento un resumen del texto utilizando el método de las 5W1H:
* **Qué**: El autor del texto habla con un alto cargo del Ayuntamiento de Barcelona sobre varios problemas que afectan a la ciudad, como la seguridad, la invasión de perros, el ruido y la falta de regulación en estas áreas.
* **Quién**: El autor del texto y un alto cargo del Ayuntamiento de Barcelona son los principales protagonistas de la conversación.
* **Cuándo**: La conversación tuvo lugar antes de las últimas elecciones municipales, aunque no se especifica la fecha exacta.
* **Dónde**: La conversación se llevó a cabo en Barcelona, y se mencionan varios lugares de la ciudad, como el Paseo de Sant Joan y la Travessera de Gràcia.
* **Por qué**: El autor del texto quiere saber por qué el Ayuntamiento no está tomando medidas efectivas para abordar los problemas de la ciudad, y el alto cargo responde que es debido a la presión de los lobbies y la necesidad de mantener el apoyo popular.
* **Cómo**: La conversación se llevó a cabo de manera informal, y el autor del texto</t>
    </r>
    <r>
      <rPr>
        <rFont val="Arial"/>
        <strike/>
        <color rgb="FF000000"/>
        <sz val="9.0"/>
      </rPr>
      <t xml:space="preserve"> presenta sus preguntas y críticas de manera directa y honesta</t>
    </r>
    <r>
      <rPr>
        <rFont val="Arial"/>
        <color rgb="FF000000"/>
        <sz val="9.0"/>
      </rPr>
      <t xml:space="preserve">, mientras que </t>
    </r>
    <r>
      <rPr>
        <rFont val="Arial"/>
        <strike/>
        <color rgb="FF000000"/>
        <sz val="9.0"/>
      </rPr>
      <t>el alto cargo responde de manera evasiva y justificativa.</t>
    </r>
  </si>
  <si>
    <r>
      <rPr>
        <rFont val="Arial"/>
        <strike/>
        <color rgb="FF000000"/>
        <sz val="9.0"/>
      </rPr>
      <t>Un ciudadano de Barcelona</t>
    </r>
    <r>
      <rPr>
        <rFont val="Arial"/>
        <color rgb="FF000000"/>
        <sz val="9.0"/>
      </rPr>
      <t xml:space="preserve"> habla con un alto cargo del Ayuntamiento sobre varios problemas que afectan a la ciudad, como la invasión de perros, el ruido y la inseguridad. El cargo municipal reconoce que los dueños de perros se han convertido en un lobby poderoso y que </t>
    </r>
    <r>
      <rPr>
        <rFont val="Arial"/>
        <strike/>
        <color rgb="FF000000"/>
        <sz val="9.0"/>
      </rPr>
      <t>no se puede hacer nada para controlar la situación</t>
    </r>
    <r>
      <rPr>
        <rFont val="Arial"/>
        <color rgb="FF000000"/>
        <sz val="9.0"/>
      </rPr>
      <t xml:space="preserve">. También justifica el ruido como una forma de diversión para la gente y no quiere prohibirlo. Finalmente, menciona que la seguridad es un tema importante, pero </t>
    </r>
    <r>
      <rPr>
        <rFont val="Arial"/>
        <strike/>
        <color rgb="FF000000"/>
        <sz val="9.0"/>
      </rPr>
      <t>no se compromete a tomar medidas concretas para abordar estos problemas.</t>
    </r>
    <r>
      <rPr>
        <rFont val="Arial"/>
        <color rgb="FF000000"/>
        <sz val="9.0"/>
      </rPr>
      <t xml:space="preserve"> El autor del artículo critica la falta de acción del Ayuntamiento para resolver estos problemas y sugiere que los lobbies y la búsqueda de votos son los motivos detrás de la inacción.</t>
    </r>
  </si>
  <si>
    <t>El texto describe la revolución que ha experimentado la industria vinícola chilena en los últimos diez años, pasando de ser una anécdota a convertirse en una referencia vinícola. La uva país, tradicionalmente despreciada, ha sido reivindicada y se ha convertido en un emblema de esta revolución. El pipeño, un vino tradicional del campesino, también ha ganado popularidad. El autor destaca la labor de enólogos como Renán Cancino, Louis Antoine Luyt y Roberto Henríquez, que han trabajado para recuperar las viejas formas del vino y crear vinos con una identidad propia. El texto también menciona la diferencia entre los vinos del valle del Maule y Biobío, con los primeros siendo más profundos y complejos, y los segundos más ligeros y vibrantes. En general, el texto celebra el renacimiento de la industria vinícola chilena y la creación de vinos con una identidad y un carácter único.</t>
  </si>
  <si>
    <t>El contenido más relevante del texto es la evolución de la industria vinícola chilena en la última década, especialmente en relación con la reivindicación de la uva país y el pipeño, vinos tradicionales y humildes que han ganado reconocimiento y popularidad en el mercado.
En resumen, el texto describe cómo la industria vinícola chilena ha cambiado en los últimos diez años, pasando de producir vinos masivos y anónimos a enfocarse en la producción de vinos de alta calidad y con identidad propia. La uva país, considerada anteriormente como una variedad humilde y despreciada, ha sido reivindicada y se ha convertido en un emblema de la revolución vinícola chilena. El pipeño, un vino tradicional hecho con uva país, ha ganado popularidad y se ha convertido en un referente en la industria vinícola chilena.
El texto también menciona a varios productores y enólogos que han contribuido a esta revolución, como Renán Cancino, Louis Antoine Luyt y Roberto Henríquez, y destaca la importancia de la región del valle del Maule y Biobío en la producción de estos vinos. En general, el texto describe un escenario en el que la industria vinícola chilena ha experimentado un cambio significativo y ha encontrado un nuevo rumbo, enfocado en la producción de vinos auténticos y de alta calidad.</t>
  </si>
  <si>
    <t>A continuación, se resume el texto utilizando el método de las 5W1H:
* **Qué**: La industria vinícola chilena ha experimentado un cambio significativo en la última década, pasando de producir vinos masivos a enfocarse en la calidad y la variedad, especialmente con la reivindicación de la uva país y el pipeño.
* **Quién**: Los principales actores involucrados en este cambio son los productores de vino chilenos, como Renán Cancino, Louis Antoine Luyt, Cristian Sepúlveda, Manuel Moraga, Mauricio González y Roberto Henríquez, así como la sumiller Macarena Lladser.
* **Cuándo**: El cambio ha ocurrido en la última década, con la primera cosecha de pipeño que salió al mercado en 2014.
* **Dónde**: El cambio se ha producido en Chile, específicamente en los valles vinícolas del Maule y Biobío.
* **Por qué**: El cambio se debe a la búsqueda de una identidad vinícola propia y a la reivindicación de las variedades tradicionales, como la uva país, que habían sido despreciadas en el pasado.
* **Cómo**: Los productores de vino han cambiado sus métodos de producción, enfocándose en la calidad y la tradición, y utilizando técnicas como el zarandeo de las uvas y la fermentación en cubas abiertas, con una intervención mínima en el proceso de elaboración.</t>
  </si>
  <si>
    <t>El artículo habla sobre la revolución en la industria vinícola chilena en la última década, específicamente en la reivindicación de la uva país y el vino pipeño, que pasaron de ser considerados humildes y despreciados a ser emblemas de la industria. Se destacan los trabajos de enólogos como Renán Cancino, Louis Antoine Luyt y otros que han recuperado las viejas formas de elaboración y han dado valor a la variedad país, creando vinos con una seductora rusticidad y profundidad. El artículo también destaca la diferencia entre los vinos del valle del Maule y Biobío, siendo estos últimos más ligeros y vibrantes. En resumen, el artículo celebra el cambio en la industria vinícola chilena y el redescubrimiento de la uva país y el vino pipeño.</t>
  </si>
  <si>
    <t>El grupo editor PRISA ha acordado vender el 94,69% de Media Capital, un grupo de medios portugués, a la empresa Cofina por 170 millones de euros. La operación valora el 100% de Media Capital en 255 millones de euros, lo que se considera un precio atractivo. Los fondos generados por la venta se utilizarán para reducir la deuda de PRISA y acelerar su plan de desapalancamiento. La operación está sujeta a la aprobación de las autoridades reguladoras y financieras portuguesas, así como a la aprobación de la Junta General de la Sociedad. Media Capital es el mayor grupo de medios en Portugal y cuenta con una variedad de activos, incluyendo canales de televisión, radios, sitios web y productoras de contenido audiovisual.</t>
  </si>
  <si>
    <t>El contenido más relevante del texto es la venta del 94,69% de Media Capital, un grupo de medios portugués, por parte de PRISA a la empresa portuguesa Cofina por 170 millones de euros. A continuación, te presento un resumen de los puntos clave:
* PRISA vende el 94,69% de Media Capital a Cofina por 170 millones de euros.
* La operación valora el 100% de Media Capital en 255 millones de euros, incluyendo deuda.
* Los fondos generados por la venta se destinarán a amortizar la deuda de PRISA.
* La operación está condicionada a la obtención de autorizaciones y aprobaciones reguladoras.
* Media Capital es el mayor grupo de medios en Portugal, con propiedades como TVI, MCR y Media Capital Digital.
* La venta supondrá una pérdida contable estimada de 76,4 millones de euros para PRISA.
En resumen, PRISA vende su participación en Media Capital a Cofina para reducir su deuda y centrarse en sus negocios estratégicos, mientras que Cofina amplía su presencia en el mercado de medios portugués.</t>
  </si>
  <si>
    <t>A continuación, se resume el texto utilizando el método de las 5W1H:
* **Qué**: La venta del 94,69% de Media Capital, un grupo de medios portugués, a la empresa Cofina por 170 millones de euros.
* **Quién**: PRISA, el grupo editor de EL PAÍS, es el vendedor, mientras que Cofina es la compradora.
* **Cuándo**: La operación se ha acordado recientemente, aunque no se especifica una fecha exacta. La ejecución de la operación está condicionada a la obtención de varias autorizaciones y aprobaciones.
* **Dónde**: La operación se lleva a cabo en Portugal, donde se encuentra Media Capital, y también involucra a empresas y autoridades regulatorias portuguesas.
* **Por qué**: La venta se realiza para que PRISA pueda amortizar deuda y acelerar su plan de desapalancamiento, ya que Media Capital se considera un activo no estratégico para el grupo.
* **Cómo**: La operación se llevará a cabo mediante la venta del 94,69% de las acciones de Media Capital a Cofina, lo que valora el 100% de la empresa en 255 millones de euros, incluyendo deuda. La ejecución de la operación está condicionada a la obtención de varias autorizaciones y aprobaciones, incluyendo la autorización de las autoridades de competencia y regulatorias portuguesas.</t>
  </si>
  <si>
    <t>PRISA vende el 94,69% de Media Capital a Cofina por 170 millones de euros, valorando el 100% de la empresa en 255 millones. El objetivo es reducir la deuda y enfocarse en negocios de educación y información. La operación está sujeta a autorizaciones regulatorias y aprobaciones.</t>
  </si>
  <si>
    <t>El Consejo de Administración del Málaga CF ha decidido finalizar la relación laboral del director deportivo, José Luis Pérez Caminero, debido a que se considera que no es conveniente que siga en el cargo dado el nuevo rumbo que está tomando la entidad. La decisión se produjo después de que el propietario del club, el jeque Al-Thani, perdiera la confianza en Caminero tras los acontecimientos del verano, en los que el directivo no pudo realizar las operaciones que había planeado debido a los vetos económicos impuestos por LaLiga. El Málaga se encuentra en una situación económica delicada y lucha por no descender a Segunda División B. La salida de Caminero es el primer cambio importante en la dirección del club, que ahora es dirigido por asesores americanos en los que Al-Thani ha depositado su confianza.</t>
  </si>
  <si>
    <t>El contenido más relevante de este texto es la decisión del Consejo de Administración del Málaga CF de finalizar la relación laboral con José Luis Pérez Caminero, quien ocupaba el cargo de director deportivo del club. Esto se debe a que se considera que no es conveniente que siga en el cargo dado el nuevo rumbo que está tomando la entidad.
El resumen del contenido más relevante es el siguiente:
* El Málaga CF ha decidido finalizar la relación laboral con José Luis Pérez Caminero, director deportivo del club.
* La decisión se debió a que no es conveniente que siga en el cargo debido al nuevo rumbo que está tomando la entidad.
* Caminero había estado en el club desde junio de 2018 y había tenido una relación tensa con el propietario del club, el jeque Al-Thani.
* La salida de Caminero es un episodio más en la crisis que vive el equipo andaluz, que se encuentra en graves problemas económicos y en puestos de descenso a Segunda División B.
* El club ya ha iniciado las gestiones para contratar a un nuevo director deportivo.</t>
  </si>
  <si>
    <t>A continuación, se resume el texto utilizando el método de las 5W1H:
* **Qué**: El Consejo de Administración del Málaga CF ha decidido finalizar la relación laboral del director deportivo José Luis Pérez Caminero.
* **Quién**: El Consejo de Administración del Málaga CF, liderado por el propietario jeque Al-Thani, ha tomado la decisión.
* **Cuándo**: La noticia se produjo a primera hora de la mañana, después de que Caminero fuera informado el pasado viernes.
* **Dónde**: En el Málaga CF, un club de fútbol andaluz que se encuentra en una situación económica y deportiva difícil.
* **Por qué**: La decisión se debió a la falta de confianza del propietario en Caminero, quien no logró devolver al equipo a Primera División y tuvo desacuerdos con Al-Thani sobre la planificación del equipo.
* **Cómo**: El Málaga CF ya ha iniciado las gestiones para contratar a un nuevo director deportivo, y Caminero dejará de ocupar su cargo de inmediato.</t>
  </si>
  <si>
    <t>El Málaga CF ha decidido finalizar la relación laboral con su director deportivo, José Luis Pérez Caminero, debido a que no es conveniente que siga en el cargo dado el nuevo rumbo que está tomando el club. La salida de Caminero se produce en un momento de crisis para el equipo, que se encuentra en puestos de descenso a Segunda División B y enfrenta graves problemas económicos. El propietario del club, el jeque Al-Thani, ya no confiaba en Caminero después de los acontecimientos del verano, y el director deportivo no ha podido invertir en nuevos jugadores. El Málaga ya ha iniciado las gestiones para contratar a un nuevo director deportivo.</t>
  </si>
  <si>
    <t>La relación entre los partidos separatistas catalanes Junts per Catalunya y ERC ha alcanzado su punto más bajo desde el inicio del mandato debido a desacuerdos sobre pactos postelectorales. La diputada Elsa Artadi admitió que la relación ha "tocado fondo" y que la unión entre los partidos separatistas está "más lejos que nunca". El conflicto se desencadenó tras el pacto entre Junts per Catalunya y el PSC para gobernar la Diputación de Barcelona, lo que ha generado tensiones con ERC. A pesar de la crisis, la continuidad del Govern no está en cuestión. Se han producido críticas y reproches entre los líderes de ambos partidos, y se han realizado propuestas para revertir los acuerdos, pero hasta el momento no ha habido avance alguno. La situación se considera grave, especialmente con la sentencia del procés pendiente, pero se espera que no llegue a una crisis de gobierno debido a la necesidad de unidad entre los partidos separatistas.</t>
  </si>
  <si>
    <t>El contenido más relevante del texto es la crisis política en Cataluña entre los partidos separatistas Junts per Catalunya y ERC, que están atravesando su crisis más grave desde el inicio de su mandato debido a desacuerdos sobre pactos postelectorales. A continuación, se presenta un resumen del contenido más relevante:
* La crisis se desencadenó por el pacto entre Junts per Catalunya y el PSC para gobernar la Diputación de Barcelona, lo que ha generado desavenencias con ERC.
* La diputada Elsa Artadi admitió que la relación entre los neoconvergentes y los republicanos ha "tocado fondo" y que la unión entre los partidos separatistas está "más lejos que nunca".
* ERC ha sellado pactos en 26 Ayuntamientos para desplazar a alcaldes neoconvergentes, mientras que Junts per Catalunya ha desbancado a siete primeros ediles republicanos.
* La propuesta de Junts per Catalunya para revertir los acuerdos y garantizar la unidad estratégica del independentismo fue rechazada por ERC, que considera que no puede interferir en las dinámicas locales.
* La crisis ha generado tensiones entre los dos socios, pero no se espera que llegue a una ruptura total debido a la proximidad de la sentencia del procés y la necesidad de mantener la unidad independentista.</t>
  </si>
  <si>
    <t>A continuación, te presento un resumen del texto utilizando el método de las 5W1H (qué, quién, cuándo, dónde, por qué, cómo):
* **Qué**: La crisis política en Cataluña entre los partidos Junts per Catalunya y ERC, socios del Govern de la Generalitat, debido a desacuerdos en los pactos postelectorales.
* **Quién**: Los protagonistas de la crisis son Elsa Artadi, portavoz del Gobierno catalán, y Pere Aragonès, vicepresidente del Govern y secretario de política de ERC, así como otros dirigentes de los partidos Junts per Catalunya y ERC.
* **Cuándo**: La crisis se desencadenó tras el pacto entre Junts per Catalunya y el PSC para gobernar la Diputación de Barcelona, y se ha ido intensificando en los últimos días.
* **Dónde**: La crisis se está desarrollando en Cataluña, específicamente en Barcelona y en otros municipios de la región.
* **Por qué**: La crisis se debe a los desacuerdos entre los partidos Junts per Catalunya y ERC en cuanto a los pactos postelectorales, especialmente en la Diputación de Barcelona, y a la rivalidad electoral entre los dos partidos.
* **Cómo**: La crisis se ha desencadenado a través de declaraciones públicas y cruce de acusaciones entre los dirigentes de los partidos, y se ha intentado resolver a través de negociaciones y reuniones entre los líderes de los partidos, pero sin llegar a un acuerdo hasta el momento.</t>
  </si>
  <si>
    <t>La relación entre los partidos separatistas catalanes Junts per Catalunya y ERC ha llegado a un punto crítico debido a desacuerdos sobre pactos postelectorales. La diputada Elsa Artadi de Junts per Catalunya admitió que la relación con ERC ha "tocado fondo" y que la unión entre los partidos separatistas está "más lejos que nunca". El conflicto se desencadenó por el pacto entre Junts per Catalunya y el PSC para gobernar la Diputación de Barcelona, lo que ha generado tensiones con ERC. A pesar de la crisis, no se espera que se produzca un cambio de gobierno, ya que ambos partidos se necesitan para enfrentar la sentencia del procés.</t>
  </si>
  <si>
    <t>El texto describe la presentación de las novedades de Disney en la convención D23, donde la empresa mostró su poder y dominio en la industria del entretenimiento. Disney ha tenido un año exitoso, con las seis películas más taquilleras de 2019 provenientes de sus estudios, incluyendo "Vengadores: Endgame", "El rey león" y "Capitana Marvel". La empresa ha crecido a través de adquisiciones de marcas reconocidas como Pixar, Marvel, Lucasfilm y Fox, lo que le permite controlar y explotar personajes y franquicias populares.
Disney también anunció su entrada en la guerra de las plataformas de streaming con el lanzamiento de Disney+ en noviembre, que ofrecerá contenido exclusivo de Disney, Pixar, Lucasfilm, Marvel y National Geographic. La empresa planea utilizar el poder de Marvel y Star Wars para dar un golpe de autoridad en el mercado de streaming.
Además, se presentaron varios proyectos cinematográficos y de televisión, incluyendo películas de Pixar, Lucasfilm y Marvel, así como series de televisión como "The Mandalorian" y "Obi-Wan Kenobi". La empresa también anunció la producción de varias películas, incluyendo "Frozen 2", "Raya y el último dragón" y "La viuda negra".
En resumen, Disney ha demostrado su dominio en la industria del entretenimiento y su capacidad para crear contenido atractivo y exitoso, y está listo para expandirse en el mercado de streaming con Disney+.</t>
  </si>
  <si>
    <t>El contenido más relevante del texto es la presentación de las novedades de la compañía Disney en la convención D23, donde se muestra el dominio de la empresa en la industria del entretenimiento y su capacidad para generar ingresos y atraer a las estrellas más importantes del cine y la televisión.
El resumen del contenido más relevante es el siguiente:
* Disney presentó sus novedades en la convención D23, donde se mostró su dominio en la industria del entretenimiento.
* La empresa ha tenido un año extraordinario, con las seis películas más taquilleras de 2019 saliendo de sus estudios.
* Disney ha adquirido varias marcas reconocibles, como Pixar, Marvel, Lucasfilm y Fox, lo que le permite potenciar o frenar marcas con gran tirón entre el público global.
* La empresa decide si hay otro Star Wars, qué nuevos personajes van a salir de los cómics a la pantalla y domina la animación.
* Disney lanzará su propio servicio de streaming, Disney+, el 12 de noviembre, con contenido familiar y exclusivo.
* La empresa utilizará el poder de Marvel y Star Wars para dar un golpe de autoridad frente a Netflix o HBO desde el lanzamiento de Disney+.
* Se presentaron varias producciones televisivas y cinematográficas, incluyendo series de Los teleñecos, Forky, Obi-Wan Kenobi, Vengadores, y películas como Onward, Soul, Frozen 2, Raya y el último dragón, Star Wars: Episodio IX, La viuda negra, Eternals, Black Panther 2, Jungle Cruise, Maléfica: Maestra del mal, Mulan y Cruella.</t>
  </si>
  <si>
    <t>A continuación, te presento un resumen del texto utilizando el método de las 5W1H (qué, quién, cuándo, dónde, por qué, cómo):
* **Qué**: La convención D23 de Disney, en la que se presentaron las novedades de la empresa, incluyendo películas, series de televisión y un nuevo servicio de streaming llamado Disney+.
* **Quién**: Disney, con la participación de estrellas como Robert Downey Jr., Tom Holland, Chris Pratt, Dwayne Johnson, Emily Blunt, Kristen Bell, Diego Luna, Julia Louis-Dreyfus, Salma Hayek, Michelle Pfeiffer, Christina Aguilera, Tina Fey, Jon Favreau, Jeff Goldblum, Anna Kendrick, Jamie Foxx, Ewan McGregor y otros.
* **Cuándo**: La convención D23 se llevó a cabo el fin de semana pasado, y el lanzamiento de Disney+ está previsto para el 12 de noviembre en Estados Unidos y en 2020 en España.
* **Dónde**: La convención D23 se llevó a cabo en el centro de convenciones de Anaheim, California, al lado de Disneyland.
* **Por qué**: Disney busca consolidar su posición en la industria del entretenimiento, explotando sus marcas y personajes más populares, como Marvel y Star Wars, y lanzando un servicio de streaming para competir con Netflix y otros.
* **Cómo**: Disney ha adquirido varias empresas y marcas en los últimos 15 años, incluyendo Pixar, Marvel, Lucasfilm y Fox, lo que le ha permitido crear un imperio de entretenimiento con un gran potencial de explotación. La empresa también ha decidido especializarse en hacer películas-evento y ha lanzado un servicio de streaming para ofrecer contenido familiar y exclusivo a sus suscriptores.</t>
  </si>
  <si>
    <t>Disney ha presentado sus novedades en la convención D23, destacando su dominio en la cultura popular y su capacidad para convocar a grandes estrellas. La empresa ha tenido un año exitoso, con las seis películas más taquilleras de 2019 saliendo de sus estudios. Disney ha adquirido varias marcas reconocibles, como Pixar, Marvel y Lucasfilm, y ha lanzado un servicio de streaming llamado Disney+ que ofrecerá contenido familiar y exclusivo. La empresa también ha anunciado varias producciones televisivas y cinematográficas, incluyendo series de Marvel y Star Wars, y películas de Pixar y Disney. Con su gran poder y capacidad para crear contenido atractivo, Disney se posiciona como un líder en la industria del entretenimiento.</t>
  </si>
  <si>
    <r>
      <rPr>
        <rFont val="Arial"/>
        <color theme="1"/>
        <sz val="9.0"/>
      </rPr>
      <t xml:space="preserve">El texto describe la reacción de varios artistas, escritores e intelectuales de la izquierda española después del fracaso de la investidura de Pedro Sánchez como presidente del gobierno. La mayoría de ellos expresan decepción, desengaño y rabia, y consideran que el fracaso es responsabilidad de ambos partidos, el PSOE y Unidas Podemos. Algunos de ellos, como Zahara y Carlos Berzosa, critican la falta de empatía y pudor de los políticos, mientras que otros, como Alberto </t>
    </r>
    <r>
      <rPr>
        <rFont val="Arial"/>
        <strike/>
        <color theme="1"/>
        <sz val="9.0"/>
      </rPr>
      <t>San Juan y Marta Sanz, se sienten desilusionados y desencantados con la política.</t>
    </r>
    <r>
      <rPr>
        <rFont val="Arial"/>
        <color theme="1"/>
        <sz val="9.0"/>
      </rPr>
      <t xml:space="preserve">
A pesar de la desilusión, algunos de ellos, como </t>
    </r>
    <r>
      <rPr>
        <rFont val="Arial"/>
        <strike/>
        <color theme="1"/>
        <sz val="9.0"/>
      </rPr>
      <t>Víctor García León</t>
    </r>
    <r>
      <rPr>
        <rFont val="Arial"/>
        <color theme="1"/>
        <sz val="9.0"/>
      </rPr>
      <t xml:space="preserve"> y Chus Gutiérrez, insisten en la necesidad de seguir trabajando para lograr un gobierno progresista y evitar unas segundas elecciones que podrían beneficiar a la derecha. Otros, como Abel Azcona, no ven con malos ojos la posibilidad de unas elecciones si sirve para unir a la izquierda para la siguiente legislatura.
En general, el texto refleja la frustración y la desilusión de la izquierda española después del fracaso de la investidura, y la necesidad de encontrar una solución para evitar que la derecha se beneficie de la situación.</t>
    </r>
  </si>
  <si>
    <r>
      <rPr>
        <rFont val="Arial"/>
        <color theme="1"/>
        <sz val="9.0"/>
      </rPr>
      <t xml:space="preserve">El contenido más relevante del texto es la reacción de varios artistas, escritores e intelectuales de la izquierda política en España después del fracaso de la investidura de Pedro Sánchez como presidente del gobierno. A continuación, se presenta un resumen del contenido más relevante:
*   Los firmantes del manifiesto "28 de abril, Tú decides" expresan su decepción y desilusión después del fracaso de la investidura de Pedro Sánchez.
*   La cantante Zahara declara que siente "dolor físico" y "tristeza profunda" después de la noticia, y considera que la estrategia del PSOE y Unidas Podemos ha sido "de una falta de empatía y de pudor bestiales".
*   El economista Carlos Berzosa se muestra decepcionado y desilusionado, y considera que la ilusión del 28-A se ha diluido debido a la actuación de los políticos.
*   El actor y director teatral Alberto San Juan admite que ha sido un "bajonazo" y considera que el PSOE no ha ofrecido una participación real a Unidas Podemos.
*   La escritora Marta Sanz confiesa su desaliento y considera que la derecha se beneficiará del fracaso de la investidura.
*   Los artistas y escritores consideran que la culpa del fracaso es compartida entre el PSOE y Unidas Podemos, y que echarse culpas no tiene sentido.
*   Algunos de ellos, como el cineasta Víctor García León, </t>
    </r>
    <r>
      <rPr>
        <rFont val="Arial"/>
        <strike/>
        <color theme="1"/>
        <sz val="9.0"/>
      </rPr>
      <t>consideran que la política está muy masculinizada</t>
    </r>
    <r>
      <rPr>
        <rFont val="Arial"/>
        <color theme="1"/>
        <sz val="9.0"/>
      </rPr>
      <t xml:space="preserve"> y que los políticos se enfocan en echarse culpas en lugar de buscar soluciones.
*   A pesar de la decepción, algunos de los artistas y escritores insisten en la necesidad de seguir empujando para que se forme un gobierno progresista y evitar unas segundas elecciones.
*   La directora de cine Chus Gutiérrez sugiere que los políticos podrían utilizar mediadores para llegar a un acuerdo, como se hace en los conflictos matrimoniales.</t>
    </r>
  </si>
  <si>
    <t>A continuación, te presento un resumen del texto utilizando el método de las 5W1H (qué, quién, cuándo, dónde, por qué, cómo):
* **Qué**: El fracaso de la investidura de Pedro Sánchez y la posible formación de un gobierno progresista en España.
* **Quién**: Los artistas, escritores e intelectuales que firmaron un manifiesto para reclamar un Gobierno progresista, como Zahara, Carlos Berzosa, Alberto San Juan, Marta Sanz, Chus Gutiérrez, Víctor García León y Abel Azcona.
* **Cuándo**: Después de las elecciones del 28 de abril (28-A) y el fracaso de la investidura de Pedro Sánchez el 25 de julio (25-J).
* **Dónde**: En España, en el Congreso de los Diputados.
* **Por qué**: Debido a la falta de acuerdo entre el PSOE y Unidas Podemos (UP) para formar un gobierno progresista, lo que ha generado decepción, desengaño y rabia en la izquierda.
* **Cómo**: A través de declaraciones y entrevistas, los artistas y escritores expresan su opinión sobre el fracaso de la investidura y la necesidad de un gobierno progresista. Algunos critican la falta de empatía y pudor de los políticos, mientras que otros llaman a la responsabilidad y la necesidad de encontrar un acuerdo. También se menciona la posibilidad de utilizar mediadores para ayudar a llegar a un acuerdo entre los partidos.</t>
  </si>
  <si>
    <t>Un grupo de artistas, escritores e intelectuales de izquierda en España expresan su decepción y rabia después del fracaso de la investidura de Pedro Sánchez como presidente del gobierno. Muchos de ellos firmaron un manifiesto pidiendo un gobierno progresista y ahora sienten que los partidos políticos han fallado en su responsabilidad de llegar a un acuerdo. Algunos culpan a ambos partidos, PSOE y Unidas Podemos, por no haber podido pactar, mientras que otros ven al PSOE como el principal culpable. A pesar de la desilusión, muchos de ellos siguen apostando por la posibilidad de un gobierno progresista y piden a los partidos que sigan negociando para evitar unas nuevas elecciones que podrían beneficiar a la derecha.</t>
  </si>
  <si>
    <t>El texto describe varias simas y cuevas profundas en diferentes partes del mundo, destacando su profundidad y complejidad. Algunos de los lugares mencionados incluyen:
* La sima Krúbera-Voronya en Abjasia, con una profundidad de 2.191 metros, considerada la sima más profunda del mundo.
* El sistema de cuevas Dark Star en Uzbekistán, que puede llegar a una profundidad de 2.651 metros.
* La torca del Cerro del Cuevón en Picos de Europa, con una profundidad de -1.589 metros.
* El pozo más profundo de España, con 435,92 metros de caída libre, descubierto en Ruesga, Cantabria.
* Las cavernas de Wang Dong en China, que incluyen salas inmensas y simas de paredes verticales.
El texto también menciona expediciones y descubrimientos realizados en estas cuevas, como el descubrimiento de nuevas especies de invertebrados y la exploración de sistemas de cuevas vastos y complejos. Además, se destacan los desafíos y peligros que enfrentan los espeleólogos al explorar estas profundidades, como sifones intermedios y gateras estrechas.</t>
  </si>
  <si>
    <t>El contenido más relevante del texto es la descripción de las simas y cuevas más profundas y complejas del mundo, así como los descubrimientos y exploraciones realizadas en ellas. A continuación, se resume el contenido más relevante:
* La sima Krúbera-Voronya, en Abjasia, es la más profunda del mundo, con 2.191 metros de profundidad, y es considerada una de las más técnicas y difíciles de explorar.
* En 2015, se descubrieron 12 nuevas especies de invertebrados en la sima Krúbera-Voronya.
* El sistema de cuevas de Dark Star, en Uzbekistán, es considerado el Everest subterráneo y se estima que puede llegar a los 2.651 metros de profundidad.
* La torca del Cerro del Cuevón, en Picos de Europa, es una de las simas más profundas y complejas del mundo, con una profundidad de 1.589 metros.
* En 2016, se descubrió el pozo más profundo de España, con 435,92 metros de caída libre, en Ruesga, Cantabria.
* Las cavernas de Wang Dong, en China, son un vasto complejo de galerías con salas inmensas y simas de paredes verticales, y fueron exploradas por primera vez en 2013.
En resumen, el texto describe las simas y cuevas más profundas y complejas del mundo, y los descubrimientos y exploraciones realizadas en ellas, destacando la importancia de la espeleología y la exploración subterránea.</t>
  </si>
  <si>
    <t>A continuación, te presento un resumen del texto utilizando el método de las 5W1H:
**Qué**: Exploraciones y descubrimientos en cuevas y simas profundas en diferentes partes del mundo.
**Quién**: 
- Gennadiy Samokhin (ucraniano)
- Jesús Calleja y su equipo de televisión
- Sergio García-Dils y su equipo
- Espeleólogos del Espeleo Club Ábrigu y el Club Cántabro de Exploraciones Subterráneas (ÁBRIGU-CCES)
- Una expedición de 15 espeleólogos en China
**Cuándo**: 
- 2012: Gennadiy Samokhin llega a la profundidad de 2.191 metros en la sima Krúbera-Voronya.
- 2013: El equipo de Desafío Extremo queda atrapado en la sima Krúbera-Voronya, y se explora por primera vez el complejo de cuevas de Wang Dong en China.
- 2015: Descubrimiento de 12 nuevas especies de invertebrados en la sima Krúbera-Voronya.
- 2016: Descubrimiento del pozo más profundo de España en Ruesga (Cantabria).
**Dónde**: 
- Sima Krúbera-Voronya (Abjasia, Cáucaso Occidental)
- Sistema de cuevas Dark Star (Uzbekistán)
- Macizo central de Picos de Europa (Cantabria, Asturias y León, España)
- Ruesga (Cantabria, España)
- Complejo de cuevas de Wang Dong (Chongquing, China)
**Por qué**: La exploración de estas cuevas y simas profundas se realiza para descubrir nuevas especies, entender la geología y la historia climática de la Tierra, y para superar desafíos extremos.
**Cómo**: 
- Los exploradores utilizan técnicas de espeleología y equipamiento especializado para descender a las profundidades de las cuevas y simas.
- Se necesitan días o incluso semanas para llegar a los fondos de algunas de estas cuevas, y se deben superar obstáculos como sifones intermedios y pasos estrechos.
- La exploración de estas cuevas y simas requiere una gran preparación física y mental, así como un equipo de apoyo especializado.</t>
  </si>
  <si>
    <t>Se describen varias simas y cuevas profundas y complejas en diferentes partes del mundo, como la sima Krúbera-Voronya en Abjasia, considerada la más profunda del mundo, y el sistema de cuevas Dark Star en Uzbekistán, que podría ser aún más profundo. También se mencionan otras cuevas y simas notables en lugares como Picos de Europa en España y China. Estas cuevas presentan desafíos técnicos y han sido objeto de exploraciones y descubrimientos recientes.</t>
  </si>
  <si>
    <t xml:space="preserve"> model key</t>
  </si>
  <si>
    <t>prompt key</t>
  </si>
  <si>
    <t>PROMPTS</t>
  </si>
  <si>
    <t>Resume el siguiente texto.\n\n{text}</t>
  </si>
  <si>
    <t>Piensa bien cuál es el contenido más relevante en el siguiente texto y resúmelo usando el contenido más relevante.\n\n{text}</t>
  </si>
  <si>
    <t>Resume el siguiente texto usando el método de las 5W1H (qué, quién, cuándo, dónde, por qué, cómo).\n\n{text}</t>
  </si>
  <si>
    <t>{text}\n\ntldr:</t>
  </si>
  <si>
    <t>HUMAN SUMMARIES</t>
  </si>
  <si>
    <t>Human-generated XLSum-like summary (i.e., the heading of the article)</t>
  </si>
  <si>
    <t>Summary generated manually by Jeremy</t>
  </si>
  <si>
    <t>Summary generated manually by Begoña</t>
  </si>
  <si>
    <t>Summary generated manually by Alba</t>
  </si>
  <si>
    <t>Naiara</t>
  </si>
  <si>
    <t>Summary generated manually by Naiara</t>
  </si>
  <si>
    <t>ANNOTATION GUIDELINES</t>
  </si>
  <si>
    <t>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</si>
  <si>
    <t>The factual alignment between the summary and the summarized source. A factually consistent summary contains only statements that are entailed by the source document. Annotators were also asked to penalize summaries that contained hallucinated facts.</t>
  </si>
  <si>
    <t>The quality of individual sentences. Drawing again from the DUC quality guidelines, sentences in the summary "should have no formatting problems, capitalization errors or obviously ungrammatical sentences (e.g., fragments, missing components) that make the text difficult to read."</t>
  </si>
  <si>
    <t>Selection of important content from the source. The summary should include only important information from the source document.</t>
  </si>
  <si>
    <t>Selection of important content from the source. The summary should include ALL the important information from the source document (the important information being the 5W1H in the source).</t>
  </si>
  <si>
    <t>TEXT ANNOTATION KEY</t>
  </si>
  <si>
    <t>text</t>
  </si>
  <si>
    <t>model hallucination (penalizes consistency)</t>
  </si>
  <si>
    <t>model "hallucination" that introduces correct information</t>
  </si>
  <si>
    <t xml:space="preserve">"conversational" or "metalinguistic" model output that is not to be considered as part of the summary (e.g., "Here is the summary:", "This text is about...") </t>
  </si>
  <si>
    <t>what</t>
  </si>
  <si>
    <t>who</t>
  </si>
  <si>
    <t>when</t>
  </si>
  <si>
    <t>where</t>
  </si>
  <si>
    <t>why</t>
  </si>
  <si>
    <t>how</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</si>
</sst>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b/>
      <color theme="1"/>
      <name val="Arial"/>
      <scheme val="minor"/>
    </font>
    <font>
      <color theme="1"/>
      <name val="Arial"/>
      <scheme val="minor"/>
    </font>
    <font>
      <b/>
      <color rgb="FFFFFFFF"/>
      <name val="Arial"/>
      <scheme val="minor"/>
    </font>
    <font/>
    <font>
      <u/>
      <color rgb="FF0000FF"/>
    </font>
    <font>
      <u/>
      <color rgb="FF0000FF"/>
    </font>
    <font>
      <color theme="1"/>
      <name val="Arial"/>
    </font>
    <font>
      <sz val="9.0"/>
      <color rgb="FF4285F4"/>
      <name val="Arial"/>
      <scheme val="minor"/>
    </font>
    <font>
      <b/>
      <sz val="9.0"/>
      <color rgb="FF000000"/>
      <name val="Arial"/>
      <scheme val="minor"/>
    </font>
    <font>
      <b/>
      <sz val="9.0"/>
      <color theme="1"/>
      <name val="Arial"/>
    </font>
    <font>
      <b/>
      <u/>
      <color rgb="FF0000FF"/>
    </font>
    <font>
      <sz val="9.0"/>
      <color rgb="FF000000"/>
      <name val="Arial"/>
      <scheme val="minor"/>
    </font>
    <font>
      <sz val="9.0"/>
      <color theme="1"/>
      <name val="Arial"/>
    </font>
    <font>
      <b/>
      <u/>
      <color rgb="FF0000FF"/>
    </font>
    <font>
      <b/>
      <color theme="1"/>
      <name val="Arial"/>
    </font>
    <font>
      <b/>
      <u/>
      <color rgb="FF1155CC"/>
      <name val="Arial"/>
    </font>
    <font>
      <b/>
      <u/>
      <color rgb="FF1155CC"/>
      <name val="Arial"/>
    </font>
    <font>
      <b/>
      <u/>
      <color rgb="FF1155CC"/>
      <name val="Arial"/>
    </font>
    <font>
      <b/>
      <u/>
      <color rgb="FF1155CC"/>
      <name val="Arial"/>
    </font>
    <font>
      <u/>
      <color rgb="FF0000FF"/>
    </font>
    <font>
      <u/>
      <color rgb="FF1155CC"/>
      <name val="Arial"/>
    </font>
    <font>
      <b/>
      <color rgb="FFFFFFFF"/>
      <name val="Arial"/>
    </font>
    <font>
      <b/>
      <strike/>
      <color theme="1"/>
      <name val="Arial"/>
    </font>
    <font>
      <b/>
      <u/>
      <color theme="1"/>
      <name val="Arial"/>
    </font>
    <font>
      <b/>
      <color rgb="FF999999"/>
      <name val="Arial"/>
    </font>
    <font>
      <b/>
      <color rgb="FF38761D"/>
      <name val="Arial"/>
    </font>
    <font>
      <b/>
      <color rgb="FFFF0000"/>
      <name val="Arial"/>
    </font>
    <font>
      <b/>
      <color rgb="FF4A86E8"/>
      <name val="Arial"/>
    </font>
    <font>
      <b/>
      <color rgb="FFFF9900"/>
      <name val="Arial"/>
    </font>
    <font>
      <b/>
      <color rgb="FF674EA7"/>
      <name val="Arial"/>
    </font>
    <font>
      <b/>
      <color rgb="FFBF9000"/>
      <name val="Arial"/>
    </font>
  </fonts>
  <fills count="9">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8DBD8"/>
        <bgColor rgb="FFF8DBD8"/>
      </patternFill>
    </fill>
    <fill>
      <patternFill patternType="solid">
        <fgColor rgb="FFFBE9E7"/>
        <bgColor rgb="FFFBE9E7"/>
      </patternFill>
    </fill>
    <fill>
      <patternFill patternType="solid">
        <fgColor rgb="FFFBE8E6"/>
        <bgColor rgb="FFFBE8E6"/>
      </patternFill>
    </fill>
    <fill>
      <patternFill patternType="solid">
        <fgColor rgb="FFFBE7E5"/>
        <bgColor rgb="FFFBE7E5"/>
      </patternFill>
    </fill>
    <fill>
      <patternFill patternType="solid">
        <fgColor rgb="FFFCEDEC"/>
        <bgColor rgb="FFFCEDEC"/>
      </patternFill>
    </fill>
  </fills>
  <borders count="15">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top style="thin">
        <color rgb="FF000000"/>
      </top>
    </border>
    <border>
      <right style="thin">
        <color rgb="FF000000"/>
      </right>
      <bottom style="thin">
        <color rgb="FF000000"/>
      </bottom>
    </border>
    <border>
      <left style="thin">
        <color rgb="FF000000"/>
      </left>
      <top style="thin">
        <color rgb="FF000000"/>
      </top>
    </border>
    <border>
      <top style="thin">
        <color rgb="FF000000"/>
      </top>
    </border>
    <border>
      <left style="thick">
        <color rgb="FF000000"/>
      </left>
    </border>
    <border>
      <right style="thick">
        <color rgb="FF000000"/>
      </right>
    </border>
    <border>
      <top style="double">
        <color rgb="FF000000"/>
      </top>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top"/>
    </xf>
    <xf borderId="0" fillId="0" fontId="2" numFmtId="0" xfId="0" applyAlignment="1" applyFont="1">
      <alignment horizontal="center"/>
    </xf>
    <xf borderId="0" fillId="0" fontId="1" numFmtId="0" xfId="0" applyAlignment="1" applyFont="1">
      <alignment horizontal="center"/>
    </xf>
    <xf borderId="0" fillId="0" fontId="1" numFmtId="2"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readingOrder="0" vertical="top"/>
    </xf>
    <xf borderId="0" fillId="0" fontId="2" numFmtId="9" xfId="0" applyFont="1" applyNumberFormat="1"/>
    <xf borderId="0" fillId="0" fontId="2" numFmtId="4" xfId="0" applyFont="1" applyNumberFormat="1"/>
    <xf borderId="0" fillId="0" fontId="2" numFmtId="0" xfId="0" applyAlignment="1" applyFont="1">
      <alignment readingOrder="0"/>
    </xf>
    <xf borderId="0" fillId="0" fontId="2" numFmtId="2" xfId="0" applyFont="1" applyNumberFormat="1"/>
    <xf borderId="0" fillId="0" fontId="2" numFmtId="0" xfId="0" applyFont="1"/>
    <xf borderId="1" fillId="2" fontId="3" numFmtId="0" xfId="0" applyAlignment="1" applyBorder="1" applyFill="1" applyFont="1">
      <alignment horizontal="center" readingOrder="0"/>
    </xf>
    <xf borderId="2" fillId="2" fontId="3" numFmtId="0" xfId="0" applyAlignment="1" applyBorder="1" applyFont="1">
      <alignment horizontal="center" readingOrder="0"/>
    </xf>
    <xf borderId="2" fillId="0" fontId="4" numFmtId="0" xfId="0" applyBorder="1" applyFont="1"/>
    <xf borderId="3" fillId="0" fontId="4" numFmtId="0" xfId="0" applyBorder="1" applyFont="1"/>
    <xf borderId="4" fillId="0" fontId="5" numFmtId="0" xfId="0" applyAlignment="1" applyBorder="1" applyFont="1">
      <alignment horizontal="right"/>
    </xf>
    <xf borderId="5" fillId="0" fontId="2" numFmtId="0" xfId="0" applyAlignment="1" applyBorder="1" applyFont="1">
      <alignment readingOrder="0"/>
    </xf>
    <xf borderId="6" fillId="0" fontId="6" numFmtId="0" xfId="0" applyAlignment="1" applyBorder="1" applyFont="1">
      <alignment horizontal="right"/>
    </xf>
    <xf borderId="7" fillId="0" fontId="2" numFmtId="0" xfId="0" applyAlignment="1" applyBorder="1" applyFont="1">
      <alignment horizontal="center" readingOrder="0"/>
    </xf>
    <xf borderId="7" fillId="0" fontId="2" numFmtId="0" xfId="0" applyBorder="1" applyFont="1"/>
    <xf borderId="7" fillId="0" fontId="2" numFmtId="9" xfId="0" applyBorder="1" applyFont="1" applyNumberFormat="1"/>
    <xf borderId="7" fillId="0" fontId="2" numFmtId="4" xfId="0" applyBorder="1" applyFont="1" applyNumberFormat="1"/>
    <xf borderId="4" fillId="0" fontId="2" numFmtId="0" xfId="0" applyAlignment="1" applyBorder="1" applyFont="1">
      <alignment horizontal="center" readingOrder="0"/>
    </xf>
    <xf borderId="8" fillId="0" fontId="7" numFmtId="0" xfId="0" applyAlignment="1" applyBorder="1" applyFont="1">
      <alignment horizontal="center" vertical="bottom"/>
    </xf>
    <xf borderId="5" fillId="0" fontId="7" numFmtId="0" xfId="0" applyAlignment="1" applyBorder="1" applyFont="1">
      <alignment horizontal="center" vertical="bottom"/>
    </xf>
    <xf borderId="9" fillId="0" fontId="7" numFmtId="0" xfId="0" applyAlignment="1" applyBorder="1" applyFont="1">
      <alignment horizontal="center" vertical="bottom"/>
    </xf>
    <xf borderId="10" fillId="0" fontId="2" numFmtId="0" xfId="0" applyBorder="1" applyFont="1"/>
    <xf borderId="11" fillId="0" fontId="2" numFmtId="0" xfId="0" applyBorder="1" applyFont="1"/>
    <xf borderId="11" fillId="0" fontId="2" numFmtId="0" xfId="0" applyAlignment="1" applyBorder="1" applyFont="1">
      <alignment horizontal="center" readingOrder="0" vertical="top"/>
    </xf>
    <xf borderId="11" fillId="0" fontId="2" numFmtId="9" xfId="0" applyBorder="1" applyFont="1" applyNumberFormat="1"/>
    <xf borderId="11" fillId="0" fontId="2" numFmtId="2" xfId="0" applyBorder="1" applyFont="1" applyNumberFormat="1"/>
    <xf borderId="4" fillId="0" fontId="2" numFmtId="0" xfId="0" applyBorder="1" applyFont="1"/>
    <xf borderId="6" fillId="0" fontId="2" numFmtId="0" xfId="0" applyBorder="1" applyFont="1"/>
    <xf borderId="7" fillId="0" fontId="2" numFmtId="0" xfId="0" applyAlignment="1" applyBorder="1" applyFont="1">
      <alignment horizontal="center" readingOrder="0" vertical="top"/>
    </xf>
    <xf borderId="7" fillId="0" fontId="2" numFmtId="2" xfId="0" applyBorder="1" applyFont="1" applyNumberFormat="1"/>
    <xf borderId="12" fillId="2" fontId="3" numFmtId="0" xfId="0" applyAlignment="1" applyBorder="1" applyFont="1">
      <alignment horizontal="center" readingOrder="0"/>
    </xf>
    <xf borderId="0" fillId="2" fontId="3" numFmtId="0" xfId="0" applyAlignment="1" applyFont="1">
      <alignment horizontal="center" readingOrder="0"/>
    </xf>
    <xf borderId="13" fillId="0" fontId="4" numFmtId="0" xfId="0" applyBorder="1" applyFont="1"/>
    <xf borderId="10" fillId="0" fontId="2" numFmtId="0" xfId="0" applyAlignment="1" applyBorder="1" applyFont="1">
      <alignment horizontal="right"/>
    </xf>
    <xf borderId="11" fillId="0" fontId="2" numFmtId="0" xfId="0" applyAlignment="1" applyBorder="1" applyFont="1">
      <alignment horizontal="center" readingOrder="0"/>
    </xf>
    <xf borderId="8" fillId="0" fontId="2" numFmtId="2" xfId="0" applyBorder="1" applyFont="1" applyNumberFormat="1"/>
    <xf borderId="4" fillId="0" fontId="2" numFmtId="0" xfId="0" applyAlignment="1" applyBorder="1" applyFont="1">
      <alignment horizontal="right"/>
    </xf>
    <xf borderId="5" fillId="0" fontId="2" numFmtId="2" xfId="0" applyBorder="1" applyFont="1" applyNumberFormat="1"/>
    <xf borderId="6" fillId="0" fontId="2" numFmtId="0" xfId="0" applyAlignment="1" applyBorder="1" applyFont="1">
      <alignment horizontal="right"/>
    </xf>
    <xf borderId="9" fillId="0" fontId="2" numFmtId="2" xfId="0" applyBorder="1" applyFont="1" applyNumberFormat="1"/>
    <xf borderId="0" fillId="0" fontId="8" numFmtId="0" xfId="0" applyFont="1"/>
    <xf borderId="0" fillId="0" fontId="1" numFmtId="0" xfId="0" applyAlignment="1" applyFont="1">
      <alignment horizontal="center" readingOrder="0" vertical="center"/>
    </xf>
    <xf borderId="0" fillId="0" fontId="9" numFmtId="0" xfId="0" applyAlignment="1" applyFont="1">
      <alignment horizontal="center" readingOrder="0" shrinkToFit="0" vertical="top" wrapText="1"/>
    </xf>
    <xf borderId="0" fillId="0" fontId="10" numFmtId="0" xfId="0" applyAlignment="1" applyFont="1">
      <alignment horizontal="center" shrinkToFit="0" vertical="top" wrapText="1"/>
    </xf>
    <xf borderId="0" fillId="0" fontId="1" numFmtId="0" xfId="0" applyAlignment="1" applyFont="1">
      <alignment horizontal="center" vertical="top"/>
    </xf>
    <xf borderId="0" fillId="0" fontId="11" numFmtId="0" xfId="0" applyAlignment="1" applyFont="1">
      <alignment readingOrder="0" textRotation="90" vertical="center"/>
    </xf>
    <xf borderId="0" fillId="0" fontId="2" numFmtId="0" xfId="0" applyAlignment="1" applyFont="1">
      <alignment readingOrder="0" shrinkToFit="0" vertical="top" wrapText="1"/>
    </xf>
    <xf borderId="0" fillId="0" fontId="12" numFmtId="0" xfId="0" applyAlignment="1" applyFont="1">
      <alignment readingOrder="0" shrinkToFit="0" vertical="top" wrapText="1"/>
    </xf>
    <xf borderId="0" fillId="3" fontId="7" numFmtId="9" xfId="0" applyAlignment="1" applyFill="1" applyFont="1" applyNumberFormat="1">
      <alignment horizontal="right" vertical="top"/>
    </xf>
    <xf borderId="0" fillId="0" fontId="2" numFmtId="0" xfId="0" applyAlignment="1" applyFont="1">
      <alignment vertical="top"/>
    </xf>
    <xf borderId="0" fillId="0" fontId="13" numFmtId="0" xfId="0" applyAlignment="1" applyFont="1">
      <alignment readingOrder="0" shrinkToFit="0" vertical="top" wrapText="1"/>
    </xf>
    <xf borderId="0" fillId="0" fontId="7" numFmtId="0" xfId="0" applyAlignment="1" applyFont="1">
      <alignment vertical="top"/>
    </xf>
    <xf borderId="0" fillId="0" fontId="1" numFmtId="0" xfId="0" applyAlignment="1" applyFont="1">
      <alignment vertical="center"/>
    </xf>
    <xf borderId="0" fillId="0" fontId="2" numFmtId="0" xfId="0" applyAlignment="1" applyFont="1">
      <alignment horizontal="center" vertical="top"/>
    </xf>
    <xf borderId="0" fillId="0" fontId="12" numFmtId="0" xfId="0" applyAlignment="1" applyFont="1">
      <alignment shrinkToFit="0" vertical="top" wrapText="1"/>
    </xf>
    <xf borderId="14" fillId="0" fontId="14" numFmtId="0" xfId="0" applyAlignment="1" applyBorder="1" applyFont="1">
      <alignment readingOrder="0" textRotation="90" vertical="center"/>
    </xf>
    <xf borderId="14" fillId="0" fontId="2" numFmtId="0" xfId="0" applyAlignment="1" applyBorder="1" applyFont="1">
      <alignment readingOrder="0" shrinkToFit="0" vertical="top" wrapText="1"/>
    </xf>
    <xf borderId="14" fillId="0" fontId="2" numFmtId="0" xfId="0" applyAlignment="1" applyBorder="1" applyFont="1">
      <alignment horizontal="center" readingOrder="0" vertical="top"/>
    </xf>
    <xf borderId="14" fillId="0" fontId="12" numFmtId="0" xfId="0" applyAlignment="1" applyBorder="1" applyFont="1">
      <alignment readingOrder="0" shrinkToFit="0" vertical="top" wrapText="1"/>
    </xf>
    <xf borderId="14" fillId="3" fontId="7" numFmtId="9" xfId="0" applyAlignment="1" applyBorder="1" applyFont="1" applyNumberFormat="1">
      <alignment horizontal="right" vertical="top"/>
    </xf>
    <xf borderId="0" fillId="0" fontId="7" numFmtId="0" xfId="0" applyAlignment="1" applyFont="1">
      <alignment readingOrder="0" vertical="top"/>
    </xf>
    <xf borderId="14" fillId="0" fontId="2" numFmtId="0" xfId="0" applyAlignment="1" applyBorder="1" applyFont="1">
      <alignment vertical="top"/>
    </xf>
    <xf borderId="0" fillId="0" fontId="7" numFmtId="0" xfId="0" applyAlignment="1" applyFont="1">
      <alignment vertical="top"/>
    </xf>
    <xf borderId="0" fillId="0" fontId="15" numFmtId="0" xfId="0" applyAlignment="1" applyFont="1">
      <alignment horizontal="center"/>
    </xf>
    <xf borderId="0" fillId="0" fontId="15" numFmtId="0" xfId="0" applyAlignment="1" applyFont="1">
      <alignment horizontal="center" vertical="top"/>
    </xf>
    <xf borderId="0" fillId="0" fontId="16" numFmtId="0" xfId="0" applyAlignment="1" applyFont="1">
      <alignment textRotation="90"/>
    </xf>
    <xf borderId="0" fillId="0" fontId="7" numFmtId="0" xfId="0" applyAlignment="1" applyFont="1">
      <alignment shrinkToFit="0" vertical="top" wrapText="1"/>
    </xf>
    <xf borderId="0" fillId="4" fontId="7" numFmtId="9" xfId="0" applyAlignment="1" applyFill="1" applyFont="1" applyNumberFormat="1">
      <alignment horizontal="right" vertical="top"/>
    </xf>
    <xf borderId="0" fillId="0" fontId="7" numFmtId="0" xfId="0" applyFont="1"/>
    <xf borderId="14" fillId="0" fontId="17" numFmtId="0" xfId="0" applyAlignment="1" applyBorder="1" applyFont="1">
      <alignment textRotation="90"/>
    </xf>
    <xf borderId="14" fillId="0" fontId="7" numFmtId="0" xfId="0" applyAlignment="1" applyBorder="1" applyFont="1">
      <alignment shrinkToFit="0" vertical="top" wrapText="1"/>
    </xf>
    <xf borderId="14" fillId="4" fontId="7" numFmtId="9" xfId="0" applyAlignment="1" applyBorder="1" applyFont="1" applyNumberFormat="1">
      <alignment horizontal="right" vertical="top"/>
    </xf>
    <xf borderId="0" fillId="0" fontId="18" numFmtId="0" xfId="0" applyAlignment="1" applyFont="1">
      <alignment textRotation="90"/>
    </xf>
    <xf borderId="0" fillId="0" fontId="7" numFmtId="0" xfId="0" applyAlignment="1" applyFont="1">
      <alignment shrinkToFit="0" vertical="top" wrapText="1"/>
    </xf>
    <xf borderId="14" fillId="0" fontId="7" numFmtId="0" xfId="0" applyAlignment="1" applyBorder="1" applyFont="1">
      <alignment horizontal="center" vertical="top"/>
    </xf>
    <xf borderId="14" fillId="0" fontId="13" numFmtId="0" xfId="0" applyAlignment="1" applyBorder="1" applyFont="1">
      <alignment readingOrder="0" shrinkToFit="0" vertical="top" wrapText="1"/>
    </xf>
    <xf borderId="14" fillId="5" fontId="7" numFmtId="9" xfId="0" applyAlignment="1" applyBorder="1" applyFill="1" applyFont="1" applyNumberFormat="1">
      <alignment horizontal="right" vertical="top"/>
    </xf>
    <xf borderId="14" fillId="0" fontId="7" numFmtId="0" xfId="0" applyAlignment="1" applyBorder="1" applyFont="1">
      <alignment vertical="top"/>
    </xf>
    <xf borderId="0" fillId="0" fontId="7" numFmtId="0" xfId="0" applyAlignment="1" applyFont="1">
      <alignment horizontal="center" vertical="top"/>
    </xf>
    <xf borderId="0" fillId="6" fontId="7" numFmtId="9" xfId="0" applyAlignment="1" applyFill="1" applyFont="1" applyNumberFormat="1">
      <alignment horizontal="right" vertical="top"/>
    </xf>
    <xf borderId="0" fillId="7" fontId="7" numFmtId="9" xfId="0" applyAlignment="1" applyFill="1" applyFont="1" applyNumberFormat="1">
      <alignment horizontal="right" vertical="top"/>
    </xf>
    <xf borderId="0" fillId="8" fontId="7" numFmtId="9" xfId="0" applyAlignment="1" applyFill="1" applyFont="1" applyNumberFormat="1">
      <alignment horizontal="right" vertical="top"/>
    </xf>
    <xf borderId="14" fillId="0" fontId="19" numFmtId="0" xfId="0" applyAlignment="1" applyBorder="1" applyFont="1">
      <alignment textRotation="90"/>
    </xf>
    <xf borderId="14" fillId="0" fontId="7" numFmtId="0" xfId="0" applyAlignment="1" applyBorder="1" applyFont="1">
      <alignment shrinkToFit="0" vertical="top" wrapText="1"/>
    </xf>
    <xf borderId="0" fillId="0" fontId="2" numFmtId="0" xfId="0" applyAlignment="1" applyFont="1">
      <alignment readingOrder="0" shrinkToFit="0" wrapText="1"/>
    </xf>
    <xf borderId="0" fillId="0" fontId="20" numFmtId="0" xfId="0" applyAlignment="1" applyFont="1">
      <alignment horizontal="right"/>
    </xf>
    <xf borderId="0" fillId="0" fontId="2" numFmtId="9" xfId="0" applyAlignment="1" applyFont="1" applyNumberFormat="1">
      <alignment horizontal="center"/>
    </xf>
    <xf borderId="0" fillId="0" fontId="2" numFmtId="0" xfId="0" applyAlignment="1" applyFont="1">
      <alignment horizontal="right"/>
    </xf>
    <xf borderId="0" fillId="0" fontId="21" numFmtId="0" xfId="0" applyAlignment="1" applyFont="1">
      <alignment horizontal="right" vertical="bottom"/>
    </xf>
    <xf borderId="0" fillId="0" fontId="7" numFmtId="0" xfId="0" applyAlignment="1" applyFont="1">
      <alignment vertical="bottom"/>
    </xf>
    <xf borderId="0" fillId="2" fontId="22" numFmtId="0" xfId="0" applyAlignment="1" applyFont="1">
      <alignment vertical="top"/>
    </xf>
    <xf borderId="0" fillId="2" fontId="7" numFmtId="0" xfId="0" applyAlignment="1" applyFont="1">
      <alignment vertical="bottom"/>
    </xf>
    <xf borderId="0" fillId="0" fontId="15" numFmtId="0" xfId="0" applyAlignment="1" applyFont="1">
      <alignment horizontal="center" vertical="top"/>
    </xf>
    <xf borderId="0" fillId="0" fontId="7" numFmtId="0" xfId="0" applyAlignment="1" applyFont="1">
      <alignment readingOrder="0" shrinkToFit="0" vertical="bottom" wrapText="0"/>
    </xf>
    <xf borderId="0" fillId="0" fontId="7" numFmtId="0" xfId="0" applyAlignment="1" applyFont="1">
      <alignment readingOrder="0" vertical="bottom"/>
    </xf>
    <xf borderId="0" fillId="2" fontId="22" numFmtId="0" xfId="0" applyAlignment="1" applyFont="1">
      <alignment shrinkToFit="0" vertical="top" wrapText="0"/>
    </xf>
    <xf borderId="0" fillId="0" fontId="7" numFmtId="0" xfId="0" applyAlignment="1" applyFont="1">
      <alignment shrinkToFit="0" vertical="bottom" wrapText="0"/>
    </xf>
    <xf borderId="0" fillId="0" fontId="15" numFmtId="0" xfId="0" applyAlignment="1" applyFont="1">
      <alignment horizontal="center" vertical="bottom"/>
    </xf>
    <xf borderId="0" fillId="0" fontId="23" numFmtId="0" xfId="0" applyAlignment="1" applyFont="1">
      <alignment horizontal="center" vertical="bottom"/>
    </xf>
    <xf borderId="0" fillId="0" fontId="24" numFmtId="0" xfId="0" applyAlignment="1" applyFont="1">
      <alignment horizontal="center" vertical="bottom"/>
    </xf>
    <xf borderId="0" fillId="0" fontId="25" numFmtId="0" xfId="0" applyAlignment="1" applyFont="1">
      <alignment horizontal="center" vertical="bottom"/>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vertical="bottom"/>
    </xf>
    <xf borderId="0" fillId="0" fontId="30" numFmtId="0" xfId="0" applyAlignment="1" applyFont="1">
      <alignment horizontal="center" vertical="bottom"/>
    </xf>
    <xf borderId="0" fillId="0" fontId="31" numFmtId="0" xfId="0" applyAlignment="1" applyFont="1">
      <alignment horizontal="center" vertical="bottom"/>
    </xf>
  </cellXfs>
  <cellStyles count="1">
    <cellStyle xfId="0" name="Normal" builtinId="0"/>
  </cellStyles>
  <dxfs count="1">
    <dxf>
      <font>
        <b/>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elpais.com/elpais/2019/06/17/viajero_astuto/1560786066_202975.html" TargetMode="External"/><Relationship Id="rId10" Type="http://schemas.openxmlformats.org/officeDocument/2006/relationships/hyperlink" Target="http://elpais.com/politica/2019/07/26/actualidad/1564175172_355316.html" TargetMode="External"/><Relationship Id="rId13" Type="http://schemas.openxmlformats.org/officeDocument/2006/relationships/vmlDrawing" Target="../drawings/vmlDrawing2.vml"/><Relationship Id="rId12"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elpais.com/ccaa/2019/08/01/catalunya/1564677368_810398.html" TargetMode="External"/><Relationship Id="rId3" Type="http://schemas.openxmlformats.org/officeDocument/2006/relationships/hyperlink" Target="http://elpais.com/internacional/2019/09/22/mexico/1569184390_537370.html" TargetMode="External"/><Relationship Id="rId4" Type="http://schemas.openxmlformats.org/officeDocument/2006/relationships/hyperlink" Target="http://elpais.com/ccaa/2019/07/16/catalunya/1563306455_802927.html" TargetMode="External"/><Relationship Id="rId9" Type="http://schemas.openxmlformats.org/officeDocument/2006/relationships/hyperlink" Target="http://elpais.com/cultura/2019/08/26/actualidad/1566837952_763854.html" TargetMode="External"/><Relationship Id="rId5" Type="http://schemas.openxmlformats.org/officeDocument/2006/relationships/hyperlink" Target="http://elpais.com/elpais/2019/08/02/estilo/1564708605_360745.html" TargetMode="External"/><Relationship Id="rId6" Type="http://schemas.openxmlformats.org/officeDocument/2006/relationships/hyperlink" Target="http://elpais.com/economia/2019/09/21/actualidad/1569020936_816409.html" TargetMode="External"/><Relationship Id="rId7" Type="http://schemas.openxmlformats.org/officeDocument/2006/relationships/hyperlink" Target="http://elpais.com/deportes/2019/10/21/actualidad/1571642413_763865.html" TargetMode="External"/><Relationship Id="rId8" Type="http://schemas.openxmlformats.org/officeDocument/2006/relationships/hyperlink" Target="http://elpais.com/ccaa/2019/07/08/catalunya/1562582285_653727.html"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elpais.com/elpais/2019/06/17/viajero_astuto/1560786066_202975.html" TargetMode="External"/><Relationship Id="rId10" Type="http://schemas.openxmlformats.org/officeDocument/2006/relationships/hyperlink" Target="http://elpais.com/politica/2019/07/26/actualidad/1564175172_355316.html" TargetMode="External"/><Relationship Id="rId13" Type="http://schemas.openxmlformats.org/officeDocument/2006/relationships/vmlDrawing" Target="../drawings/vmlDrawing3.vml"/><Relationship Id="rId12" Type="http://schemas.openxmlformats.org/officeDocument/2006/relationships/drawing" Target="../drawings/drawing3.xml"/><Relationship Id="rId1" Type="http://schemas.openxmlformats.org/officeDocument/2006/relationships/comments" Target="../comments3.xml"/><Relationship Id="rId2" Type="http://schemas.openxmlformats.org/officeDocument/2006/relationships/hyperlink" Target="http://elpais.com/ccaa/2019/08/01/catalunya/1564677368_810398.html" TargetMode="External"/><Relationship Id="rId3" Type="http://schemas.openxmlformats.org/officeDocument/2006/relationships/hyperlink" Target="http://elpais.com/internacional/2019/09/22/mexico/1569184390_537370.html" TargetMode="External"/><Relationship Id="rId4" Type="http://schemas.openxmlformats.org/officeDocument/2006/relationships/hyperlink" Target="http://elpais.com/ccaa/2019/07/16/catalunya/1563306455_802927.html" TargetMode="External"/><Relationship Id="rId9" Type="http://schemas.openxmlformats.org/officeDocument/2006/relationships/hyperlink" Target="http://elpais.com/cultura/2019/08/26/actualidad/1566837952_763854.html" TargetMode="External"/><Relationship Id="rId5" Type="http://schemas.openxmlformats.org/officeDocument/2006/relationships/hyperlink" Target="http://elpais.com/elpais/2019/08/02/estilo/1564708605_360745.html" TargetMode="External"/><Relationship Id="rId6" Type="http://schemas.openxmlformats.org/officeDocument/2006/relationships/hyperlink" Target="http://elpais.com/economia/2019/09/21/actualidad/1569020936_816409.html" TargetMode="External"/><Relationship Id="rId7" Type="http://schemas.openxmlformats.org/officeDocument/2006/relationships/hyperlink" Target="http://elpais.com/deportes/2019/10/21/actualidad/1571642413_763865.html" TargetMode="External"/><Relationship Id="rId8" Type="http://schemas.openxmlformats.org/officeDocument/2006/relationships/hyperlink" Target="http://elpais.com/ccaa/2019/07/08/catalunya/1562582285_653727.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elpais.com/elpais/2019/06/17/viajero_astuto/1560786066_202975.html" TargetMode="External"/><Relationship Id="rId10" Type="http://schemas.openxmlformats.org/officeDocument/2006/relationships/hyperlink" Target="http://elpais.com/politica/2019/07/26/actualidad/1564175172_355316.html" TargetMode="External"/><Relationship Id="rId13" Type="http://schemas.openxmlformats.org/officeDocument/2006/relationships/vmlDrawing" Target="../drawings/vmlDrawing4.vml"/><Relationship Id="rId12" Type="http://schemas.openxmlformats.org/officeDocument/2006/relationships/drawing" Target="../drawings/drawing4.xml"/><Relationship Id="rId1" Type="http://schemas.openxmlformats.org/officeDocument/2006/relationships/comments" Target="../comments4.xml"/><Relationship Id="rId2" Type="http://schemas.openxmlformats.org/officeDocument/2006/relationships/hyperlink" Target="http://elpais.com/ccaa/2019/08/01/catalunya/1564677368_810398.html" TargetMode="External"/><Relationship Id="rId3" Type="http://schemas.openxmlformats.org/officeDocument/2006/relationships/hyperlink" Target="http://elpais.com/internacional/2019/09/22/mexico/1569184390_537370.html" TargetMode="External"/><Relationship Id="rId4" Type="http://schemas.openxmlformats.org/officeDocument/2006/relationships/hyperlink" Target="http://elpais.com/ccaa/2019/07/16/catalunya/1563306455_802927.html" TargetMode="External"/><Relationship Id="rId9" Type="http://schemas.openxmlformats.org/officeDocument/2006/relationships/hyperlink" Target="http://elpais.com/cultura/2019/08/26/actualidad/1566837952_763854.html" TargetMode="External"/><Relationship Id="rId5" Type="http://schemas.openxmlformats.org/officeDocument/2006/relationships/hyperlink" Target="http://elpais.com/elpais/2019/08/02/estilo/1564708605_360745.html" TargetMode="External"/><Relationship Id="rId6" Type="http://schemas.openxmlformats.org/officeDocument/2006/relationships/hyperlink" Target="http://elpais.com/economia/2019/09/21/actualidad/1569020936_816409.html" TargetMode="External"/><Relationship Id="rId7" Type="http://schemas.openxmlformats.org/officeDocument/2006/relationships/hyperlink" Target="http://elpais.com/deportes/2019/10/21/actualidad/1571642413_763865.html" TargetMode="External"/><Relationship Id="rId8" Type="http://schemas.openxmlformats.org/officeDocument/2006/relationships/hyperlink" Target="http://elpais.com/ccaa/2019/07/08/catalunya/1562582285_653727.html"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elpais.com/elpais/2019/06/17/viajero_astuto/1560786066_202975.html" TargetMode="External"/><Relationship Id="rId10" Type="http://schemas.openxmlformats.org/officeDocument/2006/relationships/hyperlink" Target="http://elpais.com/politica/2019/07/26/actualidad/1564175172_355316.html" TargetMode="External"/><Relationship Id="rId13" Type="http://schemas.openxmlformats.org/officeDocument/2006/relationships/vmlDrawing" Target="../drawings/vmlDrawing5.vml"/><Relationship Id="rId12"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elpais.com/ccaa/2019/08/01/catalunya/1564677368_810398.html" TargetMode="External"/><Relationship Id="rId3" Type="http://schemas.openxmlformats.org/officeDocument/2006/relationships/hyperlink" Target="http://elpais.com/internacional/2019/09/22/mexico/1569184390_537370.html" TargetMode="External"/><Relationship Id="rId4" Type="http://schemas.openxmlformats.org/officeDocument/2006/relationships/hyperlink" Target="http://elpais.com/ccaa/2019/07/16/catalunya/1563306455_802927.html" TargetMode="External"/><Relationship Id="rId9" Type="http://schemas.openxmlformats.org/officeDocument/2006/relationships/hyperlink" Target="http://elpais.com/cultura/2019/08/26/actualidad/1566837952_763854.html" TargetMode="External"/><Relationship Id="rId5" Type="http://schemas.openxmlformats.org/officeDocument/2006/relationships/hyperlink" Target="http://elpais.com/elpais/2019/08/02/estilo/1564708605_360745.html" TargetMode="External"/><Relationship Id="rId6" Type="http://schemas.openxmlformats.org/officeDocument/2006/relationships/hyperlink" Target="http://elpais.com/economia/2019/09/21/actualidad/1569020936_816409.html" TargetMode="External"/><Relationship Id="rId7" Type="http://schemas.openxmlformats.org/officeDocument/2006/relationships/hyperlink" Target="http://elpais.com/deportes/2019/10/21/actualidad/1571642413_763865.html" TargetMode="External"/><Relationship Id="rId8" Type="http://schemas.openxmlformats.org/officeDocument/2006/relationships/hyperlink" Target="http://elpais.com/ccaa/2019/07/08/catalunya/1562582285_653727.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elpais.com/elpais/2019/06/17/viajero_astuto/1560786066_202975.html" TargetMode="External"/><Relationship Id="rId10" Type="http://schemas.openxmlformats.org/officeDocument/2006/relationships/hyperlink" Target="http://elpais.com/politica/2019/07/26/actualidad/1564175172_355316.html" TargetMode="External"/><Relationship Id="rId13" Type="http://schemas.openxmlformats.org/officeDocument/2006/relationships/vmlDrawing" Target="../drawings/vmlDrawing6.vml"/><Relationship Id="rId12" Type="http://schemas.openxmlformats.org/officeDocument/2006/relationships/drawing" Target="../drawings/drawing6.xml"/><Relationship Id="rId1" Type="http://schemas.openxmlformats.org/officeDocument/2006/relationships/comments" Target="../comments6.xml"/><Relationship Id="rId2" Type="http://schemas.openxmlformats.org/officeDocument/2006/relationships/hyperlink" Target="http://elpais.com/ccaa/2019/08/01/catalunya/1564677368_810398.html" TargetMode="External"/><Relationship Id="rId3" Type="http://schemas.openxmlformats.org/officeDocument/2006/relationships/hyperlink" Target="http://elpais.com/internacional/2019/09/22/mexico/1569184390_537370.html" TargetMode="External"/><Relationship Id="rId4" Type="http://schemas.openxmlformats.org/officeDocument/2006/relationships/hyperlink" Target="http://elpais.com/ccaa/2019/07/16/catalunya/1563306455_802927.html" TargetMode="External"/><Relationship Id="rId9" Type="http://schemas.openxmlformats.org/officeDocument/2006/relationships/hyperlink" Target="http://elpais.com/cultura/2019/08/26/actualidad/1566837952_763854.html" TargetMode="External"/><Relationship Id="rId5" Type="http://schemas.openxmlformats.org/officeDocument/2006/relationships/hyperlink" Target="http://elpais.com/elpais/2019/08/02/estilo/1564708605_360745.html" TargetMode="External"/><Relationship Id="rId6" Type="http://schemas.openxmlformats.org/officeDocument/2006/relationships/hyperlink" Target="http://elpais.com/economia/2019/09/21/actualidad/1569020936_816409.html" TargetMode="External"/><Relationship Id="rId7" Type="http://schemas.openxmlformats.org/officeDocument/2006/relationships/hyperlink" Target="http://elpais.com/deportes/2019/10/21/actualidad/1571642413_763865.html" TargetMode="External"/><Relationship Id="rId8" Type="http://schemas.openxmlformats.org/officeDocument/2006/relationships/hyperlink" Target="http://elpais.com/ccaa/2019/07/08/catalunya/1562582285_653727.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elpais.com/elpais/2019/06/17/viajero_astuto/1560786066_202975.html" TargetMode="External"/><Relationship Id="rId10" Type="http://schemas.openxmlformats.org/officeDocument/2006/relationships/hyperlink" Target="http://elpais.com/politica/2019/07/26/actualidad/1564175172_355316.html" TargetMode="External"/><Relationship Id="rId13" Type="http://schemas.openxmlformats.org/officeDocument/2006/relationships/vmlDrawing" Target="../drawings/vmlDrawing7.vml"/><Relationship Id="rId12" Type="http://schemas.openxmlformats.org/officeDocument/2006/relationships/drawing" Target="../drawings/drawing7.xml"/><Relationship Id="rId1" Type="http://schemas.openxmlformats.org/officeDocument/2006/relationships/comments" Target="../comments7.xml"/><Relationship Id="rId2" Type="http://schemas.openxmlformats.org/officeDocument/2006/relationships/hyperlink" Target="http://elpais.com/ccaa/2019/08/01/catalunya/1564677368_810398.html" TargetMode="External"/><Relationship Id="rId3" Type="http://schemas.openxmlformats.org/officeDocument/2006/relationships/hyperlink" Target="http://elpais.com/internacional/2019/09/22/mexico/1569184390_537370.html" TargetMode="External"/><Relationship Id="rId4" Type="http://schemas.openxmlformats.org/officeDocument/2006/relationships/hyperlink" Target="http://elpais.com/ccaa/2019/07/16/catalunya/1563306455_802927.html" TargetMode="External"/><Relationship Id="rId9" Type="http://schemas.openxmlformats.org/officeDocument/2006/relationships/hyperlink" Target="http://elpais.com/cultura/2019/08/26/actualidad/1566837952_763854.html" TargetMode="External"/><Relationship Id="rId5" Type="http://schemas.openxmlformats.org/officeDocument/2006/relationships/hyperlink" Target="http://elpais.com/elpais/2019/08/02/estilo/1564708605_360745.html" TargetMode="External"/><Relationship Id="rId6" Type="http://schemas.openxmlformats.org/officeDocument/2006/relationships/hyperlink" Target="http://elpais.com/economia/2019/09/21/actualidad/1569020936_816409.html" TargetMode="External"/><Relationship Id="rId7" Type="http://schemas.openxmlformats.org/officeDocument/2006/relationships/hyperlink" Target="http://elpais.com/deportes/2019/10/21/actualidad/1571642413_763865.html" TargetMode="External"/><Relationship Id="rId8" Type="http://schemas.openxmlformats.org/officeDocument/2006/relationships/hyperlink" Target="http://elpais.com/ccaa/2019/07/08/catalunya/1562582285_653727.htm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4.88"/>
    <col customWidth="1" min="2" max="2" width="17.75"/>
    <col customWidth="1" min="13" max="18" width="7.63"/>
  </cols>
  <sheetData>
    <row r="1">
      <c r="A1" s="1" t="s">
        <v>0</v>
      </c>
      <c r="B1" s="1" t="s">
        <v>1</v>
      </c>
      <c r="C1" s="1" t="s">
        <v>2</v>
      </c>
      <c r="D1" s="1" t="s">
        <v>3</v>
      </c>
      <c r="E1" s="2" t="s">
        <v>4</v>
      </c>
      <c r="F1" s="2" t="s">
        <v>5</v>
      </c>
      <c r="G1" s="2" t="s">
        <v>6</v>
      </c>
      <c r="H1" s="2" t="s">
        <v>7</v>
      </c>
      <c r="I1" s="2" t="s">
        <v>8</v>
      </c>
      <c r="J1" s="1" t="s">
        <v>9</v>
      </c>
      <c r="K1" s="2" t="s">
        <v>10</v>
      </c>
      <c r="L1" s="3"/>
      <c r="M1" s="4"/>
      <c r="N1" s="5" t="s">
        <v>3</v>
      </c>
      <c r="O1" s="2" t="s">
        <v>11</v>
      </c>
      <c r="P1" s="2" t="s">
        <v>12</v>
      </c>
      <c r="Q1" s="2" t="s">
        <v>13</v>
      </c>
      <c r="R1" s="2" t="s">
        <v>14</v>
      </c>
    </row>
    <row r="2">
      <c r="A2" s="6"/>
      <c r="B2" s="6" t="s">
        <v>15</v>
      </c>
      <c r="C2" s="7" t="s">
        <v>16</v>
      </c>
      <c r="D2" s="8">
        <f>IFERROR(__xludf.DUMMYFUNCTION("AVERAGE(FILTER('__flatlist__'!D$2:D1009,('__flatlist__'!$B$2:$B1009=$B2),('__flatlist__'!$C$2:$C1009=$C2)))"),0.029373561453374285)</f>
        <v>0.02937356145</v>
      </c>
      <c r="E2" s="9">
        <f>IFERROR(__xludf.DUMMYFUNCTION("AVERAGE(FILTER('__flatlist__'!E$2:E1009,('__flatlist__'!$B$2:$B1009=$B2),('__flatlist__'!$C$2:$C1009=$C2)))"),4.333333333333333)</f>
        <v>4.333333333</v>
      </c>
      <c r="F2" s="9">
        <f>IFERROR(__xludf.DUMMYFUNCTION("AVERAGE(FILTER('__flatlist__'!F$2:F1009,('__flatlist__'!$B$2:$B1009=$B2),('__flatlist__'!$C$2:$C1009=$C2)))"),5.0)</f>
        <v>5</v>
      </c>
      <c r="G2" s="9">
        <f>IFERROR(__xludf.DUMMYFUNCTION("AVERAGE(FILTER('__flatlist__'!G$2:G1009,('__flatlist__'!$B$2:$B1009=$B2),('__flatlist__'!$C$2:$C1009=$C2)))"),5.0)</f>
        <v>5</v>
      </c>
      <c r="H2" s="9">
        <f>IFERROR(__xludf.DUMMYFUNCTION("AVERAGE(FILTER('__flatlist__'!H$2:H1009,('__flatlist__'!$B$2:$B1009=$B2),('__flatlist__'!$C$2:$C1009=$C2)))"),4.833333333333333)</f>
        <v>4.833333333</v>
      </c>
      <c r="I2" s="9">
        <f>IFERROR(__xludf.DUMMYFUNCTION("AVERAGE(FILTER('__flatlist__'!I$2:I1009,('__flatlist__'!$B$2:$B1009=$B2),('__flatlist__'!$C$2:$C1009=$C2)))"),1.6666666666666667)</f>
        <v>1.666666667</v>
      </c>
      <c r="J2" s="9">
        <f t="shared" ref="J2:J25" si="1">AVERAGE(E2:I2)</f>
        <v>4.166666667</v>
      </c>
      <c r="K2" s="10"/>
      <c r="M2" s="2" t="s">
        <v>11</v>
      </c>
      <c r="N2" s="11">
        <f>correl('__flatlist__'!D:D,'__flatlist__'!E:E)</f>
        <v>-0.2386704559</v>
      </c>
      <c r="O2" s="11"/>
      <c r="P2" s="11"/>
      <c r="Q2" s="11"/>
      <c r="R2" s="11"/>
    </row>
    <row r="3">
      <c r="A3" s="6"/>
      <c r="B3" s="6" t="s">
        <v>15</v>
      </c>
      <c r="C3" s="7" t="s">
        <v>17</v>
      </c>
      <c r="D3" s="8">
        <f>IFERROR(__xludf.DUMMYFUNCTION("AVERAGE(FILTER('__flatlist__'!D$2:D1009,('__flatlist__'!$B$2:$B1009=$B3),('__flatlist__'!$C$2:$C1009=$C3)))"),0.18218245358818383)</f>
        <v>0.1821824536</v>
      </c>
      <c r="E3" s="9" t="str">
        <f>IFERROR(__xludf.DUMMYFUNCTION("AVERAGE(FILTER('__flatlist__'!E$2:E1009,('__flatlist__'!$B$2:$B1009=$B3),('__flatlist__'!$C$2:$C1009=$C3)))"),"#DIV/0!")</f>
        <v>#DIV/0!</v>
      </c>
      <c r="F3" s="9" t="str">
        <f>IFERROR(__xludf.DUMMYFUNCTION("AVERAGE(FILTER('__flatlist__'!F$2:F1009,('__flatlist__'!$B$2:$B1009=$B3),('__flatlist__'!$C$2:$C1009=$C3)))"),"#DIV/0!")</f>
        <v>#DIV/0!</v>
      </c>
      <c r="G3" s="9" t="str">
        <f>IFERROR(__xludf.DUMMYFUNCTION("AVERAGE(FILTER('__flatlist__'!G$2:G1009,('__flatlist__'!$B$2:$B1009=$B3),('__flatlist__'!$C$2:$C1009=$C3)))"),"#DIV/0!")</f>
        <v>#DIV/0!</v>
      </c>
      <c r="H3" s="9" t="str">
        <f>IFERROR(__xludf.DUMMYFUNCTION("AVERAGE(FILTER('__flatlist__'!H$2:H1009,('__flatlist__'!$B$2:$B1009=$B3),('__flatlist__'!$C$2:$C1009=$C3)))"),"#DIV/0!")</f>
        <v>#DIV/0!</v>
      </c>
      <c r="I3" s="9" t="str">
        <f>IFERROR(__xludf.DUMMYFUNCTION("AVERAGE(FILTER('__flatlist__'!I$2:I1009,('__flatlist__'!$B$2:$B1009=$B3),('__flatlist__'!$C$2:$C1009=$C3)))"),"#DIV/0!")</f>
        <v>#DIV/0!</v>
      </c>
      <c r="J3" s="12" t="str">
        <f t="shared" si="1"/>
        <v>#DIV/0!</v>
      </c>
      <c r="M3" s="1" t="s">
        <v>12</v>
      </c>
      <c r="N3" s="11">
        <f>correl('__flatlist__'!D:D,'__flatlist__'!F:F)</f>
        <v>0.1051902056</v>
      </c>
      <c r="O3" s="11">
        <f>correl('__flatlist__'!E:E,'__flatlist__'!F:F)</f>
        <v>-0.004183587764</v>
      </c>
      <c r="P3" s="11"/>
      <c r="Q3" s="11"/>
      <c r="R3" s="11"/>
    </row>
    <row r="4">
      <c r="A4" s="6"/>
      <c r="B4" s="6" t="s">
        <v>15</v>
      </c>
      <c r="C4" s="7" t="s">
        <v>18</v>
      </c>
      <c r="D4" s="8">
        <f>IFERROR(__xludf.DUMMYFUNCTION("AVERAGE(FILTER('__flatlist__'!D$2:D1009,('__flatlist__'!$B$2:$B1009=$B4),('__flatlist__'!$C$2:$C1009=$C4)))"),0.001364013214797611)</f>
        <v>0.001364013215</v>
      </c>
      <c r="E4" s="9" t="str">
        <f>IFERROR(__xludf.DUMMYFUNCTION("AVERAGE(FILTER('__flatlist__'!E$2:E1009,('__flatlist__'!$B$2:$B1009=$B4),('__flatlist__'!$C$2:$C1009=$C4)))"),"#DIV/0!")</f>
        <v>#DIV/0!</v>
      </c>
      <c r="F4" s="9" t="str">
        <f>IFERROR(__xludf.DUMMYFUNCTION("AVERAGE(FILTER('__flatlist__'!F$2:F1009,('__flatlist__'!$B$2:$B1009=$B4),('__flatlist__'!$C$2:$C1009=$C4)))"),"#DIV/0!")</f>
        <v>#DIV/0!</v>
      </c>
      <c r="G4" s="9" t="str">
        <f>IFERROR(__xludf.DUMMYFUNCTION("AVERAGE(FILTER('__flatlist__'!G$2:G1009,('__flatlist__'!$B$2:$B1009=$B4),('__flatlist__'!$C$2:$C1009=$C4)))"),"#DIV/0!")</f>
        <v>#DIV/0!</v>
      </c>
      <c r="H4" s="9" t="str">
        <f>IFERROR(__xludf.DUMMYFUNCTION("AVERAGE(FILTER('__flatlist__'!H$2:H1009,('__flatlist__'!$B$2:$B1009=$B4),('__flatlist__'!$C$2:$C1009=$C4)))"),"#DIV/0!")</f>
        <v>#DIV/0!</v>
      </c>
      <c r="I4" s="9" t="str">
        <f>IFERROR(__xludf.DUMMYFUNCTION("AVERAGE(FILTER('__flatlist__'!I$2:I1009,('__flatlist__'!$B$2:$B1009=$B4),('__flatlist__'!$C$2:$C1009=$C4)))"),"#DIV/0!")</f>
        <v>#DIV/0!</v>
      </c>
      <c r="J4" s="12" t="str">
        <f t="shared" si="1"/>
        <v>#DIV/0!</v>
      </c>
      <c r="M4" s="1" t="s">
        <v>13</v>
      </c>
      <c r="N4" s="11">
        <f>correl('__flatlist__'!D:D,'__flatlist__'!G:G)</f>
        <v>-0.01793137554</v>
      </c>
      <c r="O4" s="11">
        <f>correl('__flatlist__'!E:E,'__flatlist__'!G:G)</f>
        <v>0.2024776837</v>
      </c>
      <c r="P4" s="11">
        <f>correl('__flatlist__'!F:F,'__flatlist__'!G:G)</f>
        <v>0.07192923025</v>
      </c>
      <c r="Q4" s="11"/>
      <c r="R4" s="11"/>
    </row>
    <row r="5">
      <c r="A5" s="6"/>
      <c r="B5" s="6" t="s">
        <v>15</v>
      </c>
      <c r="C5" s="7" t="s">
        <v>19</v>
      </c>
      <c r="D5" s="8">
        <f>IFERROR(__xludf.DUMMYFUNCTION("AVERAGE(FILTER('__flatlist__'!D$2:D1009,('__flatlist__'!$B$2:$B1009=$B5),('__flatlist__'!$C$2:$C1009=$C5)))"),0.001364013214797611)</f>
        <v>0.001364013215</v>
      </c>
      <c r="E5" s="9" t="str">
        <f>IFERROR(__xludf.DUMMYFUNCTION("AVERAGE(FILTER('__flatlist__'!E$2:E1009,('__flatlist__'!$B$2:$B1009=$B5),('__flatlist__'!$C$2:$C1009=$C5)))"),"#DIV/0!")</f>
        <v>#DIV/0!</v>
      </c>
      <c r="F5" s="9" t="str">
        <f>IFERROR(__xludf.DUMMYFUNCTION("AVERAGE(FILTER('__flatlist__'!F$2:F1009,('__flatlist__'!$B$2:$B1009=$B5),('__flatlist__'!$C$2:$C1009=$C5)))"),"#DIV/0!")</f>
        <v>#DIV/0!</v>
      </c>
      <c r="G5" s="9" t="str">
        <f>IFERROR(__xludf.DUMMYFUNCTION("AVERAGE(FILTER('__flatlist__'!G$2:G1009,('__flatlist__'!$B$2:$B1009=$B5),('__flatlist__'!$C$2:$C1009=$C5)))"),"#DIV/0!")</f>
        <v>#DIV/0!</v>
      </c>
      <c r="H5" s="9" t="str">
        <f>IFERROR(__xludf.DUMMYFUNCTION("AVERAGE(FILTER('__flatlist__'!H$2:H1009,('__flatlist__'!$B$2:$B1009=$B5),('__flatlist__'!$C$2:$C1009=$C5)))"),"#DIV/0!")</f>
        <v>#DIV/0!</v>
      </c>
      <c r="I5" s="9" t="str">
        <f>IFERROR(__xludf.DUMMYFUNCTION("AVERAGE(FILTER('__flatlist__'!I$2:I1009,('__flatlist__'!$B$2:$B1009=$B5),('__flatlist__'!$C$2:$C1009=$C5)))"),"#DIV/0!")</f>
        <v>#DIV/0!</v>
      </c>
      <c r="J5" s="12" t="str">
        <f t="shared" si="1"/>
        <v>#DIV/0!</v>
      </c>
      <c r="M5" s="1" t="s">
        <v>14</v>
      </c>
      <c r="N5" s="11">
        <f>correl('__flatlist__'!D:D,'__flatlist__'!H:H)</f>
        <v>-0.4004409073</v>
      </c>
      <c r="O5" s="11">
        <f>correl('__flatlist__'!E:E,'__flatlist__'!H:H)</f>
        <v>0.4481833897</v>
      </c>
      <c r="P5" s="11">
        <f>correl('__flatlist__'!F:F,'__flatlist__'!H:H)</f>
        <v>-0.05334282047</v>
      </c>
      <c r="Q5" s="11">
        <f>correl('__flatlist__'!G:G,'__flatlist__'!H:H)</f>
        <v>0.1871091343</v>
      </c>
      <c r="R5" s="11"/>
    </row>
    <row r="6">
      <c r="A6" s="6"/>
      <c r="B6" s="6" t="s">
        <v>20</v>
      </c>
      <c r="C6" s="7" t="s">
        <v>8</v>
      </c>
      <c r="D6" s="8">
        <f>IFERROR(__xludf.DUMMYFUNCTION("AVERAGE(FILTER('__flatlist__'!D$2:D1009,('__flatlist__'!$B$2:$B1009=$B6),('__flatlist__'!$C$2:$C1009=$C6)))"),0.16467484340079672)</f>
        <v>0.1646748434</v>
      </c>
      <c r="E6" s="9">
        <f>IFERROR(__xludf.DUMMYFUNCTION("AVERAGE(FILTER('__flatlist__'!E$2:E1009,('__flatlist__'!$B$2:$B1009=$B6),('__flatlist__'!$C$2:$C1009=$C6)))"),2.8)</f>
        <v>2.8</v>
      </c>
      <c r="F6" s="9">
        <f>IFERROR(__xludf.DUMMYFUNCTION("AVERAGE(FILTER('__flatlist__'!F$2:F1009,('__flatlist__'!$B$2:$B1009=$B6),('__flatlist__'!$C$2:$C1009=$C6)))"),4.8)</f>
        <v>4.8</v>
      </c>
      <c r="G6" s="9">
        <f>IFERROR(__xludf.DUMMYFUNCTION("AVERAGE(FILTER('__flatlist__'!G$2:G1009,('__flatlist__'!$B$2:$B1009=$B6),('__flatlist__'!$C$2:$C1009=$C6)))"),5.0)</f>
        <v>5</v>
      </c>
      <c r="H6" s="9">
        <f>IFERROR(__xludf.DUMMYFUNCTION("AVERAGE(FILTER('__flatlist__'!H$2:H1009,('__flatlist__'!$B$2:$B1009=$B6),('__flatlist__'!$C$2:$C1009=$C6)))"),4.0)</f>
        <v>4</v>
      </c>
      <c r="I6" s="9">
        <f>IFERROR(__xludf.DUMMYFUNCTION("AVERAGE(FILTER('__flatlist__'!I$2:I1009,('__flatlist__'!$B$2:$B1009=$B6),('__flatlist__'!$C$2:$C1009=$C6)))"),4.4)</f>
        <v>4.4</v>
      </c>
      <c r="J6" s="9">
        <f t="shared" si="1"/>
        <v>4.2</v>
      </c>
      <c r="K6" s="12">
        <f t="shared" ref="K6:K25" si="2">rank(J6,$J$6:$J$25,FALSE)</f>
        <v>15</v>
      </c>
      <c r="M6" s="2" t="s">
        <v>8</v>
      </c>
      <c r="N6" s="11">
        <f>correl('__flatlist__'!D:D,'__flatlist__'!I:I)</f>
        <v>0.6263427837</v>
      </c>
      <c r="O6" s="11">
        <f>correl('__flatlist__'!E:E,'__flatlist__'!I:I)</f>
        <v>-0.1707885847</v>
      </c>
      <c r="P6" s="11">
        <f>correl('__flatlist__'!F:F,'__flatlist__'!I:I)</f>
        <v>0.1332559347</v>
      </c>
      <c r="Q6" s="11">
        <f>correl('__flatlist__'!G:G,'__flatlist__'!I:I)</f>
        <v>-0.08127607406</v>
      </c>
      <c r="R6" s="11">
        <f>correl('__flatlist__'!H:H,'__flatlist__'!I:I)</f>
        <v>-0.1469125372</v>
      </c>
    </row>
    <row r="7">
      <c r="A7" s="6"/>
      <c r="B7" s="6" t="s">
        <v>20</v>
      </c>
      <c r="C7" s="7" t="s">
        <v>21</v>
      </c>
      <c r="D7" s="8">
        <f>IFERROR(__xludf.DUMMYFUNCTION("AVERAGE(FILTER('__flatlist__'!D$2:D1009,('__flatlist__'!$B$2:$B1009=$B7),('__flatlist__'!$C$2:$C1009=$C7)))"),0.21188024113468779)</f>
        <v>0.2118802411</v>
      </c>
      <c r="E7" s="9">
        <f>IFERROR(__xludf.DUMMYFUNCTION("AVERAGE(FILTER('__flatlist__'!E$2:E1009,('__flatlist__'!$B$2:$B1009=$B7),('__flatlist__'!$C$2:$C1009=$C7)))"),3.8)</f>
        <v>3.8</v>
      </c>
      <c r="F7" s="9">
        <f>IFERROR(__xludf.DUMMYFUNCTION("AVERAGE(FILTER('__flatlist__'!F$2:F1009,('__flatlist__'!$B$2:$B1009=$B7),('__flatlist__'!$C$2:$C1009=$C7)))"),4.6)</f>
        <v>4.6</v>
      </c>
      <c r="G7" s="9">
        <f>IFERROR(__xludf.DUMMYFUNCTION("AVERAGE(FILTER('__flatlist__'!G$2:G1009,('__flatlist__'!$B$2:$B1009=$B7),('__flatlist__'!$C$2:$C1009=$C7)))"),5.0)</f>
        <v>5</v>
      </c>
      <c r="H7" s="9">
        <f>IFERROR(__xludf.DUMMYFUNCTION("AVERAGE(FILTER('__flatlist__'!H$2:H1009,('__flatlist__'!$B$2:$B1009=$B7),('__flatlist__'!$C$2:$C1009=$C7)))"),3.8)</f>
        <v>3.8</v>
      </c>
      <c r="I7" s="9">
        <f>IFERROR(__xludf.DUMMYFUNCTION("AVERAGE(FILTER('__flatlist__'!I$2:I1009,('__flatlist__'!$B$2:$B1009=$B7),('__flatlist__'!$C$2:$C1009=$C7)))"),4.6)</f>
        <v>4.6</v>
      </c>
      <c r="J7" s="9">
        <f t="shared" si="1"/>
        <v>4.36</v>
      </c>
      <c r="K7" s="12">
        <f t="shared" si="2"/>
        <v>12</v>
      </c>
    </row>
    <row r="8">
      <c r="A8" s="6"/>
      <c r="B8" s="6" t="s">
        <v>20</v>
      </c>
      <c r="C8" s="7" t="s">
        <v>22</v>
      </c>
      <c r="D8" s="8">
        <f>IFERROR(__xludf.DUMMYFUNCTION("AVERAGE(FILTER('__flatlist__'!D$2:D1009,('__flatlist__'!$B$2:$B1009=$B8),('__flatlist__'!$C$2:$C1009=$C8)))"),0.17126246268423073)</f>
        <v>0.1712624627</v>
      </c>
      <c r="E8" s="9">
        <f>IFERROR(__xludf.DUMMYFUNCTION("AVERAGE(FILTER('__flatlist__'!E$2:E1009,('__flatlist__'!$B$2:$B1009=$B8),('__flatlist__'!$C$2:$C1009=$C8)))"),2.8)</f>
        <v>2.8</v>
      </c>
      <c r="F8" s="9">
        <f>IFERROR(__xludf.DUMMYFUNCTION("AVERAGE(FILTER('__flatlist__'!F$2:F1009,('__flatlist__'!$B$2:$B1009=$B8),('__flatlist__'!$C$2:$C1009=$C8)))"),4.8)</f>
        <v>4.8</v>
      </c>
      <c r="G8" s="9">
        <f>IFERROR(__xludf.DUMMYFUNCTION("AVERAGE(FILTER('__flatlist__'!G$2:G1009,('__flatlist__'!$B$2:$B1009=$B8),('__flatlist__'!$C$2:$C1009=$C8)))"),5.0)</f>
        <v>5</v>
      </c>
      <c r="H8" s="9">
        <f>IFERROR(__xludf.DUMMYFUNCTION("AVERAGE(FILTER('__flatlist__'!H$2:H1009,('__flatlist__'!$B$2:$B1009=$B8),('__flatlist__'!$C$2:$C1009=$C8)))"),3.8)</f>
        <v>3.8</v>
      </c>
      <c r="I8" s="9">
        <f>IFERROR(__xludf.DUMMYFUNCTION("AVERAGE(FILTER('__flatlist__'!I$2:I1009,('__flatlist__'!$B$2:$B1009=$B8),('__flatlist__'!$C$2:$C1009=$C8)))"),4.4)</f>
        <v>4.4</v>
      </c>
      <c r="J8" s="9">
        <f t="shared" si="1"/>
        <v>4.16</v>
      </c>
      <c r="K8" s="12">
        <f t="shared" si="2"/>
        <v>17</v>
      </c>
    </row>
    <row r="9">
      <c r="A9" s="6"/>
      <c r="B9" s="6" t="s">
        <v>20</v>
      </c>
      <c r="C9" s="7" t="s">
        <v>23</v>
      </c>
      <c r="D9" s="8">
        <f>IFERROR(__xludf.DUMMYFUNCTION("AVERAGE(FILTER('__flatlist__'!D$2:D1009,('__flatlist__'!$B$2:$B1009=$B9),('__flatlist__'!$C$2:$C1009=$C9)))"),0.1994353670092322)</f>
        <v>0.199435367</v>
      </c>
      <c r="E9" s="9">
        <f>IFERROR(__xludf.DUMMYFUNCTION("AVERAGE(FILTER('__flatlist__'!E$2:E1009,('__flatlist__'!$B$2:$B1009=$B9),('__flatlist__'!$C$2:$C1009=$C9)))"),3.0)</f>
        <v>3</v>
      </c>
      <c r="F9" s="9">
        <f>IFERROR(__xludf.DUMMYFUNCTION("AVERAGE(FILTER('__flatlist__'!F$2:F1009,('__flatlist__'!$B$2:$B1009=$B9),('__flatlist__'!$C$2:$C1009=$C9)))"),4.6)</f>
        <v>4.6</v>
      </c>
      <c r="G9" s="9">
        <f>IFERROR(__xludf.DUMMYFUNCTION("AVERAGE(FILTER('__flatlist__'!G$2:G1009,('__flatlist__'!$B$2:$B1009=$B9),('__flatlist__'!$C$2:$C1009=$C9)))"),1.0)</f>
        <v>1</v>
      </c>
      <c r="H9" s="9">
        <f>IFERROR(__xludf.DUMMYFUNCTION("AVERAGE(FILTER('__flatlist__'!H$2:H1009,('__flatlist__'!$B$2:$B1009=$B9),('__flatlist__'!$C$2:$C1009=$C9)))"),3.8)</f>
        <v>3.8</v>
      </c>
      <c r="I9" s="9">
        <f>IFERROR(__xludf.DUMMYFUNCTION("AVERAGE(FILTER('__flatlist__'!I$2:I1009,('__flatlist__'!$B$2:$B1009=$B9),('__flatlist__'!$C$2:$C1009=$C9)))"),4.4)</f>
        <v>4.4</v>
      </c>
      <c r="J9" s="9">
        <f t="shared" si="1"/>
        <v>3.36</v>
      </c>
      <c r="K9" s="12">
        <f t="shared" si="2"/>
        <v>20</v>
      </c>
    </row>
    <row r="10">
      <c r="A10" s="6"/>
      <c r="B10" s="6" t="s">
        <v>24</v>
      </c>
      <c r="C10" s="7" t="s">
        <v>8</v>
      </c>
      <c r="D10" s="8">
        <f>IFERROR(__xludf.DUMMYFUNCTION("AVERAGE(FILTER('__flatlist__'!D$2:D1009,('__flatlist__'!$B$2:$B1009=$B10),('__flatlist__'!$C$2:$C1009=$C10)))"),0.21592700676837923)</f>
        <v>0.2159270068</v>
      </c>
      <c r="E10" s="9">
        <f>IFERROR(__xludf.DUMMYFUNCTION("AVERAGE(FILTER('__flatlist__'!E$2:E1009,('__flatlist__'!$B$2:$B1009=$B10),('__flatlist__'!$C$2:$C1009=$C10)))"),3.0)</f>
        <v>3</v>
      </c>
      <c r="F10" s="9">
        <f>IFERROR(__xludf.DUMMYFUNCTION("AVERAGE(FILTER('__flatlist__'!F$2:F1009,('__flatlist__'!$B$2:$B1009=$B10),('__flatlist__'!$C$2:$C1009=$C10)))"),4.6)</f>
        <v>4.6</v>
      </c>
      <c r="G10" s="9">
        <f>IFERROR(__xludf.DUMMYFUNCTION("AVERAGE(FILTER('__flatlist__'!G$2:G1009,('__flatlist__'!$B$2:$B1009=$B10),('__flatlist__'!$C$2:$C1009=$C10)))"),5.0)</f>
        <v>5</v>
      </c>
      <c r="H10" s="9">
        <f>IFERROR(__xludf.DUMMYFUNCTION("AVERAGE(FILTER('__flatlist__'!H$2:H1009,('__flatlist__'!$B$2:$B1009=$B10),('__flatlist__'!$C$2:$C1009=$C10)))"),4.4)</f>
        <v>4.4</v>
      </c>
      <c r="I10" s="9">
        <f>IFERROR(__xludf.DUMMYFUNCTION("AVERAGE(FILTER('__flatlist__'!I$2:I1009,('__flatlist__'!$B$2:$B1009=$B10),('__flatlist__'!$C$2:$C1009=$C10)))"),4.4)</f>
        <v>4.4</v>
      </c>
      <c r="J10" s="9">
        <f t="shared" si="1"/>
        <v>4.28</v>
      </c>
      <c r="K10" s="12">
        <f t="shared" si="2"/>
        <v>14</v>
      </c>
    </row>
    <row r="11">
      <c r="A11" s="6"/>
      <c r="B11" s="6" t="s">
        <v>24</v>
      </c>
      <c r="C11" s="7" t="s">
        <v>21</v>
      </c>
      <c r="D11" s="8">
        <f>IFERROR(__xludf.DUMMYFUNCTION("AVERAGE(FILTER('__flatlist__'!D$2:D1009,('__flatlist__'!$B$2:$B1009=$B11),('__flatlist__'!$C$2:$C1009=$C11)))"),0.23378022497949322)</f>
        <v>0.233780225</v>
      </c>
      <c r="E11" s="9">
        <f>IFERROR(__xludf.DUMMYFUNCTION("AVERAGE(FILTER('__flatlist__'!E$2:E1009,('__flatlist__'!$B$2:$B1009=$B11),('__flatlist__'!$C$2:$C1009=$C11)))"),4.4)</f>
        <v>4.4</v>
      </c>
      <c r="F11" s="9">
        <f>IFERROR(__xludf.DUMMYFUNCTION("AVERAGE(FILTER('__flatlist__'!F$2:F1009,('__flatlist__'!$B$2:$B1009=$B11),('__flatlist__'!$C$2:$C1009=$C11)))"),5.0)</f>
        <v>5</v>
      </c>
      <c r="G11" s="9">
        <f>IFERROR(__xludf.DUMMYFUNCTION("AVERAGE(FILTER('__flatlist__'!G$2:G1009,('__flatlist__'!$B$2:$B1009=$B11),('__flatlist__'!$C$2:$C1009=$C11)))"),5.0)</f>
        <v>5</v>
      </c>
      <c r="H11" s="9">
        <f>IFERROR(__xludf.DUMMYFUNCTION("AVERAGE(FILTER('__flatlist__'!H$2:H1009,('__flatlist__'!$B$2:$B1009=$B11),('__flatlist__'!$C$2:$C1009=$C11)))"),4.6)</f>
        <v>4.6</v>
      </c>
      <c r="I11" s="9">
        <f>IFERROR(__xludf.DUMMYFUNCTION("AVERAGE(FILTER('__flatlist__'!I$2:I1009,('__flatlist__'!$B$2:$B1009=$B11),('__flatlist__'!$C$2:$C1009=$C11)))"),4.4)</f>
        <v>4.4</v>
      </c>
      <c r="J11" s="9">
        <f t="shared" si="1"/>
        <v>4.68</v>
      </c>
      <c r="K11" s="12">
        <f t="shared" si="2"/>
        <v>3</v>
      </c>
    </row>
    <row r="12">
      <c r="A12" s="6"/>
      <c r="B12" s="6" t="s">
        <v>24</v>
      </c>
      <c r="C12" s="7" t="s">
        <v>22</v>
      </c>
      <c r="D12" s="8">
        <f>IFERROR(__xludf.DUMMYFUNCTION("AVERAGE(FILTER('__flatlist__'!D$2:D1009,('__flatlist__'!$B$2:$B1009=$B12),('__flatlist__'!$C$2:$C1009=$C12)))"),0.11813123022807623)</f>
        <v>0.1181312302</v>
      </c>
      <c r="E12" s="9">
        <f>IFERROR(__xludf.DUMMYFUNCTION("AVERAGE(FILTER('__flatlist__'!E$2:E1009,('__flatlist__'!$B$2:$B1009=$B12),('__flatlist__'!$C$2:$C1009=$C12)))"),4.4)</f>
        <v>4.4</v>
      </c>
      <c r="F12" s="9">
        <f>IFERROR(__xludf.DUMMYFUNCTION("AVERAGE(FILTER('__flatlist__'!F$2:F1009,('__flatlist__'!$B$2:$B1009=$B12),('__flatlist__'!$C$2:$C1009=$C12)))"),4.8)</f>
        <v>4.8</v>
      </c>
      <c r="G12" s="9">
        <f>IFERROR(__xludf.DUMMYFUNCTION("AVERAGE(FILTER('__flatlist__'!G$2:G1009,('__flatlist__'!$B$2:$B1009=$B12),('__flatlist__'!$C$2:$C1009=$C12)))"),5.0)</f>
        <v>5</v>
      </c>
      <c r="H12" s="9">
        <f>IFERROR(__xludf.DUMMYFUNCTION("AVERAGE(FILTER('__flatlist__'!H$2:H1009,('__flatlist__'!$B$2:$B1009=$B12),('__flatlist__'!$C$2:$C1009=$C12)))"),5.0)</f>
        <v>5</v>
      </c>
      <c r="I12" s="9">
        <f>IFERROR(__xludf.DUMMYFUNCTION("AVERAGE(FILTER('__flatlist__'!I$2:I1009,('__flatlist__'!$B$2:$B1009=$B12),('__flatlist__'!$C$2:$C1009=$C12)))"),3.2)</f>
        <v>3.2</v>
      </c>
      <c r="J12" s="9">
        <f t="shared" si="1"/>
        <v>4.48</v>
      </c>
      <c r="K12" s="12">
        <f t="shared" si="2"/>
        <v>7</v>
      </c>
    </row>
    <row r="13">
      <c r="A13" s="6"/>
      <c r="B13" s="6" t="s">
        <v>24</v>
      </c>
      <c r="C13" s="7" t="s">
        <v>23</v>
      </c>
      <c r="D13" s="8">
        <f>IFERROR(__xludf.DUMMYFUNCTION("AVERAGE(FILTER('__flatlist__'!D$2:D1009,('__flatlist__'!$B$2:$B1009=$B13),('__flatlist__'!$C$2:$C1009=$C13)))"),0.2531072687471928)</f>
        <v>0.2531072687</v>
      </c>
      <c r="E13" s="9">
        <f>IFERROR(__xludf.DUMMYFUNCTION("AVERAGE(FILTER('__flatlist__'!E$2:E1009,('__flatlist__'!$B$2:$B1009=$B13),('__flatlist__'!$C$2:$C1009=$C13)))"),4.2)</f>
        <v>4.2</v>
      </c>
      <c r="F13" s="9">
        <f>IFERROR(__xludf.DUMMYFUNCTION("AVERAGE(FILTER('__flatlist__'!F$2:F1009,('__flatlist__'!$B$2:$B1009=$B13),('__flatlist__'!$C$2:$C1009=$C13)))"),5.0)</f>
        <v>5</v>
      </c>
      <c r="G13" s="9">
        <f>IFERROR(__xludf.DUMMYFUNCTION("AVERAGE(FILTER('__flatlist__'!G$2:G1009,('__flatlist__'!$B$2:$B1009=$B13),('__flatlist__'!$C$2:$C1009=$C13)))"),5.0)</f>
        <v>5</v>
      </c>
      <c r="H13" s="9">
        <f>IFERROR(__xludf.DUMMYFUNCTION("AVERAGE(FILTER('__flatlist__'!H$2:H1009,('__flatlist__'!$B$2:$B1009=$B13),('__flatlist__'!$C$2:$C1009=$C13)))"),4.0)</f>
        <v>4</v>
      </c>
      <c r="I13" s="9">
        <f>IFERROR(__xludf.DUMMYFUNCTION("AVERAGE(FILTER('__flatlist__'!I$2:I1009,('__flatlist__'!$B$2:$B1009=$B13),('__flatlist__'!$C$2:$C1009=$C13)))"),4.0)</f>
        <v>4</v>
      </c>
      <c r="J13" s="9">
        <f t="shared" si="1"/>
        <v>4.44</v>
      </c>
      <c r="K13" s="12">
        <f t="shared" si="2"/>
        <v>9</v>
      </c>
    </row>
    <row r="14">
      <c r="A14" s="6"/>
      <c r="B14" s="6" t="s">
        <v>25</v>
      </c>
      <c r="C14" s="7" t="s">
        <v>8</v>
      </c>
      <c r="D14" s="8">
        <f>IFERROR(__xludf.DUMMYFUNCTION("AVERAGE(FILTER('__flatlist__'!D$2:D1009,('__flatlist__'!$B$2:$B1009=$B14),('__flatlist__'!$C$2:$C1009=$C14)))"),0.2516133533185564)</f>
        <v>0.2516133533</v>
      </c>
      <c r="E14" s="9">
        <f>IFERROR(__xludf.DUMMYFUNCTION("AVERAGE(FILTER('__flatlist__'!E$2:E1009,('__flatlist__'!$B$2:$B1009=$B14),('__flatlist__'!$C$2:$C1009=$C14)))"),3.0)</f>
        <v>3</v>
      </c>
      <c r="F14" s="9">
        <f>IFERROR(__xludf.DUMMYFUNCTION("AVERAGE(FILTER('__flatlist__'!F$2:F1009,('__flatlist__'!$B$2:$B1009=$B14),('__flatlist__'!$C$2:$C1009=$C14)))"),5.0)</f>
        <v>5</v>
      </c>
      <c r="G14" s="9">
        <f>IFERROR(__xludf.DUMMYFUNCTION("AVERAGE(FILTER('__flatlist__'!G$2:G1009,('__flatlist__'!$B$2:$B1009=$B14),('__flatlist__'!$C$2:$C1009=$C14)))"),5.0)</f>
        <v>5</v>
      </c>
      <c r="H14" s="9">
        <f>IFERROR(__xludf.DUMMYFUNCTION("AVERAGE(FILTER('__flatlist__'!H$2:H1009,('__flatlist__'!$B$2:$B1009=$B14),('__flatlist__'!$C$2:$C1009=$C14)))"),4.2)</f>
        <v>4.2</v>
      </c>
      <c r="I14" s="9">
        <f>IFERROR(__xludf.DUMMYFUNCTION("AVERAGE(FILTER('__flatlist__'!I$2:I1009,('__flatlist__'!$B$2:$B1009=$B14),('__flatlist__'!$C$2:$C1009=$C14)))"),4.4)</f>
        <v>4.4</v>
      </c>
      <c r="J14" s="9">
        <f t="shared" si="1"/>
        <v>4.32</v>
      </c>
      <c r="K14" s="12">
        <f t="shared" si="2"/>
        <v>13</v>
      </c>
      <c r="M14" s="4"/>
      <c r="N14" s="11"/>
      <c r="O14" s="11"/>
      <c r="P14" s="11"/>
      <c r="Q14" s="11"/>
      <c r="R14" s="11"/>
    </row>
    <row r="15">
      <c r="A15" s="6"/>
      <c r="B15" s="6" t="s">
        <v>25</v>
      </c>
      <c r="C15" s="7" t="s">
        <v>21</v>
      </c>
      <c r="D15" s="8">
        <f>IFERROR(__xludf.DUMMYFUNCTION("AVERAGE(FILTER('__flatlist__'!D$2:D1009,('__flatlist__'!$B$2:$B1009=$B15),('__flatlist__'!$C$2:$C1009=$C15)))"),0.20080204538560054)</f>
        <v>0.2008020454</v>
      </c>
      <c r="E15" s="9">
        <f>IFERROR(__xludf.DUMMYFUNCTION("AVERAGE(FILTER('__flatlist__'!E$2:E1009,('__flatlist__'!$B$2:$B1009=$B15),('__flatlist__'!$C$2:$C1009=$C15)))"),4.6)</f>
        <v>4.6</v>
      </c>
      <c r="F15" s="9">
        <f>IFERROR(__xludf.DUMMYFUNCTION("AVERAGE(FILTER('__flatlist__'!F$2:F1009,('__flatlist__'!$B$2:$B1009=$B15),('__flatlist__'!$C$2:$C1009=$C15)))"),4.8)</f>
        <v>4.8</v>
      </c>
      <c r="G15" s="9">
        <f>IFERROR(__xludf.DUMMYFUNCTION("AVERAGE(FILTER('__flatlist__'!G$2:G1009,('__flatlist__'!$B$2:$B1009=$B15),('__flatlist__'!$C$2:$C1009=$C15)))"),5.0)</f>
        <v>5</v>
      </c>
      <c r="H15" s="9">
        <f>IFERROR(__xludf.DUMMYFUNCTION("AVERAGE(FILTER('__flatlist__'!H$2:H1009,('__flatlist__'!$B$2:$B1009=$B15),('__flatlist__'!$C$2:$C1009=$C15)))"),4.8)</f>
        <v>4.8</v>
      </c>
      <c r="I15" s="9">
        <f>IFERROR(__xludf.DUMMYFUNCTION("AVERAGE(FILTER('__flatlist__'!I$2:I1009,('__flatlist__'!$B$2:$B1009=$B15),('__flatlist__'!$C$2:$C1009=$C15)))"),4.4)</f>
        <v>4.4</v>
      </c>
      <c r="J15" s="9">
        <f t="shared" si="1"/>
        <v>4.72</v>
      </c>
      <c r="K15" s="12">
        <f t="shared" si="2"/>
        <v>2</v>
      </c>
      <c r="M15" s="4"/>
      <c r="N15" s="11"/>
    </row>
    <row r="16">
      <c r="A16" s="6"/>
      <c r="B16" s="6" t="s">
        <v>25</v>
      </c>
      <c r="C16" s="7" t="s">
        <v>22</v>
      </c>
      <c r="D16" s="8">
        <f>IFERROR(__xludf.DUMMYFUNCTION("AVERAGE(FILTER('__flatlist__'!D$2:D1009,('__flatlist__'!$B$2:$B1009=$B16),('__flatlist__'!$C$2:$C1009=$C16)))"),0.19530872677289884)</f>
        <v>0.1953087268</v>
      </c>
      <c r="E16" s="9">
        <f>IFERROR(__xludf.DUMMYFUNCTION("AVERAGE(FILTER('__flatlist__'!E$2:E1009,('__flatlist__'!$B$2:$B1009=$B16),('__flatlist__'!$C$2:$C1009=$C16)))"),4.2)</f>
        <v>4.2</v>
      </c>
      <c r="F16" s="9">
        <f>IFERROR(__xludf.DUMMYFUNCTION("AVERAGE(FILTER('__flatlist__'!F$2:F1009,('__flatlist__'!$B$2:$B1009=$B16),('__flatlist__'!$C$2:$C1009=$C16)))"),5.0)</f>
        <v>5</v>
      </c>
      <c r="G16" s="9">
        <f>IFERROR(__xludf.DUMMYFUNCTION("AVERAGE(FILTER('__flatlist__'!G$2:G1009,('__flatlist__'!$B$2:$B1009=$B16),('__flatlist__'!$C$2:$C1009=$C16)))"),5.0)</f>
        <v>5</v>
      </c>
      <c r="H16" s="9">
        <f>IFERROR(__xludf.DUMMYFUNCTION("AVERAGE(FILTER('__flatlist__'!H$2:H1009,('__flatlist__'!$B$2:$B1009=$B16),('__flatlist__'!$C$2:$C1009=$C16)))"),4.4)</f>
        <v>4.4</v>
      </c>
      <c r="I16" s="9">
        <f>IFERROR(__xludf.DUMMYFUNCTION("AVERAGE(FILTER('__flatlist__'!I$2:I1009,('__flatlist__'!$B$2:$B1009=$B16),('__flatlist__'!$C$2:$C1009=$C16)))"),4.4)</f>
        <v>4.4</v>
      </c>
      <c r="J16" s="9">
        <f t="shared" si="1"/>
        <v>4.6</v>
      </c>
      <c r="K16" s="12">
        <f t="shared" si="2"/>
        <v>4</v>
      </c>
      <c r="M16" s="4"/>
      <c r="N16" s="11"/>
    </row>
    <row r="17">
      <c r="A17" s="6"/>
      <c r="B17" s="6" t="s">
        <v>25</v>
      </c>
      <c r="C17" s="7" t="s">
        <v>23</v>
      </c>
      <c r="D17" s="8">
        <f>IFERROR(__xludf.DUMMYFUNCTION("AVERAGE(FILTER('__flatlist__'!D$2:D1009,('__flatlist__'!$B$2:$B1009=$B17),('__flatlist__'!$C$2:$C1009=$C17)))"),0.1695727717616197)</f>
        <v>0.1695727718</v>
      </c>
      <c r="E17" s="9">
        <f>IFERROR(__xludf.DUMMYFUNCTION("AVERAGE(FILTER('__flatlist__'!E$2:E1009,('__flatlist__'!$B$2:$B1009=$B17),('__flatlist__'!$C$2:$C1009=$C17)))"),3.8)</f>
        <v>3.8</v>
      </c>
      <c r="F17" s="9">
        <f>IFERROR(__xludf.DUMMYFUNCTION("AVERAGE(FILTER('__flatlist__'!F$2:F1009,('__flatlist__'!$B$2:$B1009=$B17),('__flatlist__'!$C$2:$C1009=$C17)))"),4.8)</f>
        <v>4.8</v>
      </c>
      <c r="G17" s="9">
        <f>IFERROR(__xludf.DUMMYFUNCTION("AVERAGE(FILTER('__flatlist__'!G$2:G1009,('__flatlist__'!$B$2:$B1009=$B17),('__flatlist__'!$C$2:$C1009=$C17)))"),5.0)</f>
        <v>5</v>
      </c>
      <c r="H17" s="9">
        <f>IFERROR(__xludf.DUMMYFUNCTION("AVERAGE(FILTER('__flatlist__'!H$2:H1009,('__flatlist__'!$B$2:$B1009=$B17),('__flatlist__'!$C$2:$C1009=$C17)))"),4.8)</f>
        <v>4.8</v>
      </c>
      <c r="I17" s="9">
        <f>IFERROR(__xludf.DUMMYFUNCTION("AVERAGE(FILTER('__flatlist__'!I$2:I1009,('__flatlist__'!$B$2:$B1009=$B17),('__flatlist__'!$C$2:$C1009=$C17)))"),4.4)</f>
        <v>4.4</v>
      </c>
      <c r="J17" s="9">
        <f t="shared" si="1"/>
        <v>4.56</v>
      </c>
      <c r="K17" s="12">
        <f t="shared" si="2"/>
        <v>5</v>
      </c>
      <c r="M17" s="4"/>
      <c r="N17" s="11"/>
    </row>
    <row r="18">
      <c r="A18" s="6"/>
      <c r="B18" s="6" t="s">
        <v>26</v>
      </c>
      <c r="C18" s="7" t="s">
        <v>8</v>
      </c>
      <c r="D18" s="8">
        <f>IFERROR(__xludf.DUMMYFUNCTION("AVERAGE(FILTER('__flatlist__'!D$2:D1009,('__flatlist__'!$B$2:$B1009=$B18),('__flatlist__'!$C$2:$C1009=$C18)))"),0.2409263034074936)</f>
        <v>0.2409263034</v>
      </c>
      <c r="E18" s="9">
        <f>IFERROR(__xludf.DUMMYFUNCTION("AVERAGE(FILTER('__flatlist__'!E$2:E1009,('__flatlist__'!$B$2:$B1009=$B18),('__flatlist__'!$C$2:$C1009=$C18)))"),3.0)</f>
        <v>3</v>
      </c>
      <c r="F18" s="9">
        <f>IFERROR(__xludf.DUMMYFUNCTION("AVERAGE(FILTER('__flatlist__'!F$2:F1009,('__flatlist__'!$B$2:$B1009=$B18),('__flatlist__'!$C$2:$C1009=$C18)))"),4.6)</f>
        <v>4.6</v>
      </c>
      <c r="G18" s="9">
        <f>IFERROR(__xludf.DUMMYFUNCTION("AVERAGE(FILTER('__flatlist__'!G$2:G1009,('__flatlist__'!$B$2:$B1009=$B18),('__flatlist__'!$C$2:$C1009=$C18)))"),5.0)</f>
        <v>5</v>
      </c>
      <c r="H18" s="9">
        <f>IFERROR(__xludf.DUMMYFUNCTION("AVERAGE(FILTER('__flatlist__'!H$2:H1009,('__flatlist__'!$B$2:$B1009=$B18),('__flatlist__'!$C$2:$C1009=$C18)))"),4.2)</f>
        <v>4.2</v>
      </c>
      <c r="I18" s="9">
        <f>IFERROR(__xludf.DUMMYFUNCTION("AVERAGE(FILTER('__flatlist__'!I$2:I1009,('__flatlist__'!$B$2:$B1009=$B18),('__flatlist__'!$C$2:$C1009=$C18)))"),4.2)</f>
        <v>4.2</v>
      </c>
      <c r="J18" s="9">
        <f t="shared" si="1"/>
        <v>4.2</v>
      </c>
      <c r="K18" s="12">
        <f t="shared" si="2"/>
        <v>15</v>
      </c>
      <c r="M18" s="4"/>
      <c r="N18" s="11"/>
    </row>
    <row r="19">
      <c r="A19" s="6"/>
      <c r="B19" s="6" t="s">
        <v>26</v>
      </c>
      <c r="C19" s="7" t="s">
        <v>21</v>
      </c>
      <c r="D19" s="8">
        <f>IFERROR(__xludf.DUMMYFUNCTION("AVERAGE(FILTER('__flatlist__'!D$2:D1009,('__flatlist__'!$B$2:$B1009=$B19),('__flatlist__'!$C$2:$C1009=$C19)))"),0.23607181624858656)</f>
        <v>0.2360718162</v>
      </c>
      <c r="E19" s="9">
        <f>IFERROR(__xludf.DUMMYFUNCTION("AVERAGE(FILTER('__flatlist__'!E$2:E1009,('__flatlist__'!$B$2:$B1009=$B19),('__flatlist__'!$C$2:$C1009=$C19)))"),4.4)</f>
        <v>4.4</v>
      </c>
      <c r="F19" s="9">
        <f>IFERROR(__xludf.DUMMYFUNCTION("AVERAGE(FILTER('__flatlist__'!F$2:F1009,('__flatlist__'!$B$2:$B1009=$B19),('__flatlist__'!$C$2:$C1009=$C19)))"),4.8)</f>
        <v>4.8</v>
      </c>
      <c r="G19" s="9">
        <f>IFERROR(__xludf.DUMMYFUNCTION("AVERAGE(FILTER('__flatlist__'!G$2:G1009,('__flatlist__'!$B$2:$B1009=$B19),('__flatlist__'!$C$2:$C1009=$C19)))"),4.8)</f>
        <v>4.8</v>
      </c>
      <c r="H19" s="9">
        <f>IFERROR(__xludf.DUMMYFUNCTION("AVERAGE(FILTER('__flatlist__'!H$2:H1009,('__flatlist__'!$B$2:$B1009=$B19),('__flatlist__'!$C$2:$C1009=$C19)))"),4.4)</f>
        <v>4.4</v>
      </c>
      <c r="I19" s="9">
        <f>IFERROR(__xludf.DUMMYFUNCTION("AVERAGE(FILTER('__flatlist__'!I$2:I1009,('__flatlist__'!$B$2:$B1009=$B19),('__flatlist__'!$C$2:$C1009=$C19)))"),4.2)</f>
        <v>4.2</v>
      </c>
      <c r="J19" s="9">
        <f t="shared" si="1"/>
        <v>4.52</v>
      </c>
      <c r="K19" s="12">
        <f t="shared" si="2"/>
        <v>6</v>
      </c>
      <c r="M19" s="4"/>
      <c r="N19" s="11"/>
    </row>
    <row r="20">
      <c r="A20" s="6"/>
      <c r="B20" s="6" t="s">
        <v>26</v>
      </c>
      <c r="C20" s="7" t="s">
        <v>22</v>
      </c>
      <c r="D20" s="8">
        <f>IFERROR(__xludf.DUMMYFUNCTION("AVERAGE(FILTER('__flatlist__'!D$2:D1009,('__flatlist__'!$B$2:$B1009=$B20),('__flatlist__'!$C$2:$C1009=$C20)))"),0.18483466864063886)</f>
        <v>0.1848346686</v>
      </c>
      <c r="E20" s="9">
        <f>IFERROR(__xludf.DUMMYFUNCTION("AVERAGE(FILTER('__flatlist__'!E$2:E1009,('__flatlist__'!$B$2:$B1009=$B20),('__flatlist__'!$C$2:$C1009=$C20)))"),4.2)</f>
        <v>4.2</v>
      </c>
      <c r="F20" s="9">
        <f>IFERROR(__xludf.DUMMYFUNCTION("AVERAGE(FILTER('__flatlist__'!F$2:F1009,('__flatlist__'!$B$2:$B1009=$B20),('__flatlist__'!$C$2:$C1009=$C20)))"),4.8)</f>
        <v>4.8</v>
      </c>
      <c r="G20" s="9">
        <f>IFERROR(__xludf.DUMMYFUNCTION("AVERAGE(FILTER('__flatlist__'!G$2:G1009,('__flatlist__'!$B$2:$B1009=$B20),('__flatlist__'!$C$2:$C1009=$C20)))"),4.8)</f>
        <v>4.8</v>
      </c>
      <c r="H20" s="9">
        <f>IFERROR(__xludf.DUMMYFUNCTION("AVERAGE(FILTER('__flatlist__'!H$2:H1009,('__flatlist__'!$B$2:$B1009=$B20),('__flatlist__'!$C$2:$C1009=$C20)))"),4.2)</f>
        <v>4.2</v>
      </c>
      <c r="I20" s="9">
        <f>IFERROR(__xludf.DUMMYFUNCTION("AVERAGE(FILTER('__flatlist__'!I$2:I1009,('__flatlist__'!$B$2:$B1009=$B20),('__flatlist__'!$C$2:$C1009=$C20)))"),3.8)</f>
        <v>3.8</v>
      </c>
      <c r="J20" s="9">
        <f t="shared" si="1"/>
        <v>4.36</v>
      </c>
      <c r="K20" s="12">
        <f t="shared" si="2"/>
        <v>11</v>
      </c>
      <c r="M20" s="4"/>
      <c r="N20" s="11"/>
    </row>
    <row r="21">
      <c r="A21" s="6"/>
      <c r="B21" s="6" t="s">
        <v>26</v>
      </c>
      <c r="C21" s="7" t="s">
        <v>23</v>
      </c>
      <c r="D21" s="8">
        <f>IFERROR(__xludf.DUMMYFUNCTION("AVERAGE(FILTER('__flatlist__'!D$2:D1009,('__flatlist__'!$B$2:$B1009=$B21),('__flatlist__'!$C$2:$C1009=$C21)))"),0.1591148489568017)</f>
        <v>0.159114849</v>
      </c>
      <c r="E21" s="9">
        <f>IFERROR(__xludf.DUMMYFUNCTION("AVERAGE(FILTER('__flatlist__'!E$2:E1009,('__flatlist__'!$B$2:$B1009=$B21),('__flatlist__'!$C$2:$C1009=$C21)))"),4.0)</f>
        <v>4</v>
      </c>
      <c r="F21" s="9">
        <f>IFERROR(__xludf.DUMMYFUNCTION("AVERAGE(FILTER('__flatlist__'!F$2:F1009,('__flatlist__'!$B$2:$B1009=$B21),('__flatlist__'!$C$2:$C1009=$C21)))"),4.6)</f>
        <v>4.6</v>
      </c>
      <c r="G21" s="9">
        <f>IFERROR(__xludf.DUMMYFUNCTION("AVERAGE(FILTER('__flatlist__'!G$2:G1009,('__flatlist__'!$B$2:$B1009=$B21),('__flatlist__'!$C$2:$C1009=$C21)))"),5.0)</f>
        <v>5</v>
      </c>
      <c r="H21" s="9">
        <f>IFERROR(__xludf.DUMMYFUNCTION("AVERAGE(FILTER('__flatlist__'!H$2:H1009,('__flatlist__'!$B$2:$B1009=$B21),('__flatlist__'!$C$2:$C1009=$C21)))"),4.8)</f>
        <v>4.8</v>
      </c>
      <c r="I21" s="9">
        <f>IFERROR(__xludf.DUMMYFUNCTION("AVERAGE(FILTER('__flatlist__'!I$2:I1009,('__flatlist__'!$B$2:$B1009=$B21),('__flatlist__'!$C$2:$C1009=$C21)))"),4.0)</f>
        <v>4</v>
      </c>
      <c r="J21" s="9">
        <f t="shared" si="1"/>
        <v>4.48</v>
      </c>
      <c r="K21" s="12">
        <f t="shared" si="2"/>
        <v>7</v>
      </c>
      <c r="M21" s="4"/>
      <c r="N21" s="11"/>
    </row>
    <row r="22">
      <c r="A22" s="6"/>
      <c r="B22" s="10" t="s">
        <v>27</v>
      </c>
      <c r="C22" s="7" t="s">
        <v>21</v>
      </c>
      <c r="D22" s="8">
        <f>IFERROR(__xludf.DUMMYFUNCTION("AVERAGE(FILTER('__flatlist__'!D$2:D1009,('__flatlist__'!$B$2:$B1009=$B22),('__flatlist__'!$C$2:$C1009=$C22)))"),0.19777720617025257)</f>
        <v>0.1977772062</v>
      </c>
      <c r="E22" s="9">
        <f>IFERROR(__xludf.DUMMYFUNCTION("AVERAGE(FILTER('__flatlist__'!E$2:E1009,('__flatlist__'!$B$2:$B1009=$B22),('__flatlist__'!$C$2:$C1009=$C22)))"),4.6)</f>
        <v>4.6</v>
      </c>
      <c r="F22" s="9">
        <f>IFERROR(__xludf.DUMMYFUNCTION("AVERAGE(FILTER('__flatlist__'!F$2:F1009,('__flatlist__'!$B$2:$B1009=$B22),('__flatlist__'!$C$2:$C1009=$C22)))"),5.0)</f>
        <v>5</v>
      </c>
      <c r="G22" s="9">
        <f>IFERROR(__xludf.DUMMYFUNCTION("AVERAGE(FILTER('__flatlist__'!G$2:G1009,('__flatlist__'!$B$2:$B1009=$B22),('__flatlist__'!$C$2:$C1009=$C22)))"),5.0)</f>
        <v>5</v>
      </c>
      <c r="H22" s="9">
        <f>IFERROR(__xludf.DUMMYFUNCTION("AVERAGE(FILTER('__flatlist__'!H$2:H1009,('__flatlist__'!$B$2:$B1009=$B22),('__flatlist__'!$C$2:$C1009=$C22)))"),4.8)</f>
        <v>4.8</v>
      </c>
      <c r="I22" s="9">
        <f>IFERROR(__xludf.DUMMYFUNCTION("AVERAGE(FILTER('__flatlist__'!I$2:I1009,('__flatlist__'!$B$2:$B1009=$B22),('__flatlist__'!$C$2:$C1009=$C22)))"),4.4)</f>
        <v>4.4</v>
      </c>
      <c r="J22" s="9">
        <f t="shared" si="1"/>
        <v>4.76</v>
      </c>
      <c r="K22" s="12">
        <f t="shared" si="2"/>
        <v>1</v>
      </c>
      <c r="M22" s="4"/>
      <c r="N22" s="11"/>
    </row>
    <row r="23">
      <c r="A23" s="6"/>
      <c r="B23" s="10" t="s">
        <v>27</v>
      </c>
      <c r="C23" s="7" t="s">
        <v>22</v>
      </c>
      <c r="D23" s="8">
        <f>IFERROR(__xludf.DUMMYFUNCTION("AVERAGE(FILTER('__flatlist__'!D$2:D1009,('__flatlist__'!$B$2:$B1009=$B23),('__flatlist__'!$C$2:$C1009=$C23)))"),0.24563153882287742)</f>
        <v>0.2456315388</v>
      </c>
      <c r="E23" s="9">
        <f>IFERROR(__xludf.DUMMYFUNCTION("AVERAGE(FILTER('__flatlist__'!E$2:E1009,('__flatlist__'!$B$2:$B1009=$B23),('__flatlist__'!$C$2:$C1009=$C23)))"),3.0)</f>
        <v>3</v>
      </c>
      <c r="F23" s="9">
        <f>IFERROR(__xludf.DUMMYFUNCTION("AVERAGE(FILTER('__flatlist__'!F$2:F1009,('__flatlist__'!$B$2:$B1009=$B23),('__flatlist__'!$C$2:$C1009=$C23)))"),5.0)</f>
        <v>5</v>
      </c>
      <c r="G23" s="9">
        <f>IFERROR(__xludf.DUMMYFUNCTION("AVERAGE(FILTER('__flatlist__'!G$2:G1009,('__flatlist__'!$B$2:$B1009=$B23),('__flatlist__'!$C$2:$C1009=$C23)))"),5.0)</f>
        <v>5</v>
      </c>
      <c r="H23" s="9">
        <f>IFERROR(__xludf.DUMMYFUNCTION("AVERAGE(FILTER('__flatlist__'!H$2:H1009,('__flatlist__'!$B$2:$B1009=$B23),('__flatlist__'!$C$2:$C1009=$C23)))"),3.2)</f>
        <v>3.2</v>
      </c>
      <c r="I23" s="9">
        <f>IFERROR(__xludf.DUMMYFUNCTION("AVERAGE(FILTER('__flatlist__'!I$2:I1009,('__flatlist__'!$B$2:$B1009=$B23),('__flatlist__'!$C$2:$C1009=$C23)))"),4.2)</f>
        <v>4.2</v>
      </c>
      <c r="J23" s="9">
        <f t="shared" si="1"/>
        <v>4.08</v>
      </c>
      <c r="K23" s="12">
        <f t="shared" si="2"/>
        <v>18</v>
      </c>
      <c r="M23" s="4"/>
      <c r="N23" s="11"/>
    </row>
    <row r="24">
      <c r="A24" s="6"/>
      <c r="B24" s="10" t="s">
        <v>27</v>
      </c>
      <c r="C24" s="7" t="s">
        <v>8</v>
      </c>
      <c r="D24" s="8">
        <f>IFERROR(__xludf.DUMMYFUNCTION("AVERAGE(FILTER('__flatlist__'!D$2:D1009,('__flatlist__'!$B$2:$B1009=$B24),('__flatlist__'!$C$2:$C1009=$C24)))"),0.29037785283471657)</f>
        <v>0.2903778528</v>
      </c>
      <c r="E24" s="9">
        <f>IFERROR(__xludf.DUMMYFUNCTION("AVERAGE(FILTER('__flatlist__'!E$2:E1009,('__flatlist__'!$B$2:$B1009=$B24),('__flatlist__'!$C$2:$C1009=$C24)))"),3.0)</f>
        <v>3</v>
      </c>
      <c r="F24" s="9">
        <f>IFERROR(__xludf.DUMMYFUNCTION("AVERAGE(FILTER('__flatlist__'!F$2:F1009,('__flatlist__'!$B$2:$B1009=$B24),('__flatlist__'!$C$2:$C1009=$C24)))"),4.6)</f>
        <v>4.6</v>
      </c>
      <c r="G24" s="9">
        <f>IFERROR(__xludf.DUMMYFUNCTION("AVERAGE(FILTER('__flatlist__'!G$2:G1009,('__flatlist__'!$B$2:$B1009=$B24),('__flatlist__'!$C$2:$C1009=$C24)))"),5.0)</f>
        <v>5</v>
      </c>
      <c r="H24" s="9">
        <f>IFERROR(__xludf.DUMMYFUNCTION("AVERAGE(FILTER('__flatlist__'!H$2:H1009,('__flatlist__'!$B$2:$B1009=$B24),('__flatlist__'!$C$2:$C1009=$C24)))"),3.6)</f>
        <v>3.6</v>
      </c>
      <c r="I24" s="9">
        <f>IFERROR(__xludf.DUMMYFUNCTION("AVERAGE(FILTER('__flatlist__'!I$2:I1009,('__flatlist__'!$B$2:$B1009=$B24),('__flatlist__'!$C$2:$C1009=$C24)))"),4.2)</f>
        <v>4.2</v>
      </c>
      <c r="J24" s="9">
        <f t="shared" si="1"/>
        <v>4.08</v>
      </c>
      <c r="K24" s="12">
        <f t="shared" si="2"/>
        <v>18</v>
      </c>
      <c r="M24" s="4"/>
      <c r="N24" s="11"/>
    </row>
    <row r="25">
      <c r="A25" s="6"/>
      <c r="B25" s="10" t="s">
        <v>27</v>
      </c>
      <c r="C25" s="7" t="s">
        <v>23</v>
      </c>
      <c r="D25" s="8">
        <f>IFERROR(__xludf.DUMMYFUNCTION("AVERAGE(FILTER('__flatlist__'!D$2:D1009,('__flatlist__'!$B$2:$B1009=$B25),('__flatlist__'!$C$2:$C1009=$C25)))"),0.12247846857806677)</f>
        <v>0.1224784686</v>
      </c>
      <c r="E25" s="9">
        <f>IFERROR(__xludf.DUMMYFUNCTION("AVERAGE(FILTER('__flatlist__'!E$2:E1009,('__flatlist__'!$B$2:$B1009=$B25),('__flatlist__'!$C$2:$C1009=$C25)))"),4.4)</f>
        <v>4.4</v>
      </c>
      <c r="F25" s="9">
        <f>IFERROR(__xludf.DUMMYFUNCTION("AVERAGE(FILTER('__flatlist__'!F$2:F1009,('__flatlist__'!$B$2:$B1009=$B25),('__flatlist__'!$C$2:$C1009=$C25)))"),4.4)</f>
        <v>4.4</v>
      </c>
      <c r="G25" s="9">
        <f>IFERROR(__xludf.DUMMYFUNCTION("AVERAGE(FILTER('__flatlist__'!G$2:G1009,('__flatlist__'!$B$2:$B1009=$B25),('__flatlist__'!$C$2:$C1009=$C25)))"),5.0)</f>
        <v>5</v>
      </c>
      <c r="H25" s="9">
        <f>IFERROR(__xludf.DUMMYFUNCTION("AVERAGE(FILTER('__flatlist__'!H$2:H1009,('__flatlist__'!$B$2:$B1009=$B25),('__flatlist__'!$C$2:$C1009=$C25)))"),5.0)</f>
        <v>5</v>
      </c>
      <c r="I25" s="9">
        <f>IFERROR(__xludf.DUMMYFUNCTION("AVERAGE(FILTER('__flatlist__'!I$2:I1009,('__flatlist__'!$B$2:$B1009=$B25),('__flatlist__'!$C$2:$C1009=$C25)))"),3.4)</f>
        <v>3.4</v>
      </c>
      <c r="J25" s="9">
        <f t="shared" si="1"/>
        <v>4.44</v>
      </c>
      <c r="K25" s="12">
        <f t="shared" si="2"/>
        <v>9</v>
      </c>
      <c r="M25" s="4"/>
      <c r="N25" s="11"/>
    </row>
    <row r="26">
      <c r="C26" s="7"/>
      <c r="E26" s="9"/>
      <c r="F26" s="9"/>
      <c r="G26" s="9"/>
      <c r="H26" s="9"/>
      <c r="I26" s="9"/>
      <c r="M26" s="4"/>
      <c r="N26" s="11"/>
    </row>
    <row r="27">
      <c r="A27" s="13"/>
      <c r="B27" s="14"/>
      <c r="C27" s="14"/>
      <c r="D27" s="13" t="s">
        <v>28</v>
      </c>
      <c r="E27" s="15"/>
      <c r="F27" s="15"/>
      <c r="G27" s="15"/>
      <c r="H27" s="15"/>
      <c r="I27" s="15"/>
      <c r="J27" s="15"/>
      <c r="K27" s="16"/>
      <c r="M27" s="4"/>
      <c r="N27" s="11"/>
    </row>
    <row r="28">
      <c r="A28" s="17" t="str">
        <f>'🤖 Claude Haiku 3.5'!$A$2</f>
        <v>http://elpais.com/ccaa/2019/08/01/catalunya/1564677368_810398.html</v>
      </c>
      <c r="B28" s="6"/>
      <c r="D28" s="8">
        <f>IFERROR(__xludf.DUMMYFUNCTION("AVERAGE(FILTER('__flatlist__'!D$2:D1009,('__flatlist__'!$A$2:$A1009=$A28)))"),0.16642857142857145)</f>
        <v>0.1664285714</v>
      </c>
      <c r="E28" s="9">
        <f>IFERROR(__xludf.DUMMYFUNCTION("AVERAGE(FILTER('__flatlist__'!E$2:E1009,('__flatlist__'!$A$2:$A1009=$A28)))"),3.8095238095238093)</f>
        <v>3.80952381</v>
      </c>
      <c r="F28" s="9">
        <f>IFERROR(__xludf.DUMMYFUNCTION("AVERAGE(FILTER('__flatlist__'!F$2:F1009,('__flatlist__'!$A$2:$A1009=$A28)))"),5.0)</f>
        <v>5</v>
      </c>
      <c r="G28" s="9">
        <f>IFERROR(__xludf.DUMMYFUNCTION("AVERAGE(FILTER('__flatlist__'!G$2:G1009,('__flatlist__'!$A$2:$A1009=$A28)))"),4.761904761904762)</f>
        <v>4.761904762</v>
      </c>
      <c r="H28" s="9">
        <f>IFERROR(__xludf.DUMMYFUNCTION("AVERAGE(FILTER('__flatlist__'!H$2:H1009,('__flatlist__'!$A$2:$A1009=$A28)))"),4.190476190476191)</f>
        <v>4.19047619</v>
      </c>
      <c r="I28" s="9">
        <f>IFERROR(__xludf.DUMMYFUNCTION("AVERAGE(FILTER('__flatlist__'!I$2:I1009,('__flatlist__'!$A$2:$A1009=$A28)))"),4.238095238095238)</f>
        <v>4.238095238</v>
      </c>
      <c r="J28" s="9">
        <f t="shared" ref="J28:J41" si="3">average(E28:I28)</f>
        <v>4.4</v>
      </c>
      <c r="K28" s="18"/>
      <c r="M28" s="4"/>
      <c r="N28" s="11"/>
    </row>
    <row r="29">
      <c r="A29" s="17" t="str">
        <f>'🤖 Claude Haiku 3.5'!$A$7</f>
        <v>http://elpais.com/internacional/2019/09/22/mexico/1569184390_537370.html</v>
      </c>
      <c r="B29" s="6"/>
      <c r="D29" s="8">
        <f>IFERROR(__xludf.DUMMYFUNCTION("AVERAGE(FILTER('__flatlist__'!D$2:D1009,('__flatlist__'!$A$2:$A1009=$A29)))"),0.16193639291465375)</f>
        <v>0.1619363929</v>
      </c>
      <c r="E29" s="9">
        <f>IFERROR(__xludf.DUMMYFUNCTION("AVERAGE(FILTER('__flatlist__'!E$2:E1009,('__flatlist__'!$A$2:$A1009=$A29)))"),3.857142857142857)</f>
        <v>3.857142857</v>
      </c>
      <c r="F29" s="9">
        <f>IFERROR(__xludf.DUMMYFUNCTION("AVERAGE(FILTER('__flatlist__'!F$2:F1009,('__flatlist__'!$A$2:$A1009=$A29)))"),4.857142857142857)</f>
        <v>4.857142857</v>
      </c>
      <c r="G29" s="9">
        <f>IFERROR(__xludf.DUMMYFUNCTION("AVERAGE(FILTER('__flatlist__'!G$2:G1009,('__flatlist__'!$A$2:$A1009=$A29)))"),4.761904761904762)</f>
        <v>4.761904762</v>
      </c>
      <c r="H29" s="9">
        <f>IFERROR(__xludf.DUMMYFUNCTION("AVERAGE(FILTER('__flatlist__'!H$2:H1009,('__flatlist__'!$A$2:$A1009=$A29)))"),4.142857142857143)</f>
        <v>4.142857143</v>
      </c>
      <c r="I29" s="9">
        <f>IFERROR(__xludf.DUMMYFUNCTION("AVERAGE(FILTER('__flatlist__'!I$2:I1009,('__flatlist__'!$A$2:$A1009=$A29)))"),3.4761904761904763)</f>
        <v>3.476190476</v>
      </c>
      <c r="J29" s="9">
        <f t="shared" si="3"/>
        <v>4.219047619</v>
      </c>
      <c r="K29" s="18"/>
      <c r="M29" s="4"/>
      <c r="N29" s="11"/>
    </row>
    <row r="30">
      <c r="A30" s="17" t="str">
        <f>'🤖 Claude Haiku 3.5'!$A$12</f>
        <v>http://elpais.com/ccaa/2019/07/16/catalunya/1563306455_802927.html</v>
      </c>
      <c r="B30" s="6"/>
      <c r="D30" s="8">
        <f>IFERROR(__xludf.DUMMYFUNCTION("AVERAGE(FILTER('__flatlist__'!D$2:D1009,('__flatlist__'!$A$2:$A1009=$A30)))"),0.1605447987851177)</f>
        <v>0.1605447988</v>
      </c>
      <c r="E30" s="9">
        <f>IFERROR(__xludf.DUMMYFUNCTION("AVERAGE(FILTER('__flatlist__'!E$2:E1009,('__flatlist__'!$A$2:$A1009=$A30)))"),3.6666666666666665)</f>
        <v>3.666666667</v>
      </c>
      <c r="F30" s="9">
        <f>IFERROR(__xludf.DUMMYFUNCTION("AVERAGE(FILTER('__flatlist__'!F$2:F1009,('__flatlist__'!$A$2:$A1009=$A30)))"),4.238095238095238)</f>
        <v>4.238095238</v>
      </c>
      <c r="G30" s="9">
        <f>IFERROR(__xludf.DUMMYFUNCTION("AVERAGE(FILTER('__flatlist__'!G$2:G1009,('__flatlist__'!$A$2:$A1009=$A30)))"),4.809523809523809)</f>
        <v>4.80952381</v>
      </c>
      <c r="H30" s="9">
        <f>IFERROR(__xludf.DUMMYFUNCTION("AVERAGE(FILTER('__flatlist__'!H$2:H1009,('__flatlist__'!$A$2:$A1009=$A30)))"),4.476190476190476)</f>
        <v>4.476190476</v>
      </c>
      <c r="I30" s="9">
        <f>IFERROR(__xludf.DUMMYFUNCTION("AVERAGE(FILTER('__flatlist__'!I$2:I1009,('__flatlist__'!$A$2:$A1009=$A30)))"),3.7142857142857144)</f>
        <v>3.714285714</v>
      </c>
      <c r="J30" s="9">
        <f t="shared" si="3"/>
        <v>4.180952381</v>
      </c>
      <c r="K30" s="18"/>
      <c r="M30" s="4"/>
      <c r="N30" s="11"/>
    </row>
    <row r="31">
      <c r="A31" s="17" t="str">
        <f>'🤖 Claude Haiku 3.5'!$A$17</f>
        <v>http://elpais.com/elpais/2019/08/02/estilo/1564708605_360745.html</v>
      </c>
      <c r="B31" s="6"/>
      <c r="D31" s="8">
        <f>IFERROR(__xludf.DUMMYFUNCTION("AVERAGE(FILTER('__flatlist__'!D$2:D1009,('__flatlist__'!$A$2:$A1009=$A31)))"),0.17778842060451253)</f>
        <v>0.1777884206</v>
      </c>
      <c r="E31" s="9">
        <f>IFERROR(__xludf.DUMMYFUNCTION("AVERAGE(FILTER('__flatlist__'!E$2:E1009,('__flatlist__'!$A$2:$A1009=$A31)))"),3.9047619047619047)</f>
        <v>3.904761905</v>
      </c>
      <c r="F31" s="9">
        <f>IFERROR(__xludf.DUMMYFUNCTION("AVERAGE(FILTER('__flatlist__'!F$2:F1009,('__flatlist__'!$A$2:$A1009=$A31)))"),4.857142857142857)</f>
        <v>4.857142857</v>
      </c>
      <c r="G31" s="9">
        <f>IFERROR(__xludf.DUMMYFUNCTION("AVERAGE(FILTER('__flatlist__'!G$2:G1009,('__flatlist__'!$A$2:$A1009=$A31)))"),4.809523809523809)</f>
        <v>4.80952381</v>
      </c>
      <c r="H31" s="9">
        <f>IFERROR(__xludf.DUMMYFUNCTION("AVERAGE(FILTER('__flatlist__'!H$2:H1009,('__flatlist__'!$A$2:$A1009=$A31)))"),4.619047619047619)</f>
        <v>4.619047619</v>
      </c>
      <c r="I31" s="9">
        <f>IFERROR(__xludf.DUMMYFUNCTION("AVERAGE(FILTER('__flatlist__'!I$2:I1009,('__flatlist__'!$A$2:$A1009=$A31)))"),4.476190476190476)</f>
        <v>4.476190476</v>
      </c>
      <c r="J31" s="9">
        <f t="shared" si="3"/>
        <v>4.533333333</v>
      </c>
      <c r="K31" s="18"/>
      <c r="M31" s="4"/>
      <c r="N31" s="11"/>
    </row>
    <row r="32">
      <c r="A32" s="19" t="str">
        <f>'🤖 Claude Haiku 3.5'!$A$22</f>
        <v>http://elpais.com/economia/2019/09/21/actualidad/1569020936_816409.html</v>
      </c>
      <c r="B32" s="20"/>
      <c r="C32" s="21"/>
      <c r="D32" s="22">
        <f>IFERROR(__xludf.DUMMYFUNCTION("AVERAGE(FILTER('__flatlist__'!D$2:D1009,('__flatlist__'!$A$2:$A1009=$A32)))"),0.22433264887063661)</f>
        <v>0.2243326489</v>
      </c>
      <c r="E32" s="23">
        <f>IFERROR(__xludf.DUMMYFUNCTION("AVERAGE(FILTER('__flatlist__'!E$2:E1009,('__flatlist__'!$A$2:$A1009=$A32)))"),3.5714285714285716)</f>
        <v>3.571428571</v>
      </c>
      <c r="F32" s="23">
        <f>IFERROR(__xludf.DUMMYFUNCTION("AVERAGE(FILTER('__flatlist__'!F$2:F1009,('__flatlist__'!$A$2:$A1009=$A32)))"),5.0)</f>
        <v>5</v>
      </c>
      <c r="G32" s="23">
        <f>IFERROR(__xludf.DUMMYFUNCTION("AVERAGE(FILTER('__flatlist__'!G$2:G1009,('__flatlist__'!$A$2:$A1009=$A32)))"),4.809523809523809)</f>
        <v>4.80952381</v>
      </c>
      <c r="H32" s="23">
        <f>IFERROR(__xludf.DUMMYFUNCTION("AVERAGE(FILTER('__flatlist__'!H$2:H1009,('__flatlist__'!$A$2:$A1009=$A32)))"),4.142857142857143)</f>
        <v>4.142857143</v>
      </c>
      <c r="I32" s="23">
        <f>IFERROR(__xludf.DUMMYFUNCTION("AVERAGE(FILTER('__flatlist__'!I$2:I1009,('__flatlist__'!$A$2:$A1009=$A32)))"),4.428571428571429)</f>
        <v>4.428571429</v>
      </c>
      <c r="J32" s="23">
        <f t="shared" si="3"/>
        <v>4.39047619</v>
      </c>
      <c r="K32" s="18"/>
      <c r="M32" s="4"/>
      <c r="N32" s="11"/>
    </row>
    <row r="33">
      <c r="A33" s="24"/>
      <c r="B33" s="6" t="s">
        <v>20</v>
      </c>
      <c r="D33" s="8">
        <f>IFERROR(__xludf.DUMMYFUNCTION("AVERAGE(FILTER('__flatlist__'!D$2:D1009,('__flatlist__'!$B$2:$B1009=$B33)))"),0.18681322855723687)</f>
        <v>0.1868132286</v>
      </c>
      <c r="E33" s="9">
        <f>IFERROR(__xludf.DUMMYFUNCTION("AVERAGE(FILTER('__flatlist__'!E$2:E1009,('__flatlist__'!$B$2:$B1009=$B33)))"),3.1)</f>
        <v>3.1</v>
      </c>
      <c r="F33" s="9">
        <f>IFERROR(__xludf.DUMMYFUNCTION("AVERAGE(FILTER('__flatlist__'!F$2:F1009,('__flatlist__'!$B$2:$B1009=$B33)))"),4.7)</f>
        <v>4.7</v>
      </c>
      <c r="G33" s="9">
        <f>IFERROR(__xludf.DUMMYFUNCTION("AVERAGE(FILTER('__flatlist__'!G$2:G1009,('__flatlist__'!$B$2:$B1009=$B33)))"),4.0)</f>
        <v>4</v>
      </c>
      <c r="H33" s="9">
        <f>IFERROR(__xludf.DUMMYFUNCTION("AVERAGE(FILTER('__flatlist__'!H$2:H1009,('__flatlist__'!$B$2:$B1009=$B33)))"),3.85)</f>
        <v>3.85</v>
      </c>
      <c r="I33" s="9">
        <f>IFERROR(__xludf.DUMMYFUNCTION("AVERAGE(FILTER('__flatlist__'!I$2:I1009,('__flatlist__'!$B$2:$B1009=$B33)))"),4.45)</f>
        <v>4.45</v>
      </c>
      <c r="J33" s="9">
        <f t="shared" si="3"/>
        <v>4.02</v>
      </c>
      <c r="K33" s="25">
        <f t="shared" ref="K33:K37" si="4">rank(J33,$J$33:$J$37,FALSE)</f>
        <v>5</v>
      </c>
      <c r="M33" s="4"/>
      <c r="N33" s="11"/>
    </row>
    <row r="34">
      <c r="A34" s="24"/>
      <c r="B34" s="6" t="s">
        <v>24</v>
      </c>
      <c r="D34" s="8">
        <f>IFERROR(__xludf.DUMMYFUNCTION("AVERAGE(FILTER('__flatlist__'!D$2:D1009,('__flatlist__'!$B$2:$B1009=$B34)))"),0.20523643268078534)</f>
        <v>0.2052364327</v>
      </c>
      <c r="E34" s="9">
        <f>IFERROR(__xludf.DUMMYFUNCTION("AVERAGE(FILTER('__flatlist__'!E$2:E1009,('__flatlist__'!$B$2:$B1009=$B34)))"),4.0)</f>
        <v>4</v>
      </c>
      <c r="F34" s="9">
        <f>IFERROR(__xludf.DUMMYFUNCTION("AVERAGE(FILTER('__flatlist__'!F$2:F1009,('__flatlist__'!$B$2:$B1009=$B34)))"),4.85)</f>
        <v>4.85</v>
      </c>
      <c r="G34" s="9">
        <f>IFERROR(__xludf.DUMMYFUNCTION("AVERAGE(FILTER('__flatlist__'!G$2:G1009,('__flatlist__'!$B$2:$B1009=$B34)))"),5.0)</f>
        <v>5</v>
      </c>
      <c r="H34" s="9">
        <f>IFERROR(__xludf.DUMMYFUNCTION("AVERAGE(FILTER('__flatlist__'!H$2:H1009,('__flatlist__'!$B$2:$B1009=$B34)))"),4.5)</f>
        <v>4.5</v>
      </c>
      <c r="I34" s="9">
        <f>IFERROR(__xludf.DUMMYFUNCTION("AVERAGE(FILTER('__flatlist__'!I$2:I1009,('__flatlist__'!$B$2:$B1009=$B34)))"),4.0)</f>
        <v>4</v>
      </c>
      <c r="J34" s="9">
        <f t="shared" si="3"/>
        <v>4.47</v>
      </c>
      <c r="K34" s="26">
        <f t="shared" si="4"/>
        <v>2</v>
      </c>
      <c r="M34" s="4"/>
      <c r="N34" s="11"/>
    </row>
    <row r="35">
      <c r="A35" s="24"/>
      <c r="B35" s="6" t="s">
        <v>25</v>
      </c>
      <c r="D35" s="8">
        <f>IFERROR(__xludf.DUMMYFUNCTION("AVERAGE(FILTER('__flatlist__'!D$2:D1009,('__flatlist__'!$B$2:$B1009=$B35)))"),0.20432422430966884)</f>
        <v>0.2043242243</v>
      </c>
      <c r="E35" s="9">
        <f>IFERROR(__xludf.DUMMYFUNCTION("AVERAGE(FILTER('__flatlist__'!E$2:E1009,('__flatlist__'!$B$2:$B1009=$B35)))"),3.9)</f>
        <v>3.9</v>
      </c>
      <c r="F35" s="9">
        <f>IFERROR(__xludf.DUMMYFUNCTION("AVERAGE(FILTER('__flatlist__'!F$2:F1009,('__flatlist__'!$B$2:$B1009=$B35)))"),4.9)</f>
        <v>4.9</v>
      </c>
      <c r="G35" s="9">
        <f>IFERROR(__xludf.DUMMYFUNCTION("AVERAGE(FILTER('__flatlist__'!G$2:G1009,('__flatlist__'!$B$2:$B1009=$B35)))"),5.0)</f>
        <v>5</v>
      </c>
      <c r="H35" s="9">
        <f>IFERROR(__xludf.DUMMYFUNCTION("AVERAGE(FILTER('__flatlist__'!H$2:H1009,('__flatlist__'!$B$2:$B1009=$B35)))"),4.55)</f>
        <v>4.55</v>
      </c>
      <c r="I35" s="9">
        <f>IFERROR(__xludf.DUMMYFUNCTION("AVERAGE(FILTER('__flatlist__'!I$2:I1009,('__flatlist__'!$B$2:$B1009=$B35)))"),4.4)</f>
        <v>4.4</v>
      </c>
      <c r="J35" s="9">
        <f t="shared" si="3"/>
        <v>4.55</v>
      </c>
      <c r="K35" s="26">
        <f t="shared" si="4"/>
        <v>1</v>
      </c>
      <c r="M35" s="4"/>
      <c r="N35" s="11"/>
    </row>
    <row r="36">
      <c r="A36" s="6"/>
      <c r="B36" s="6" t="s">
        <v>26</v>
      </c>
      <c r="D36" s="8">
        <f>IFERROR(__xludf.DUMMYFUNCTION("AVERAGE(FILTER('__flatlist__'!D$2:D1009,('__flatlist__'!$B$2:$B1009=$B36)))"),0.20523690931338018)</f>
        <v>0.2052369093</v>
      </c>
      <c r="E36" s="9">
        <f>IFERROR(__xludf.DUMMYFUNCTION("AVERAGE(FILTER('__flatlist__'!E$2:E1009,('__flatlist__'!$B$2:$B1009=$B36)))"),3.9)</f>
        <v>3.9</v>
      </c>
      <c r="F36" s="9">
        <f>IFERROR(__xludf.DUMMYFUNCTION("AVERAGE(FILTER('__flatlist__'!F$2:F1009,('__flatlist__'!$B$2:$B1009=$B36)))"),4.7)</f>
        <v>4.7</v>
      </c>
      <c r="G36" s="9">
        <f>IFERROR(__xludf.DUMMYFUNCTION("AVERAGE(FILTER('__flatlist__'!G$2:G1009,('__flatlist__'!$B$2:$B1009=$B36)))"),4.9)</f>
        <v>4.9</v>
      </c>
      <c r="H36" s="9">
        <f>IFERROR(__xludf.DUMMYFUNCTION("AVERAGE(FILTER('__flatlist__'!H$2:H1009,('__flatlist__'!$B$2:$B1009=$B36)))"),4.4)</f>
        <v>4.4</v>
      </c>
      <c r="I36" s="9">
        <f>IFERROR(__xludf.DUMMYFUNCTION("AVERAGE(FILTER('__flatlist__'!I$2:I1009,('__flatlist__'!$B$2:$B1009=$B36)))"),4.05)</f>
        <v>4.05</v>
      </c>
      <c r="J36" s="9">
        <f t="shared" si="3"/>
        <v>4.39</v>
      </c>
      <c r="K36" s="26">
        <f t="shared" si="4"/>
        <v>3</v>
      </c>
      <c r="M36" s="4"/>
      <c r="N36" s="11"/>
    </row>
    <row r="37">
      <c r="A37" s="24"/>
      <c r="B37" s="10" t="s">
        <v>27</v>
      </c>
      <c r="D37" s="8">
        <f>IFERROR(__xludf.DUMMYFUNCTION("AVERAGE(FILTER('__flatlist__'!D$2:D1009,('__flatlist__'!$B$2:$B1009=$B37)))"),0.21406626660147832)</f>
        <v>0.2140662666</v>
      </c>
      <c r="E37" s="9">
        <f>IFERROR(__xludf.DUMMYFUNCTION("AVERAGE(FILTER('__flatlist__'!E$2:E1009,('__flatlist__'!$B$2:$B1009=$B37)))"),3.75)</f>
        <v>3.75</v>
      </c>
      <c r="F37" s="9">
        <f>IFERROR(__xludf.DUMMYFUNCTION("AVERAGE(FILTER('__flatlist__'!F$2:F1009,('__flatlist__'!$B$2:$B1009=$B37)))"),4.75)</f>
        <v>4.75</v>
      </c>
      <c r="G37" s="9">
        <f>IFERROR(__xludf.DUMMYFUNCTION("AVERAGE(FILTER('__flatlist__'!G$2:G1009,('__flatlist__'!$B$2:$B1009=$B37)))"),5.0)</f>
        <v>5</v>
      </c>
      <c r="H37" s="9">
        <f>IFERROR(__xludf.DUMMYFUNCTION("AVERAGE(FILTER('__flatlist__'!H$2:H1009,('__flatlist__'!$B$2:$B1009=$B37)))"),4.15)</f>
        <v>4.15</v>
      </c>
      <c r="I37" s="9">
        <f>IFERROR(__xludf.DUMMYFUNCTION("AVERAGE(FILTER('__flatlist__'!I$2:I1009,('__flatlist__'!$B$2:$B1009=$B37)))"),4.05)</f>
        <v>4.05</v>
      </c>
      <c r="J37" s="9">
        <f t="shared" si="3"/>
        <v>4.34</v>
      </c>
      <c r="K37" s="27">
        <f t="shared" si="4"/>
        <v>4</v>
      </c>
      <c r="M37" s="4"/>
      <c r="N37" s="11"/>
    </row>
    <row r="38">
      <c r="A38" s="28"/>
      <c r="B38" s="29"/>
      <c r="C38" s="30" t="s">
        <v>21</v>
      </c>
      <c r="D38" s="31">
        <f>IFERROR(__xludf.DUMMYFUNCTION("AVERAGE(FILTER('__flatlist__'!D$2:D1009,('__flatlist__'!$C$2:$C1009=$C38)))"),0.21606230678372415)</f>
        <v>0.2160623068</v>
      </c>
      <c r="E38" s="32">
        <f>IFERROR(__xludf.DUMMYFUNCTION("AVERAGE(FILTER('__flatlist__'!E$2:E1009,('__flatlist__'!$C$2:$C1009=$C38)))"),4.36)</f>
        <v>4.36</v>
      </c>
      <c r="F38" s="32">
        <f>IFERROR(__xludf.DUMMYFUNCTION("AVERAGE(FILTER('__flatlist__'!F$2:F1009,('__flatlist__'!$C$2:$C1009=$C38)))"),4.84)</f>
        <v>4.84</v>
      </c>
      <c r="G38" s="32">
        <f>IFERROR(__xludf.DUMMYFUNCTION("AVERAGE(FILTER('__flatlist__'!G$2:G1009,('__flatlist__'!$C$2:$C1009=$C38)))"),4.96)</f>
        <v>4.96</v>
      </c>
      <c r="H38" s="32">
        <f>IFERROR(__xludf.DUMMYFUNCTION("AVERAGE(FILTER('__flatlist__'!H$2:H1009,('__flatlist__'!$C$2:$C1009=$C38)))"),4.48)</f>
        <v>4.48</v>
      </c>
      <c r="I38" s="32">
        <f>IFERROR(__xludf.DUMMYFUNCTION("AVERAGE(FILTER('__flatlist__'!I$2:I1009,('__flatlist__'!$C$2:$C1009=$C38)))"),4.4)</f>
        <v>4.4</v>
      </c>
      <c r="J38" s="32">
        <f t="shared" si="3"/>
        <v>4.608</v>
      </c>
      <c r="K38" s="26">
        <f t="shared" ref="K38:K41" si="5">rank(J38,$J$38:$J$41,FALSE)</f>
        <v>1</v>
      </c>
      <c r="M38" s="4"/>
      <c r="N38" s="11"/>
    </row>
    <row r="39">
      <c r="A39" s="33"/>
      <c r="C39" s="7" t="s">
        <v>22</v>
      </c>
      <c r="D39" s="8">
        <f>IFERROR(__xludf.DUMMYFUNCTION("AVERAGE(FILTER('__flatlist__'!D$2:D1009,('__flatlist__'!$C$2:$C1009=$C39)))"),0.18303372542974444)</f>
        <v>0.1830337254</v>
      </c>
      <c r="E39" s="11">
        <f>IFERROR(__xludf.DUMMYFUNCTION("AVERAGE(FILTER('__flatlist__'!E$2:E1009,('__flatlist__'!$C$2:$C1009=$C39)))"),3.72)</f>
        <v>3.72</v>
      </c>
      <c r="F39" s="11">
        <f>IFERROR(__xludf.DUMMYFUNCTION("AVERAGE(FILTER('__flatlist__'!F$2:F1009,('__flatlist__'!$C$2:$C1009=$C39)))"),4.88)</f>
        <v>4.88</v>
      </c>
      <c r="G39" s="11">
        <f>IFERROR(__xludf.DUMMYFUNCTION("AVERAGE(FILTER('__flatlist__'!G$2:G1009,('__flatlist__'!$C$2:$C1009=$C39)))"),4.96)</f>
        <v>4.96</v>
      </c>
      <c r="H39" s="11">
        <f>IFERROR(__xludf.DUMMYFUNCTION("AVERAGE(FILTER('__flatlist__'!H$2:H1009,('__flatlist__'!$C$2:$C1009=$C39)))"),4.12)</f>
        <v>4.12</v>
      </c>
      <c r="I39" s="11">
        <f>IFERROR(__xludf.DUMMYFUNCTION("AVERAGE(FILTER('__flatlist__'!I$2:I1009,('__flatlist__'!$C$2:$C1009=$C39)))"),4.0)</f>
        <v>4</v>
      </c>
      <c r="J39" s="11">
        <f t="shared" si="3"/>
        <v>4.336</v>
      </c>
      <c r="K39" s="26">
        <f t="shared" si="5"/>
        <v>2</v>
      </c>
      <c r="M39" s="4"/>
      <c r="N39" s="11"/>
    </row>
    <row r="40">
      <c r="A40" s="33"/>
      <c r="C40" s="7" t="s">
        <v>8</v>
      </c>
      <c r="D40" s="8">
        <f>IFERROR(__xludf.DUMMYFUNCTION("AVERAGE(FILTER('__flatlist__'!D$2:D1009,('__flatlist__'!$C$2:$C1009=$C40)))"),0.23270387194598852)</f>
        <v>0.2327038719</v>
      </c>
      <c r="E40" s="11">
        <f>IFERROR(__xludf.DUMMYFUNCTION("AVERAGE(FILTER('__flatlist__'!E$2:E1009,('__flatlist__'!$C$2:$C1009=$C40)))"),2.96)</f>
        <v>2.96</v>
      </c>
      <c r="F40" s="11">
        <f>IFERROR(__xludf.DUMMYFUNCTION("AVERAGE(FILTER('__flatlist__'!F$2:F1009,('__flatlist__'!$C$2:$C1009=$C40)))"),4.72)</f>
        <v>4.72</v>
      </c>
      <c r="G40" s="11">
        <f>IFERROR(__xludf.DUMMYFUNCTION("AVERAGE(FILTER('__flatlist__'!G$2:G1009,('__flatlist__'!$C$2:$C1009=$C40)))"),5.0)</f>
        <v>5</v>
      </c>
      <c r="H40" s="11">
        <f>IFERROR(__xludf.DUMMYFUNCTION("AVERAGE(FILTER('__flatlist__'!H$2:H1009,('__flatlist__'!$C$2:$C1009=$C40)))"),4.08)</f>
        <v>4.08</v>
      </c>
      <c r="I40" s="11">
        <f>IFERROR(__xludf.DUMMYFUNCTION("AVERAGE(FILTER('__flatlist__'!I$2:I1009,('__flatlist__'!$C$2:$C1009=$C40)))"),4.32)</f>
        <v>4.32</v>
      </c>
      <c r="J40" s="11">
        <f t="shared" si="3"/>
        <v>4.216</v>
      </c>
      <c r="K40" s="26">
        <f t="shared" si="5"/>
        <v>4</v>
      </c>
      <c r="M40" s="4"/>
      <c r="N40" s="11"/>
    </row>
    <row r="41">
      <c r="A41" s="34"/>
      <c r="B41" s="21"/>
      <c r="C41" s="35" t="s">
        <v>23</v>
      </c>
      <c r="D41" s="22">
        <f>IFERROR(__xludf.DUMMYFUNCTION("AVERAGE(FILTER('__flatlist__'!D$2:D1009,('__flatlist__'!$C$2:$C1009=$C41)))"),0.18074174501058263)</f>
        <v>0.180741745</v>
      </c>
      <c r="E41" s="36">
        <f>IFERROR(__xludf.DUMMYFUNCTION("AVERAGE(FILTER('__flatlist__'!E$2:E1009,('__flatlist__'!$C$2:$C1009=$C41)))"),3.88)</f>
        <v>3.88</v>
      </c>
      <c r="F41" s="36">
        <f>IFERROR(__xludf.DUMMYFUNCTION("AVERAGE(FILTER('__flatlist__'!F$2:F1009,('__flatlist__'!$C$2:$C1009=$C41)))"),4.68)</f>
        <v>4.68</v>
      </c>
      <c r="G41" s="36">
        <f>IFERROR(__xludf.DUMMYFUNCTION("AVERAGE(FILTER('__flatlist__'!G$2:G1009,('__flatlist__'!$C$2:$C1009=$C41)))"),4.2)</f>
        <v>4.2</v>
      </c>
      <c r="H41" s="36">
        <f>IFERROR(__xludf.DUMMYFUNCTION("AVERAGE(FILTER('__flatlist__'!H$2:H1009,('__flatlist__'!$C$2:$C1009=$C41)))"),4.48)</f>
        <v>4.48</v>
      </c>
      <c r="I41" s="36">
        <f>IFERROR(__xludf.DUMMYFUNCTION("AVERAGE(FILTER('__flatlist__'!I$2:I1009,('__flatlist__'!$C$2:$C1009=$C41)))"),4.04)</f>
        <v>4.04</v>
      </c>
      <c r="J41" s="36">
        <f t="shared" si="3"/>
        <v>4.256</v>
      </c>
      <c r="K41" s="27">
        <f t="shared" si="5"/>
        <v>3</v>
      </c>
      <c r="M41" s="4"/>
      <c r="N41" s="11"/>
    </row>
    <row r="42">
      <c r="A42" s="4"/>
      <c r="B42" s="4"/>
      <c r="C42" s="11"/>
    </row>
    <row r="43">
      <c r="A43" s="37"/>
      <c r="B43" s="38"/>
      <c r="C43" s="38"/>
      <c r="D43" s="37" t="s">
        <v>29</v>
      </c>
      <c r="I43" s="39"/>
      <c r="M43" s="4"/>
      <c r="N43" s="11"/>
    </row>
    <row r="44" hidden="1">
      <c r="A44" s="40" t="str">
        <f t="shared" ref="A44:A53" si="6">#REF!</f>
        <v>#REF!</v>
      </c>
      <c r="B44" s="41"/>
      <c r="C44" s="29"/>
      <c r="D44" s="31" t="str">
        <f>IFERROR(__xludf.DUMMYFUNCTION("STDEV(FILTER('__flatlist__'!D$2:D1009,('__flatlist__'!$A$2:$A1009=$A44)))"),"#N/A")</f>
        <v>#N/A</v>
      </c>
      <c r="E44" s="32" t="str">
        <f>IFERROR(__xludf.DUMMYFUNCTION("STDEV(FILTER('__flatlist__'!E$2:E1009,('__flatlist__'!$A$2:$A1009=$A44)))"),"#N/A")</f>
        <v>#N/A</v>
      </c>
      <c r="F44" s="32" t="str">
        <f>IFERROR(__xludf.DUMMYFUNCTION("STDEV(FILTER('__flatlist__'!F$2:F1009,('__flatlist__'!$A$2:$A1009=$A44)))"),"#N/A")</f>
        <v>#N/A</v>
      </c>
      <c r="G44" s="32" t="str">
        <f>IFERROR(__xludf.DUMMYFUNCTION("STDEV(FILTER('__flatlist__'!G$2:G1009,('__flatlist__'!$A$2:$A1009=$A44)))"),"#N/A")</f>
        <v>#N/A</v>
      </c>
      <c r="H44" s="32" t="str">
        <f>IFERROR(__xludf.DUMMYFUNCTION("STDEV(FILTER('__flatlist__'!H$2:H1009,('__flatlist__'!$A$2:$A1009=$A44)))"),"#N/A")</f>
        <v>#N/A</v>
      </c>
      <c r="I44" s="42" t="str">
        <f>IFERROR(__xludf.DUMMYFUNCTION("STDEV(FILTER('__flatlist__'!I$2:I1009,('__flatlist__'!$A$2:$A1009=$A44)))"),"#N/A")</f>
        <v>#N/A</v>
      </c>
      <c r="M44" s="4"/>
      <c r="N44" s="11"/>
    </row>
    <row r="45" hidden="1">
      <c r="A45" s="43" t="str">
        <f t="shared" si="6"/>
        <v>#REF!</v>
      </c>
      <c r="B45" s="6"/>
      <c r="D45" s="8" t="str">
        <f>IFERROR(__xludf.DUMMYFUNCTION("STDEV(FILTER('__flatlist__'!D$2:D1009,('__flatlist__'!$A$2:$A1009=$A45)))"),"#N/A")</f>
        <v>#N/A</v>
      </c>
      <c r="E45" s="11" t="str">
        <f>IFERROR(__xludf.DUMMYFUNCTION("STDEV(FILTER('__flatlist__'!E$2:E1009,('__flatlist__'!$A$2:$A1009=$A45)))"),"#N/A")</f>
        <v>#N/A</v>
      </c>
      <c r="F45" s="11" t="str">
        <f>IFERROR(__xludf.DUMMYFUNCTION("STDEV(FILTER('__flatlist__'!F$2:F1009,('__flatlist__'!$A$2:$A1009=$A45)))"),"#N/A")</f>
        <v>#N/A</v>
      </c>
      <c r="G45" s="11" t="str">
        <f>IFERROR(__xludf.DUMMYFUNCTION("STDEV(FILTER('__flatlist__'!G$2:G1009,('__flatlist__'!$A$2:$A1009=$A45)))"),"#N/A")</f>
        <v>#N/A</v>
      </c>
      <c r="H45" s="11" t="str">
        <f>IFERROR(__xludf.DUMMYFUNCTION("STDEV(FILTER('__flatlist__'!H$2:H1009,('__flatlist__'!$A$2:$A1009=$A45)))"),"#N/A")</f>
        <v>#N/A</v>
      </c>
      <c r="I45" s="44" t="str">
        <f>IFERROR(__xludf.DUMMYFUNCTION("STDEV(FILTER('__flatlist__'!I$2:I1009,('__flatlist__'!$A$2:$A1009=$A45)))"),"#N/A")</f>
        <v>#N/A</v>
      </c>
      <c r="M45" s="4"/>
      <c r="N45" s="11"/>
    </row>
    <row r="46" hidden="1">
      <c r="A46" s="43" t="str">
        <f t="shared" si="6"/>
        <v>#REF!</v>
      </c>
      <c r="B46" s="6"/>
      <c r="D46" s="8" t="str">
        <f>IFERROR(__xludf.DUMMYFUNCTION("STDEV(FILTER('__flatlist__'!D$2:D1009,('__flatlist__'!$A$2:$A1009=$A46)))"),"#N/A")</f>
        <v>#N/A</v>
      </c>
      <c r="E46" s="11" t="str">
        <f>IFERROR(__xludf.DUMMYFUNCTION("STDEV(FILTER('__flatlist__'!E$2:E1009,('__flatlist__'!$A$2:$A1009=$A46)))"),"#N/A")</f>
        <v>#N/A</v>
      </c>
      <c r="F46" s="11" t="str">
        <f>IFERROR(__xludf.DUMMYFUNCTION("STDEV(FILTER('__flatlist__'!F$2:F1009,('__flatlist__'!$A$2:$A1009=$A46)))"),"#N/A")</f>
        <v>#N/A</v>
      </c>
      <c r="G46" s="11" t="str">
        <f>IFERROR(__xludf.DUMMYFUNCTION("STDEV(FILTER('__flatlist__'!G$2:G1009,('__flatlist__'!$A$2:$A1009=$A46)))"),"#N/A")</f>
        <v>#N/A</v>
      </c>
      <c r="H46" s="11" t="str">
        <f>IFERROR(__xludf.DUMMYFUNCTION("STDEV(FILTER('__flatlist__'!H$2:H1009,('__flatlist__'!$A$2:$A1009=$A46)))"),"#N/A")</f>
        <v>#N/A</v>
      </c>
      <c r="I46" s="44" t="str">
        <f>IFERROR(__xludf.DUMMYFUNCTION("STDEV(FILTER('__flatlist__'!I$2:I1009,('__flatlist__'!$A$2:$A1009=$A46)))"),"#N/A")</f>
        <v>#N/A</v>
      </c>
      <c r="M46" s="4"/>
      <c r="N46" s="11"/>
    </row>
    <row r="47" hidden="1">
      <c r="A47" s="43" t="str">
        <f t="shared" si="6"/>
        <v>#REF!</v>
      </c>
      <c r="B47" s="6"/>
      <c r="D47" s="8" t="str">
        <f>IFERROR(__xludf.DUMMYFUNCTION("STDEV(FILTER('__flatlist__'!D$2:D1009,('__flatlist__'!$A$2:$A1009=$A47)))"),"#N/A")</f>
        <v>#N/A</v>
      </c>
      <c r="E47" s="11" t="str">
        <f>IFERROR(__xludf.DUMMYFUNCTION("STDEV(FILTER('__flatlist__'!E$2:E1009,('__flatlist__'!$A$2:$A1009=$A47)))"),"#N/A")</f>
        <v>#N/A</v>
      </c>
      <c r="F47" s="11" t="str">
        <f>IFERROR(__xludf.DUMMYFUNCTION("STDEV(FILTER('__flatlist__'!F$2:F1009,('__flatlist__'!$A$2:$A1009=$A47)))"),"#N/A")</f>
        <v>#N/A</v>
      </c>
      <c r="G47" s="11" t="str">
        <f>IFERROR(__xludf.DUMMYFUNCTION("STDEV(FILTER('__flatlist__'!G$2:G1009,('__flatlist__'!$A$2:$A1009=$A47)))"),"#N/A")</f>
        <v>#N/A</v>
      </c>
      <c r="H47" s="11" t="str">
        <f>IFERROR(__xludf.DUMMYFUNCTION("STDEV(FILTER('__flatlist__'!H$2:H1009,('__flatlist__'!$A$2:$A1009=$A47)))"),"#N/A")</f>
        <v>#N/A</v>
      </c>
      <c r="I47" s="44" t="str">
        <f>IFERROR(__xludf.DUMMYFUNCTION("STDEV(FILTER('__flatlist__'!I$2:I1009,('__flatlist__'!$A$2:$A1009=$A47)))"),"#N/A")</f>
        <v>#N/A</v>
      </c>
      <c r="M47" s="4"/>
      <c r="N47" s="11"/>
    </row>
    <row r="48" hidden="1">
      <c r="A48" s="43" t="str">
        <f t="shared" si="6"/>
        <v>#REF!</v>
      </c>
      <c r="B48" s="6"/>
      <c r="D48" s="8" t="str">
        <f>IFERROR(__xludf.DUMMYFUNCTION("STDEV(FILTER('__flatlist__'!D$2:D1009,('__flatlist__'!$A$2:$A1009=$A48)))"),"#N/A")</f>
        <v>#N/A</v>
      </c>
      <c r="E48" s="11" t="str">
        <f>IFERROR(__xludf.DUMMYFUNCTION("STDEV(FILTER('__flatlist__'!E$2:E1009,('__flatlist__'!$A$2:$A1009=$A48)))"),"#N/A")</f>
        <v>#N/A</v>
      </c>
      <c r="F48" s="11" t="str">
        <f>IFERROR(__xludf.DUMMYFUNCTION("STDEV(FILTER('__flatlist__'!F$2:F1009,('__flatlist__'!$A$2:$A1009=$A48)))"),"#N/A")</f>
        <v>#N/A</v>
      </c>
      <c r="G48" s="11" t="str">
        <f>IFERROR(__xludf.DUMMYFUNCTION("STDEV(FILTER('__flatlist__'!G$2:G1009,('__flatlist__'!$A$2:$A1009=$A48)))"),"#N/A")</f>
        <v>#N/A</v>
      </c>
      <c r="H48" s="11" t="str">
        <f>IFERROR(__xludf.DUMMYFUNCTION("STDEV(FILTER('__flatlist__'!H$2:H1009,('__flatlist__'!$A$2:$A1009=$A48)))"),"#N/A")</f>
        <v>#N/A</v>
      </c>
      <c r="I48" s="44" t="str">
        <f>IFERROR(__xludf.DUMMYFUNCTION("STDEV(FILTER('__flatlist__'!I$2:I1009,('__flatlist__'!$A$2:$A1009=$A48)))"),"#N/A")</f>
        <v>#N/A</v>
      </c>
      <c r="M48" s="4"/>
      <c r="N48" s="11"/>
    </row>
    <row r="49" hidden="1">
      <c r="A49" s="43" t="str">
        <f t="shared" si="6"/>
        <v>#REF!</v>
      </c>
      <c r="B49" s="6"/>
      <c r="D49" s="8" t="str">
        <f>IFERROR(__xludf.DUMMYFUNCTION("STDEV(FILTER('__flatlist__'!D$2:D1009,('__flatlist__'!$A$2:$A1009=$A49)))"),"#N/A")</f>
        <v>#N/A</v>
      </c>
      <c r="E49" s="11" t="str">
        <f>IFERROR(__xludf.DUMMYFUNCTION("STDEV(FILTER('__flatlist__'!E$2:E1009,('__flatlist__'!$A$2:$A1009=$A49)))"),"#N/A")</f>
        <v>#N/A</v>
      </c>
      <c r="F49" s="11" t="str">
        <f>IFERROR(__xludf.DUMMYFUNCTION("STDEV(FILTER('__flatlist__'!F$2:F1009,('__flatlist__'!$A$2:$A1009=$A49)))"),"#N/A")</f>
        <v>#N/A</v>
      </c>
      <c r="G49" s="11" t="str">
        <f>IFERROR(__xludf.DUMMYFUNCTION("STDEV(FILTER('__flatlist__'!G$2:G1009,('__flatlist__'!$A$2:$A1009=$A49)))"),"#N/A")</f>
        <v>#N/A</v>
      </c>
      <c r="H49" s="11" t="str">
        <f>IFERROR(__xludf.DUMMYFUNCTION("STDEV(FILTER('__flatlist__'!H$2:H1009,('__flatlist__'!$A$2:$A1009=$A49)))"),"#N/A")</f>
        <v>#N/A</v>
      </c>
      <c r="I49" s="44" t="str">
        <f>IFERROR(__xludf.DUMMYFUNCTION("STDEV(FILTER('__flatlist__'!I$2:I1009,('__flatlist__'!$A$2:$A1009=$A49)))"),"#N/A")</f>
        <v>#N/A</v>
      </c>
      <c r="M49" s="4"/>
      <c r="N49" s="11"/>
    </row>
    <row r="50" hidden="1">
      <c r="A50" s="43" t="str">
        <f t="shared" si="6"/>
        <v>#REF!</v>
      </c>
      <c r="B50" s="6"/>
      <c r="D50" s="8" t="str">
        <f>IFERROR(__xludf.DUMMYFUNCTION("STDEV(FILTER('__flatlist__'!D$2:D1009,('__flatlist__'!$A$2:$A1009=$A50)))"),"#N/A")</f>
        <v>#N/A</v>
      </c>
      <c r="E50" s="11" t="str">
        <f>IFERROR(__xludf.DUMMYFUNCTION("STDEV(FILTER('__flatlist__'!E$2:E1009,('__flatlist__'!$A$2:$A1009=$A50)))"),"#N/A")</f>
        <v>#N/A</v>
      </c>
      <c r="F50" s="11" t="str">
        <f>IFERROR(__xludf.DUMMYFUNCTION("STDEV(FILTER('__flatlist__'!F$2:F1009,('__flatlist__'!$A$2:$A1009=$A50)))"),"#N/A")</f>
        <v>#N/A</v>
      </c>
      <c r="G50" s="11" t="str">
        <f>IFERROR(__xludf.DUMMYFUNCTION("STDEV(FILTER('__flatlist__'!G$2:G1009,('__flatlist__'!$A$2:$A1009=$A50)))"),"#N/A")</f>
        <v>#N/A</v>
      </c>
      <c r="H50" s="11" t="str">
        <f>IFERROR(__xludf.DUMMYFUNCTION("STDEV(FILTER('__flatlist__'!H$2:H1009,('__flatlist__'!$A$2:$A1009=$A50)))"),"#N/A")</f>
        <v>#N/A</v>
      </c>
      <c r="I50" s="44" t="str">
        <f>IFERROR(__xludf.DUMMYFUNCTION("STDEV(FILTER('__flatlist__'!I$2:I1009,('__flatlist__'!$A$2:$A1009=$A50)))"),"#N/A")</f>
        <v>#N/A</v>
      </c>
      <c r="M50" s="4"/>
      <c r="N50" s="11"/>
    </row>
    <row r="51" hidden="1">
      <c r="A51" s="43" t="str">
        <f t="shared" si="6"/>
        <v>#REF!</v>
      </c>
      <c r="B51" s="6"/>
      <c r="D51" s="8" t="str">
        <f>IFERROR(__xludf.DUMMYFUNCTION("STDEV(FILTER('__flatlist__'!D$2:D1009,('__flatlist__'!$A$2:$A1009=$A51)))"),"#N/A")</f>
        <v>#N/A</v>
      </c>
      <c r="E51" s="11" t="str">
        <f>IFERROR(__xludf.DUMMYFUNCTION("STDEV(FILTER('__flatlist__'!E$2:E1009,('__flatlist__'!$A$2:$A1009=$A51)))"),"#N/A")</f>
        <v>#N/A</v>
      </c>
      <c r="F51" s="11" t="str">
        <f>IFERROR(__xludf.DUMMYFUNCTION("STDEV(FILTER('__flatlist__'!F$2:F1009,('__flatlist__'!$A$2:$A1009=$A51)))"),"#N/A")</f>
        <v>#N/A</v>
      </c>
      <c r="G51" s="11" t="str">
        <f>IFERROR(__xludf.DUMMYFUNCTION("STDEV(FILTER('__flatlist__'!G$2:G1009,('__flatlist__'!$A$2:$A1009=$A51)))"),"#N/A")</f>
        <v>#N/A</v>
      </c>
      <c r="H51" s="11" t="str">
        <f>IFERROR(__xludf.DUMMYFUNCTION("STDEV(FILTER('__flatlist__'!H$2:H1009,('__flatlist__'!$A$2:$A1009=$A51)))"),"#N/A")</f>
        <v>#N/A</v>
      </c>
      <c r="I51" s="44" t="str">
        <f>IFERROR(__xludf.DUMMYFUNCTION("STDEV(FILTER('__flatlist__'!I$2:I1009,('__flatlist__'!$A$2:$A1009=$A51)))"),"#N/A")</f>
        <v>#N/A</v>
      </c>
      <c r="M51" s="4"/>
      <c r="N51" s="11"/>
    </row>
    <row r="52" hidden="1">
      <c r="A52" s="43" t="str">
        <f t="shared" si="6"/>
        <v>#REF!</v>
      </c>
      <c r="B52" s="6"/>
      <c r="D52" s="8" t="str">
        <f>IFERROR(__xludf.DUMMYFUNCTION("STDEV(FILTER('__flatlist__'!D$2:D1009,('__flatlist__'!$A$2:$A1009=$A52)))"),"#N/A")</f>
        <v>#N/A</v>
      </c>
      <c r="E52" s="11" t="str">
        <f>IFERROR(__xludf.DUMMYFUNCTION("STDEV(FILTER('__flatlist__'!E$2:E1009,('__flatlist__'!$A$2:$A1009=$A52)))"),"#N/A")</f>
        <v>#N/A</v>
      </c>
      <c r="F52" s="11" t="str">
        <f>IFERROR(__xludf.DUMMYFUNCTION("STDEV(FILTER('__flatlist__'!F$2:F1009,('__flatlist__'!$A$2:$A1009=$A52)))"),"#N/A")</f>
        <v>#N/A</v>
      </c>
      <c r="G52" s="11" t="str">
        <f>IFERROR(__xludf.DUMMYFUNCTION("STDEV(FILTER('__flatlist__'!G$2:G1009,('__flatlist__'!$A$2:$A1009=$A52)))"),"#N/A")</f>
        <v>#N/A</v>
      </c>
      <c r="H52" s="11" t="str">
        <f>IFERROR(__xludf.DUMMYFUNCTION("STDEV(FILTER('__flatlist__'!H$2:H1009,('__flatlist__'!$A$2:$A1009=$A52)))"),"#N/A")</f>
        <v>#N/A</v>
      </c>
      <c r="I52" s="44" t="str">
        <f>IFERROR(__xludf.DUMMYFUNCTION("STDEV(FILTER('__flatlist__'!I$2:I1009,('__flatlist__'!$A$2:$A1009=$A52)))"),"#N/A")</f>
        <v>#N/A</v>
      </c>
      <c r="M52" s="4"/>
      <c r="N52" s="11"/>
    </row>
    <row r="53" hidden="1">
      <c r="A53" s="45" t="str">
        <f t="shared" si="6"/>
        <v>#REF!</v>
      </c>
      <c r="B53" s="20"/>
      <c r="C53" s="21"/>
      <c r="D53" s="22" t="str">
        <f>IFERROR(__xludf.DUMMYFUNCTION("STDEV(FILTER('__flatlist__'!D$2:D1009,('__flatlist__'!$A$2:$A1009=$A53)))"),"#N/A")</f>
        <v>#N/A</v>
      </c>
      <c r="E53" s="36" t="str">
        <f>IFERROR(__xludf.DUMMYFUNCTION("STDEV(FILTER('__flatlist__'!E$2:E1009,('__flatlist__'!$A$2:$A1009=$A53)))"),"#N/A")</f>
        <v>#N/A</v>
      </c>
      <c r="F53" s="36" t="str">
        <f>IFERROR(__xludf.DUMMYFUNCTION("STDEV(FILTER('__flatlist__'!F$2:F1009,('__flatlist__'!$A$2:$A1009=$A53)))"),"#N/A")</f>
        <v>#N/A</v>
      </c>
      <c r="G53" s="36" t="str">
        <f>IFERROR(__xludf.DUMMYFUNCTION("STDEV(FILTER('__flatlist__'!G$2:G1009,('__flatlist__'!$A$2:$A1009=$A53)))"),"#N/A")</f>
        <v>#N/A</v>
      </c>
      <c r="H53" s="36" t="str">
        <f>IFERROR(__xludf.DUMMYFUNCTION("STDEV(FILTER('__flatlist__'!H$2:H1009,('__flatlist__'!$A$2:$A1009=$A53)))"),"#N/A")</f>
        <v>#N/A</v>
      </c>
      <c r="I53" s="46" t="str">
        <f>IFERROR(__xludf.DUMMYFUNCTION("STDEV(FILTER('__flatlist__'!I$2:I1009,('__flatlist__'!$A$2:$A1009=$A53)))"),"#N/A")</f>
        <v>#N/A</v>
      </c>
      <c r="M53" s="4"/>
      <c r="N53" s="11"/>
    </row>
    <row r="54">
      <c r="A54" s="24"/>
      <c r="B54" s="6" t="s">
        <v>20</v>
      </c>
      <c r="D54" s="8">
        <f>IFERROR(__xludf.DUMMYFUNCTION("STDEV(FILTER('__flatlist__'!D$2:D1009,('__flatlist__'!$B$2:$B1009=$B54)))"),0.041700098133323336)</f>
        <v>0.04170009813</v>
      </c>
      <c r="E54" s="11">
        <f>IFERROR(__xludf.DUMMYFUNCTION("STDEV(FILTER('__flatlist__'!E$2:E1009,('__flatlist__'!$B$2:$B1009=$B54)))"),0.6407232755171874)</f>
        <v>0.6407232755</v>
      </c>
      <c r="F54" s="11">
        <f>IFERROR(__xludf.DUMMYFUNCTION("STDEV(FILTER('__flatlist__'!F$2:F1009,('__flatlist__'!$B$2:$B1009=$B54)))"),0.4701623459816272)</f>
        <v>0.470162346</v>
      </c>
      <c r="G54" s="11">
        <f>IFERROR(__xludf.DUMMYFUNCTION("STDEV(FILTER('__flatlist__'!G$2:G1009,('__flatlist__'!$B$2:$B1009=$B54)))"),1.7770466332772767)</f>
        <v>1.777046633</v>
      </c>
      <c r="H54" s="11">
        <f>IFERROR(__xludf.DUMMYFUNCTION("STDEV(FILTER('__flatlist__'!H$2:H1009,('__flatlist__'!$B$2:$B1009=$B54)))"),0.3663475485325234)</f>
        <v>0.3663475485</v>
      </c>
      <c r="I54" s="44">
        <f>IFERROR(__xludf.DUMMYFUNCTION("STDEV(FILTER('__flatlist__'!I$2:I1009,('__flatlist__'!$B$2:$B1009=$B54)))"),0.8255779474818967)</f>
        <v>0.8255779475</v>
      </c>
      <c r="M54" s="4"/>
      <c r="N54" s="11"/>
    </row>
    <row r="55">
      <c r="A55" s="24"/>
      <c r="B55" s="6" t="s">
        <v>24</v>
      </c>
      <c r="D55" s="8">
        <f>IFERROR(__xludf.DUMMYFUNCTION("STDEV(FILTER('__flatlist__'!D$2:D1009,('__flatlist__'!$B$2:$B1009=$B55)))"),0.07240943215240069)</f>
        <v>0.07240943215</v>
      </c>
      <c r="E55" s="11">
        <f>IFERROR(__xludf.DUMMYFUNCTION("STDEV(FILTER('__flatlist__'!E$2:E1009,('__flatlist__'!$B$2:$B1009=$B55)))"),0.7947194142390261)</f>
        <v>0.7947194142</v>
      </c>
      <c r="F55" s="11">
        <f>IFERROR(__xludf.DUMMYFUNCTION("STDEV(FILTER('__flatlist__'!F$2:F1009,('__flatlist__'!$B$2:$B1009=$B55)))"),0.36634754853252327)</f>
        <v>0.3663475485</v>
      </c>
      <c r="G55" s="11">
        <f>IFERROR(__xludf.DUMMYFUNCTION("STDEV(FILTER('__flatlist__'!G$2:G1009,('__flatlist__'!$B$2:$B1009=$B55)))"),0.0)</f>
        <v>0</v>
      </c>
      <c r="H55" s="11">
        <f>IFERROR(__xludf.DUMMYFUNCTION("STDEV(FILTER('__flatlist__'!H$2:H1009,('__flatlist__'!$B$2:$B1009=$B55)))"),0.6069769786668838)</f>
        <v>0.6069769787</v>
      </c>
      <c r="I55" s="44">
        <f>IFERROR(__xludf.DUMMYFUNCTION("STDEV(FILTER('__flatlist__'!I$2:I1009,('__flatlist__'!$B$2:$B1009=$B55)))"),0.7947194142390261)</f>
        <v>0.7947194142</v>
      </c>
      <c r="M55" s="4"/>
      <c r="N55" s="11"/>
    </row>
    <row r="56">
      <c r="A56" s="24"/>
      <c r="B56" s="6" t="s">
        <v>25</v>
      </c>
      <c r="D56" s="8">
        <f>IFERROR(__xludf.DUMMYFUNCTION("STDEV(FILTER('__flatlist__'!D$2:D1009,('__flatlist__'!$B$2:$B1009=$B56)))"),0.06044131335980475)</f>
        <v>0.06044131336</v>
      </c>
      <c r="E56" s="11">
        <f>IFERROR(__xludf.DUMMYFUNCTION("STDEV(FILTER('__flatlist__'!E$2:E1009,('__flatlist__'!$B$2:$B1009=$B56)))"),0.788068925652412)</f>
        <v>0.7880689257</v>
      </c>
      <c r="F56" s="11">
        <f>IFERROR(__xludf.DUMMYFUNCTION("STDEV(FILTER('__flatlist__'!F$2:F1009,('__flatlist__'!$B$2:$B1009=$B56)))"),0.30779350562554625)</f>
        <v>0.3077935056</v>
      </c>
      <c r="G56" s="11">
        <f>IFERROR(__xludf.DUMMYFUNCTION("STDEV(FILTER('__flatlist__'!G$2:G1009,('__flatlist__'!$B$2:$B1009=$B56)))"),0.0)</f>
        <v>0</v>
      </c>
      <c r="H56" s="11">
        <f>IFERROR(__xludf.DUMMYFUNCTION("STDEV(FILTER('__flatlist__'!H$2:H1009,('__flatlist__'!$B$2:$B1009=$B56)))"),0.5104177855340404)</f>
        <v>0.5104177855</v>
      </c>
      <c r="I56" s="44">
        <f>IFERROR(__xludf.DUMMYFUNCTION("STDEV(FILTER('__flatlist__'!I$2:I1009,('__flatlist__'!$B$2:$B1009=$B56)))"),0.7539370349250519)</f>
        <v>0.7539370349</v>
      </c>
      <c r="M56" s="4"/>
      <c r="N56" s="11"/>
    </row>
    <row r="57">
      <c r="A57" s="6"/>
      <c r="B57" s="6" t="s">
        <v>26</v>
      </c>
      <c r="D57" s="8">
        <f>IFERROR(__xludf.DUMMYFUNCTION("STDEV(FILTER('__flatlist__'!D$2:D1009,('__flatlist__'!$B$2:$B1009=$B57)))"),0.05730926867778273)</f>
        <v>0.05730926868</v>
      </c>
      <c r="E57" s="11">
        <f>IFERROR(__xludf.DUMMYFUNCTION("STDEV(FILTER('__flatlist__'!E$2:E1009,('__flatlist__'!$B$2:$B1009=$B57)))"),0.6407232755171876)</f>
        <v>0.6407232755</v>
      </c>
      <c r="F57" s="11">
        <f>IFERROR(__xludf.DUMMYFUNCTION("STDEV(FILTER('__flatlist__'!F$2:F1009,('__flatlist__'!$B$2:$B1009=$B57)))"),0.6569466853317865)</f>
        <v>0.6569466853</v>
      </c>
      <c r="G57" s="11">
        <f>IFERROR(__xludf.DUMMYFUNCTION("STDEV(FILTER('__flatlist__'!G$2:G1009,('__flatlist__'!$B$2:$B1009=$B57)))"),0.3077935056255464)</f>
        <v>0.3077935056</v>
      </c>
      <c r="H57" s="11">
        <f>IFERROR(__xludf.DUMMYFUNCTION("STDEV(FILTER('__flatlist__'!H$2:H1009,('__flatlist__'!$B$2:$B1009=$B57)))"),0.5026246899500346)</f>
        <v>0.50262469</v>
      </c>
      <c r="I57" s="44">
        <f>IFERROR(__xludf.DUMMYFUNCTION("STDEV(FILTER('__flatlist__'!I$2:I1009,('__flatlist__'!$B$2:$B1009=$B57)))"),0.5104177855340405)</f>
        <v>0.5104177855</v>
      </c>
      <c r="M57" s="4"/>
      <c r="N57" s="11"/>
    </row>
    <row r="58">
      <c r="A58" s="24"/>
      <c r="B58" s="6" t="s">
        <v>27</v>
      </c>
      <c r="D58" s="8">
        <f>IFERROR(__xludf.DUMMYFUNCTION("STDEV(FILTER('__flatlist__'!D$2:D1009,('__flatlist__'!$B$2:$B1009=$B58)))"),0.08151652922807276)</f>
        <v>0.08151652923</v>
      </c>
      <c r="E58" s="11">
        <f>IFERROR(__xludf.DUMMYFUNCTION("STDEV(FILTER('__flatlist__'!E$2:E1009,('__flatlist__'!$B$2:$B1009=$B58)))"),0.8506963092234007)</f>
        <v>0.8506963092</v>
      </c>
      <c r="F58" s="11">
        <f>IFERROR(__xludf.DUMMYFUNCTION("STDEV(FILTER('__flatlist__'!F$2:F1009,('__flatlist__'!$B$2:$B1009=$B58)))"),0.7863975156570492)</f>
        <v>0.7863975157</v>
      </c>
      <c r="G58" s="11">
        <f>IFERROR(__xludf.DUMMYFUNCTION("STDEV(FILTER('__flatlist__'!G$2:G1009,('__flatlist__'!$B$2:$B1009=$B58)))"),0.0)</f>
        <v>0</v>
      </c>
      <c r="H58" s="11">
        <f>IFERROR(__xludf.DUMMYFUNCTION("STDEV(FILTER('__flatlist__'!H$2:H1009,('__flatlist__'!$B$2:$B1009=$B58)))"),0.9333020044867296)</f>
        <v>0.9333020045</v>
      </c>
      <c r="I58" s="44">
        <f>IFERROR(__xludf.DUMMYFUNCTION("STDEV(FILTER('__flatlist__'!I$2:I1009,('__flatlist__'!$B$2:$B1009=$B58)))"),0.8255779474818965)</f>
        <v>0.8255779475</v>
      </c>
      <c r="M58" s="4"/>
      <c r="N58" s="11"/>
    </row>
    <row r="59">
      <c r="A59" s="28"/>
      <c r="B59" s="29"/>
      <c r="C59" s="30" t="s">
        <v>21</v>
      </c>
      <c r="D59" s="31">
        <f>IFERROR(__xludf.DUMMYFUNCTION("STDEV(FILTER('__flatlist__'!D$2:D1009,('__flatlist__'!$C$2:$C1009=$C59)))"),0.04692407912681298)</f>
        <v>0.04692407913</v>
      </c>
      <c r="E59" s="32">
        <f>IFERROR(__xludf.DUMMYFUNCTION("STDEV(FILTER('__flatlist__'!E$2:E1009,('__flatlist__'!$C$2:$C1009=$C59)))"),0.6377042156569663)</f>
        <v>0.6377042157</v>
      </c>
      <c r="F59" s="32">
        <f>IFERROR(__xludf.DUMMYFUNCTION("STDEV(FILTER('__flatlist__'!F$2:F1009,('__flatlist__'!$C$2:$C1009=$C59)))"),0.37416573867739433)</f>
        <v>0.3741657387</v>
      </c>
      <c r="G59" s="32">
        <f>IFERROR(__xludf.DUMMYFUNCTION("STDEV(FILTER('__flatlist__'!G$2:G1009,('__flatlist__'!$C$2:$C1009=$C59)))"),0.2)</f>
        <v>0.2</v>
      </c>
      <c r="H59" s="32">
        <f>IFERROR(__xludf.DUMMYFUNCTION("STDEV(FILTER('__flatlist__'!H$2:H1009,('__flatlist__'!$C$2:$C1009=$C59)))"),0.5859465277082319)</f>
        <v>0.5859465277</v>
      </c>
      <c r="I59" s="42">
        <f>IFERROR(__xludf.DUMMYFUNCTION("STDEV(FILTER('__flatlist__'!I$2:I1009,('__flatlist__'!$C$2:$C1009=$C59)))"),0.6454972243679027)</f>
        <v>0.6454972244</v>
      </c>
      <c r="M59" s="4"/>
      <c r="N59" s="11"/>
    </row>
    <row r="60">
      <c r="A60" s="33"/>
      <c r="C60" s="7" t="s">
        <v>22</v>
      </c>
      <c r="D60" s="8">
        <f>IFERROR(__xludf.DUMMYFUNCTION("STDEV(FILTER('__flatlist__'!D$2:D1009,('__flatlist__'!$C$2:$C1009=$C60)))"),0.0599378737394647)</f>
        <v>0.05993787374</v>
      </c>
      <c r="E60" s="11">
        <f>IFERROR(__xludf.DUMMYFUNCTION("STDEV(FILTER('__flatlist__'!E$2:E1009,('__flatlist__'!$C$2:$C1009=$C60)))"),0.8426149773176359)</f>
        <v>0.8426149773</v>
      </c>
      <c r="F60" s="11">
        <f>IFERROR(__xludf.DUMMYFUNCTION("STDEV(FILTER('__flatlist__'!F$2:F1009,('__flatlist__'!$C$2:$C1009=$C60)))"),0.33166247903553997)</f>
        <v>0.331662479</v>
      </c>
      <c r="G60" s="11">
        <f>IFERROR(__xludf.DUMMYFUNCTION("STDEV(FILTER('__flatlist__'!G$2:G1009,('__flatlist__'!$C$2:$C1009=$C60)))"),0.19999999999999996)</f>
        <v>0.2</v>
      </c>
      <c r="H60" s="11">
        <f>IFERROR(__xludf.DUMMYFUNCTION("STDEV(FILTER('__flatlist__'!H$2:H1009,('__flatlist__'!$C$2:$C1009=$C60)))"),0.7257180352359077)</f>
        <v>0.7257180352</v>
      </c>
      <c r="I60" s="44">
        <f>IFERROR(__xludf.DUMMYFUNCTION("STDEV(FILTER('__flatlist__'!I$2:I1009,('__flatlist__'!$C$2:$C1009=$C60)))"),0.7637626158259734)</f>
        <v>0.7637626158</v>
      </c>
      <c r="M60" s="4"/>
      <c r="N60" s="11"/>
    </row>
    <row r="61">
      <c r="A61" s="33"/>
      <c r="C61" s="7" t="s">
        <v>8</v>
      </c>
      <c r="D61" s="8">
        <f>IFERROR(__xludf.DUMMYFUNCTION("STDEV(FILTER('__flatlist__'!D$2:D1009,('__flatlist__'!$C$2:$C1009=$C61)))"),0.075319211162676)</f>
        <v>0.07531921116</v>
      </c>
      <c r="E61" s="11">
        <f>IFERROR(__xludf.DUMMYFUNCTION("STDEV(FILTER('__flatlist__'!E$2:E1009,('__flatlist__'!$C$2:$C1009=$C61)))"),0.20000000000000004)</f>
        <v>0.2</v>
      </c>
      <c r="F61" s="11">
        <f>IFERROR(__xludf.DUMMYFUNCTION("STDEV(FILTER('__flatlist__'!F$2:F1009,('__flatlist__'!$C$2:$C1009=$C61)))"),0.6137317546507323)</f>
        <v>0.6137317547</v>
      </c>
      <c r="G61" s="11">
        <f>IFERROR(__xludf.DUMMYFUNCTION("STDEV(FILTER('__flatlist__'!G$2:G1009,('__flatlist__'!$C$2:$C1009=$C61)))"),0.0)</f>
        <v>0</v>
      </c>
      <c r="H61" s="11">
        <f>IFERROR(__xludf.DUMMYFUNCTION("STDEV(FILTER('__flatlist__'!H$2:H1009,('__flatlist__'!$C$2:$C1009=$C61)))"),0.5715476066494083)</f>
        <v>0.5715476066</v>
      </c>
      <c r="I61" s="44">
        <f>IFERROR(__xludf.DUMMYFUNCTION("STDEV(FILTER('__flatlist__'!I$2:I1009,('__flatlist__'!$C$2:$C1009=$C61)))"),0.8020806277010644)</f>
        <v>0.8020806277</v>
      </c>
      <c r="M61" s="4"/>
      <c r="N61" s="11"/>
    </row>
    <row r="62">
      <c r="A62" s="34"/>
      <c r="B62" s="21"/>
      <c r="C62" s="35" t="s">
        <v>23</v>
      </c>
      <c r="D62" s="22">
        <f>IFERROR(__xludf.DUMMYFUNCTION("STDEV(FILTER('__flatlist__'!D$2:D1009,('__flatlist__'!$C$2:$C1009=$C62)))"),0.05581082778918945)</f>
        <v>0.05581082779</v>
      </c>
      <c r="E62" s="36">
        <f>IFERROR(__xludf.DUMMYFUNCTION("STDEV(FILTER('__flatlist__'!E$2:E1009,('__flatlist__'!$C$2:$C1009=$C62)))"),0.6658328118479394)</f>
        <v>0.6658328118</v>
      </c>
      <c r="F62" s="36">
        <f>IFERROR(__xludf.DUMMYFUNCTION("STDEV(FILTER('__flatlist__'!F$2:F1009,('__flatlist__'!$C$2:$C1009=$C62)))"),0.7483314773547882)</f>
        <v>0.7483314774</v>
      </c>
      <c r="G62" s="36">
        <f>IFERROR(__xludf.DUMMYFUNCTION("STDEV(FILTER('__flatlist__'!G$2:G1009,('__flatlist__'!$C$2:$C1009=$C62)))"),1.632993161855452)</f>
        <v>1.632993162</v>
      </c>
      <c r="H62" s="36">
        <f>IFERROR(__xludf.DUMMYFUNCTION("STDEV(FILTER('__flatlist__'!H$2:H1009,('__flatlist__'!$C$2:$C1009=$C62)))"),0.6531972647421812)</f>
        <v>0.6531972647</v>
      </c>
      <c r="I62" s="46">
        <f>IFERROR(__xludf.DUMMYFUNCTION("STDEV(FILTER('__flatlist__'!I$2:I1009,('__flatlist__'!$C$2:$C1009=$C62)))"),0.7895146188218007)</f>
        <v>0.7895146188</v>
      </c>
      <c r="M62" s="4"/>
      <c r="N62" s="11"/>
    </row>
    <row r="63">
      <c r="M63" s="4"/>
      <c r="N63" s="11"/>
    </row>
    <row r="64">
      <c r="M64" s="4"/>
      <c r="N64" s="11"/>
    </row>
    <row r="65">
      <c r="M65" s="4"/>
      <c r="N65" s="11"/>
    </row>
    <row r="66">
      <c r="M66" s="4"/>
      <c r="N66" s="11"/>
    </row>
    <row r="67">
      <c r="D67" s="47"/>
      <c r="M67" s="4"/>
      <c r="N67" s="11"/>
    </row>
    <row r="68">
      <c r="M68" s="4"/>
      <c r="N68" s="11"/>
    </row>
    <row r="69">
      <c r="M69" s="4"/>
      <c r="N69" s="11"/>
    </row>
    <row r="70">
      <c r="M70" s="4"/>
      <c r="N70" s="11"/>
    </row>
    <row r="71">
      <c r="M71" s="4"/>
      <c r="N71" s="11"/>
    </row>
    <row r="72">
      <c r="M72" s="4"/>
      <c r="N72" s="11"/>
    </row>
    <row r="73">
      <c r="M73" s="4"/>
      <c r="N73" s="11"/>
    </row>
    <row r="74">
      <c r="M74" s="4"/>
      <c r="N74" s="11"/>
    </row>
    <row r="75">
      <c r="M75" s="4"/>
      <c r="N75" s="11"/>
    </row>
    <row r="76">
      <c r="M76" s="4"/>
      <c r="N76" s="11"/>
    </row>
    <row r="77">
      <c r="M77" s="4"/>
      <c r="N77" s="11"/>
    </row>
    <row r="78">
      <c r="M78" s="4"/>
      <c r="N78" s="11"/>
    </row>
    <row r="79">
      <c r="M79" s="4"/>
      <c r="N79" s="11"/>
    </row>
    <row r="80">
      <c r="M80" s="4"/>
      <c r="N80" s="11"/>
    </row>
    <row r="81">
      <c r="M81" s="4"/>
      <c r="N81" s="11"/>
    </row>
    <row r="82">
      <c r="M82" s="4"/>
      <c r="N82" s="11"/>
    </row>
    <row r="83">
      <c r="M83" s="4"/>
      <c r="N83" s="11"/>
    </row>
    <row r="84">
      <c r="M84" s="4"/>
      <c r="N84" s="11"/>
    </row>
    <row r="85">
      <c r="M85" s="4"/>
      <c r="N85" s="11"/>
    </row>
    <row r="86">
      <c r="M86" s="4"/>
      <c r="N86" s="11"/>
    </row>
    <row r="87">
      <c r="M87" s="4"/>
      <c r="N87" s="11"/>
    </row>
    <row r="88">
      <c r="M88" s="4"/>
      <c r="N88" s="11"/>
    </row>
    <row r="89">
      <c r="M89" s="4"/>
      <c r="N89" s="11"/>
    </row>
    <row r="90">
      <c r="M90" s="4"/>
      <c r="N90" s="11"/>
    </row>
    <row r="91">
      <c r="M91" s="4"/>
      <c r="N91" s="11"/>
    </row>
    <row r="92">
      <c r="M92" s="4"/>
      <c r="N92" s="11"/>
    </row>
    <row r="93">
      <c r="M93" s="4"/>
      <c r="N93" s="11"/>
    </row>
    <row r="94">
      <c r="M94" s="4"/>
      <c r="N94" s="11"/>
    </row>
    <row r="95">
      <c r="M95" s="4"/>
      <c r="N95" s="11"/>
    </row>
    <row r="96">
      <c r="M96" s="4"/>
      <c r="N96" s="11"/>
    </row>
    <row r="97">
      <c r="M97" s="4"/>
      <c r="N97" s="11"/>
    </row>
    <row r="98">
      <c r="M98" s="4"/>
      <c r="N98" s="11"/>
    </row>
    <row r="99">
      <c r="M99" s="4"/>
      <c r="N99" s="11"/>
    </row>
    <row r="100">
      <c r="M100" s="4"/>
      <c r="N100" s="11"/>
    </row>
    <row r="101">
      <c r="M101" s="4"/>
      <c r="N101" s="11"/>
    </row>
    <row r="102">
      <c r="M102" s="4"/>
      <c r="N102" s="11"/>
    </row>
    <row r="103">
      <c r="M103" s="4"/>
      <c r="N103" s="11"/>
    </row>
    <row r="104">
      <c r="M104" s="4"/>
      <c r="N104" s="11"/>
    </row>
    <row r="105">
      <c r="M105" s="4"/>
      <c r="N105" s="11"/>
    </row>
    <row r="106">
      <c r="M106" s="4"/>
      <c r="N106" s="11"/>
    </row>
    <row r="107">
      <c r="M107" s="4"/>
      <c r="N107" s="11"/>
    </row>
    <row r="108">
      <c r="M108" s="4"/>
      <c r="N108" s="11"/>
    </row>
    <row r="109">
      <c r="M109" s="4"/>
      <c r="N109" s="11"/>
    </row>
    <row r="110">
      <c r="M110" s="4"/>
      <c r="N110" s="11"/>
    </row>
    <row r="111">
      <c r="M111" s="4"/>
      <c r="N111" s="11"/>
    </row>
    <row r="112">
      <c r="M112" s="4"/>
      <c r="N112" s="11"/>
    </row>
    <row r="113">
      <c r="M113" s="4"/>
      <c r="N113" s="11"/>
    </row>
    <row r="114">
      <c r="M114" s="4"/>
      <c r="N114" s="11"/>
    </row>
    <row r="115">
      <c r="M115" s="4"/>
      <c r="N115" s="11"/>
    </row>
    <row r="116">
      <c r="M116" s="4"/>
      <c r="N116" s="11"/>
    </row>
    <row r="117">
      <c r="M117" s="4"/>
      <c r="N117" s="11"/>
    </row>
    <row r="118">
      <c r="M118" s="4"/>
      <c r="N118" s="11"/>
    </row>
    <row r="119">
      <c r="M119" s="4"/>
      <c r="N119" s="11"/>
    </row>
    <row r="120">
      <c r="M120" s="4"/>
      <c r="N120" s="11"/>
    </row>
    <row r="121">
      <c r="M121" s="4"/>
      <c r="N121" s="11"/>
    </row>
    <row r="122">
      <c r="M122" s="4"/>
      <c r="N122" s="11"/>
    </row>
    <row r="123">
      <c r="M123" s="4"/>
      <c r="N123" s="11"/>
    </row>
    <row r="124">
      <c r="M124" s="4"/>
      <c r="N124" s="11"/>
    </row>
    <row r="125">
      <c r="M125" s="4"/>
      <c r="N125" s="11"/>
    </row>
    <row r="126">
      <c r="M126" s="4"/>
      <c r="N126" s="11"/>
    </row>
    <row r="127">
      <c r="M127" s="4"/>
      <c r="N127" s="11"/>
    </row>
    <row r="128">
      <c r="M128" s="4"/>
      <c r="N128" s="11"/>
    </row>
    <row r="129">
      <c r="M129" s="4"/>
      <c r="N129" s="11"/>
    </row>
    <row r="130">
      <c r="M130" s="4"/>
      <c r="N130" s="11"/>
    </row>
    <row r="131">
      <c r="M131" s="4"/>
      <c r="N131" s="11"/>
    </row>
    <row r="132">
      <c r="M132" s="4"/>
      <c r="N132" s="11"/>
    </row>
    <row r="133">
      <c r="M133" s="4"/>
      <c r="N133" s="11"/>
    </row>
    <row r="134">
      <c r="M134" s="4"/>
      <c r="N134" s="11"/>
    </row>
    <row r="135">
      <c r="M135" s="4"/>
      <c r="N135" s="11"/>
    </row>
    <row r="136">
      <c r="M136" s="4"/>
      <c r="N136" s="11"/>
    </row>
    <row r="137">
      <c r="M137" s="4"/>
      <c r="N137" s="11"/>
    </row>
    <row r="138">
      <c r="M138" s="4"/>
      <c r="N138" s="11"/>
    </row>
    <row r="139">
      <c r="M139" s="4"/>
      <c r="N139" s="11"/>
    </row>
    <row r="140">
      <c r="M140" s="4"/>
      <c r="N140" s="11"/>
    </row>
    <row r="141">
      <c r="M141" s="4"/>
      <c r="N141" s="11"/>
    </row>
    <row r="142">
      <c r="M142" s="4"/>
      <c r="N142" s="11"/>
    </row>
    <row r="143">
      <c r="M143" s="4"/>
      <c r="N143" s="11"/>
    </row>
    <row r="144">
      <c r="M144" s="4"/>
      <c r="N144" s="11"/>
    </row>
    <row r="145">
      <c r="M145" s="4"/>
      <c r="N145" s="11"/>
    </row>
    <row r="146">
      <c r="M146" s="4"/>
      <c r="N146" s="11"/>
    </row>
    <row r="147">
      <c r="M147" s="4"/>
      <c r="N147" s="11"/>
    </row>
    <row r="148">
      <c r="M148" s="4"/>
      <c r="N148" s="11"/>
    </row>
    <row r="149">
      <c r="M149" s="4"/>
      <c r="N149" s="11"/>
    </row>
    <row r="150">
      <c r="M150" s="4"/>
      <c r="N150" s="11"/>
    </row>
    <row r="151">
      <c r="M151" s="4"/>
      <c r="N151" s="11"/>
    </row>
    <row r="152">
      <c r="M152" s="4"/>
      <c r="N152" s="11"/>
    </row>
    <row r="153">
      <c r="M153" s="4"/>
      <c r="N153" s="11"/>
    </row>
    <row r="154">
      <c r="M154" s="4"/>
      <c r="N154" s="11"/>
    </row>
    <row r="155">
      <c r="M155" s="4"/>
      <c r="N155" s="11"/>
    </row>
    <row r="156">
      <c r="M156" s="4"/>
      <c r="N156" s="11"/>
    </row>
    <row r="157">
      <c r="M157" s="4"/>
      <c r="N157" s="11"/>
    </row>
    <row r="158">
      <c r="M158" s="4"/>
      <c r="N158" s="11"/>
    </row>
    <row r="159">
      <c r="M159" s="4"/>
      <c r="N159" s="11"/>
    </row>
    <row r="160">
      <c r="M160" s="4"/>
      <c r="N160" s="11"/>
    </row>
    <row r="161">
      <c r="M161" s="4"/>
      <c r="N161" s="11"/>
    </row>
    <row r="162">
      <c r="M162" s="4"/>
      <c r="N162" s="11"/>
    </row>
    <row r="163">
      <c r="M163" s="4"/>
      <c r="N163" s="11"/>
    </row>
    <row r="164">
      <c r="M164" s="4"/>
      <c r="N164" s="11"/>
    </row>
    <row r="165">
      <c r="M165" s="4"/>
      <c r="N165" s="11"/>
    </row>
    <row r="166">
      <c r="M166" s="4"/>
      <c r="N166" s="11"/>
    </row>
    <row r="167">
      <c r="M167" s="4"/>
      <c r="N167" s="11"/>
    </row>
    <row r="168">
      <c r="M168" s="4"/>
      <c r="N168" s="11"/>
    </row>
    <row r="169">
      <c r="M169" s="4"/>
      <c r="N169" s="11"/>
    </row>
    <row r="170">
      <c r="M170" s="4"/>
      <c r="N170" s="11"/>
    </row>
    <row r="171">
      <c r="M171" s="4"/>
      <c r="N171" s="11"/>
    </row>
    <row r="172">
      <c r="M172" s="4"/>
      <c r="N172" s="11"/>
    </row>
    <row r="173">
      <c r="M173" s="4"/>
      <c r="N173" s="11"/>
    </row>
    <row r="174">
      <c r="M174" s="4"/>
      <c r="N174" s="11"/>
    </row>
    <row r="175">
      <c r="M175" s="4"/>
      <c r="N175" s="11"/>
    </row>
    <row r="176">
      <c r="M176" s="4"/>
      <c r="N176" s="11"/>
    </row>
    <row r="177">
      <c r="M177" s="4"/>
      <c r="N177" s="11"/>
    </row>
    <row r="178">
      <c r="M178" s="4"/>
      <c r="N178" s="11"/>
    </row>
    <row r="179">
      <c r="M179" s="4"/>
      <c r="N179" s="11"/>
    </row>
    <row r="180">
      <c r="M180" s="4"/>
      <c r="N180" s="11"/>
    </row>
    <row r="181">
      <c r="M181" s="4"/>
      <c r="N181" s="11"/>
    </row>
    <row r="182">
      <c r="M182" s="4"/>
      <c r="N182" s="11"/>
    </row>
    <row r="183">
      <c r="M183" s="4"/>
      <c r="N183" s="11"/>
    </row>
    <row r="184">
      <c r="M184" s="4"/>
      <c r="N184" s="11"/>
    </row>
    <row r="185">
      <c r="M185" s="4"/>
      <c r="N185" s="11"/>
    </row>
    <row r="186">
      <c r="M186" s="4"/>
      <c r="N186" s="11"/>
    </row>
    <row r="187">
      <c r="M187" s="4"/>
      <c r="N187" s="11"/>
    </row>
    <row r="188">
      <c r="M188" s="4"/>
      <c r="N188" s="11"/>
    </row>
    <row r="189">
      <c r="M189" s="4"/>
      <c r="N189" s="11"/>
    </row>
    <row r="190">
      <c r="M190" s="4"/>
      <c r="N190" s="11"/>
    </row>
    <row r="191">
      <c r="M191" s="4"/>
      <c r="N191" s="11"/>
    </row>
    <row r="192">
      <c r="M192" s="4"/>
      <c r="N192" s="11"/>
    </row>
    <row r="193">
      <c r="M193" s="4"/>
      <c r="N193" s="11"/>
    </row>
    <row r="194">
      <c r="M194" s="4"/>
      <c r="N194" s="11"/>
    </row>
    <row r="195">
      <c r="M195" s="4"/>
      <c r="N195" s="11"/>
    </row>
    <row r="196">
      <c r="M196" s="4"/>
      <c r="N196" s="11"/>
    </row>
    <row r="197">
      <c r="M197" s="4"/>
      <c r="N197" s="11"/>
    </row>
    <row r="198">
      <c r="M198" s="4"/>
      <c r="N198" s="11"/>
    </row>
    <row r="199">
      <c r="M199" s="4"/>
      <c r="N199" s="11"/>
    </row>
    <row r="200">
      <c r="M200" s="4"/>
      <c r="N200" s="11"/>
    </row>
    <row r="201">
      <c r="M201" s="4"/>
      <c r="N201" s="11"/>
    </row>
    <row r="202">
      <c r="M202" s="4"/>
      <c r="N202" s="11"/>
    </row>
    <row r="203">
      <c r="M203" s="4"/>
      <c r="N203" s="11"/>
    </row>
    <row r="204">
      <c r="M204" s="4"/>
      <c r="N204" s="11"/>
    </row>
    <row r="205">
      <c r="M205" s="4"/>
      <c r="N205" s="11"/>
    </row>
    <row r="206">
      <c r="M206" s="4"/>
      <c r="N206" s="11"/>
    </row>
    <row r="207">
      <c r="M207" s="4"/>
      <c r="N207" s="11"/>
    </row>
    <row r="208">
      <c r="M208" s="4"/>
      <c r="N208" s="11"/>
    </row>
    <row r="209">
      <c r="M209" s="4"/>
      <c r="N209" s="11"/>
    </row>
    <row r="210">
      <c r="M210" s="4"/>
      <c r="N210" s="11"/>
    </row>
    <row r="211">
      <c r="M211" s="4"/>
      <c r="N211" s="11"/>
    </row>
    <row r="212">
      <c r="M212" s="4"/>
      <c r="N212" s="11"/>
    </row>
    <row r="213">
      <c r="M213" s="4"/>
      <c r="N213" s="11"/>
    </row>
    <row r="214">
      <c r="M214" s="4"/>
      <c r="N214" s="11"/>
    </row>
    <row r="215">
      <c r="M215" s="4"/>
      <c r="N215" s="11"/>
    </row>
    <row r="216">
      <c r="M216" s="4"/>
      <c r="N216" s="11"/>
    </row>
    <row r="217">
      <c r="M217" s="4"/>
      <c r="N217" s="11"/>
    </row>
    <row r="218">
      <c r="M218" s="4"/>
      <c r="N218" s="11"/>
    </row>
    <row r="219">
      <c r="M219" s="4"/>
      <c r="N219" s="11"/>
    </row>
    <row r="220">
      <c r="M220" s="4"/>
      <c r="N220" s="11"/>
    </row>
    <row r="221">
      <c r="M221" s="4"/>
      <c r="N221" s="11"/>
    </row>
    <row r="222">
      <c r="M222" s="4"/>
      <c r="N222" s="11"/>
    </row>
    <row r="223">
      <c r="M223" s="4"/>
      <c r="N223" s="11"/>
    </row>
    <row r="224">
      <c r="M224" s="4"/>
      <c r="N224" s="11"/>
    </row>
    <row r="225">
      <c r="M225" s="4"/>
      <c r="N225" s="11"/>
    </row>
    <row r="226">
      <c r="M226" s="4"/>
      <c r="N226" s="11"/>
    </row>
    <row r="227">
      <c r="M227" s="4"/>
      <c r="N227" s="11"/>
    </row>
    <row r="228">
      <c r="M228" s="4"/>
      <c r="N228" s="11"/>
    </row>
    <row r="229">
      <c r="M229" s="4"/>
      <c r="N229" s="11"/>
    </row>
    <row r="230">
      <c r="M230" s="4"/>
      <c r="N230" s="11"/>
    </row>
    <row r="231">
      <c r="M231" s="4"/>
      <c r="N231" s="11"/>
    </row>
    <row r="232">
      <c r="M232" s="4"/>
      <c r="N232" s="11"/>
    </row>
    <row r="233">
      <c r="M233" s="4"/>
      <c r="N233" s="11"/>
    </row>
    <row r="234">
      <c r="M234" s="4"/>
      <c r="N234" s="11"/>
    </row>
    <row r="235">
      <c r="M235" s="4"/>
      <c r="N235" s="11"/>
    </row>
    <row r="236">
      <c r="M236" s="4"/>
      <c r="N236" s="11"/>
    </row>
    <row r="237">
      <c r="M237" s="4"/>
      <c r="N237" s="11"/>
    </row>
    <row r="238">
      <c r="M238" s="4"/>
      <c r="N238" s="11"/>
    </row>
    <row r="239">
      <c r="M239" s="4"/>
      <c r="N239" s="11"/>
    </row>
    <row r="240">
      <c r="M240" s="4"/>
      <c r="N240" s="11"/>
    </row>
    <row r="241">
      <c r="M241" s="4"/>
      <c r="N241" s="11"/>
    </row>
    <row r="242">
      <c r="M242" s="4"/>
      <c r="N242" s="11"/>
    </row>
    <row r="243">
      <c r="M243" s="4"/>
      <c r="N243" s="11"/>
    </row>
    <row r="244">
      <c r="M244" s="4"/>
      <c r="N244" s="11"/>
    </row>
    <row r="245">
      <c r="M245" s="4"/>
      <c r="N245" s="11"/>
    </row>
    <row r="246">
      <c r="M246" s="4"/>
      <c r="N246" s="11"/>
    </row>
    <row r="247">
      <c r="M247" s="4"/>
      <c r="N247" s="11"/>
    </row>
    <row r="248">
      <c r="M248" s="4"/>
      <c r="N248" s="11"/>
    </row>
    <row r="249">
      <c r="M249" s="4"/>
      <c r="N249" s="11"/>
    </row>
    <row r="250">
      <c r="M250" s="4"/>
      <c r="N250" s="11"/>
    </row>
    <row r="251">
      <c r="M251" s="4"/>
      <c r="N251" s="11"/>
    </row>
    <row r="252">
      <c r="M252" s="4"/>
      <c r="N252" s="11"/>
    </row>
    <row r="253">
      <c r="M253" s="4"/>
      <c r="N253" s="11"/>
    </row>
    <row r="254">
      <c r="M254" s="4"/>
      <c r="N254" s="11"/>
    </row>
    <row r="255">
      <c r="M255" s="4"/>
      <c r="N255" s="11"/>
    </row>
    <row r="256">
      <c r="M256" s="4"/>
      <c r="N256" s="11"/>
    </row>
    <row r="257">
      <c r="M257" s="4"/>
      <c r="N257" s="11"/>
    </row>
    <row r="258">
      <c r="M258" s="4"/>
      <c r="N258" s="11"/>
    </row>
    <row r="259">
      <c r="M259" s="4"/>
      <c r="N259" s="11"/>
    </row>
    <row r="260">
      <c r="M260" s="4"/>
      <c r="N260" s="11"/>
    </row>
    <row r="261">
      <c r="M261" s="4"/>
      <c r="N261" s="11"/>
    </row>
    <row r="262">
      <c r="M262" s="4"/>
      <c r="N262" s="11"/>
    </row>
    <row r="263">
      <c r="M263" s="4"/>
      <c r="N263" s="11"/>
    </row>
    <row r="264">
      <c r="M264" s="4"/>
      <c r="N264" s="11"/>
    </row>
    <row r="265">
      <c r="M265" s="4"/>
      <c r="N265" s="11"/>
    </row>
    <row r="266">
      <c r="M266" s="4"/>
      <c r="N266" s="11"/>
    </row>
    <row r="267">
      <c r="M267" s="4"/>
      <c r="N267" s="11"/>
    </row>
    <row r="268">
      <c r="M268" s="4"/>
      <c r="N268" s="11"/>
    </row>
    <row r="269">
      <c r="M269" s="4"/>
      <c r="N269" s="11"/>
    </row>
    <row r="270">
      <c r="M270" s="4"/>
      <c r="N270" s="11"/>
    </row>
    <row r="271">
      <c r="M271" s="4"/>
      <c r="N271" s="11"/>
    </row>
    <row r="272">
      <c r="M272" s="4"/>
      <c r="N272" s="11"/>
    </row>
    <row r="273">
      <c r="M273" s="4"/>
      <c r="N273" s="11"/>
    </row>
    <row r="274">
      <c r="M274" s="4"/>
      <c r="N274" s="11"/>
    </row>
    <row r="275">
      <c r="M275" s="4"/>
      <c r="N275" s="11"/>
    </row>
    <row r="276">
      <c r="M276" s="4"/>
      <c r="N276" s="11"/>
    </row>
    <row r="277">
      <c r="M277" s="4"/>
      <c r="N277" s="11"/>
    </row>
    <row r="278">
      <c r="M278" s="4"/>
      <c r="N278" s="11"/>
    </row>
    <row r="279">
      <c r="M279" s="4"/>
      <c r="N279" s="11"/>
    </row>
    <row r="280">
      <c r="M280" s="4"/>
      <c r="N280" s="11"/>
    </row>
    <row r="281">
      <c r="M281" s="4"/>
      <c r="N281" s="11"/>
    </row>
    <row r="282">
      <c r="M282" s="4"/>
      <c r="N282" s="11"/>
    </row>
    <row r="283">
      <c r="M283" s="4"/>
      <c r="N283" s="11"/>
    </row>
    <row r="284">
      <c r="M284" s="4"/>
      <c r="N284" s="11"/>
    </row>
    <row r="285">
      <c r="M285" s="4"/>
      <c r="N285" s="11"/>
    </row>
    <row r="286">
      <c r="M286" s="4"/>
      <c r="N286" s="11"/>
    </row>
    <row r="287">
      <c r="M287" s="4"/>
      <c r="N287" s="11"/>
    </row>
    <row r="288">
      <c r="M288" s="4"/>
      <c r="N288" s="11"/>
    </row>
    <row r="289">
      <c r="M289" s="4"/>
      <c r="N289" s="11"/>
    </row>
    <row r="290">
      <c r="M290" s="4"/>
      <c r="N290" s="11"/>
    </row>
    <row r="291">
      <c r="M291" s="4"/>
      <c r="N291" s="11"/>
    </row>
    <row r="292">
      <c r="M292" s="4"/>
      <c r="N292" s="11"/>
    </row>
    <row r="293">
      <c r="M293" s="4"/>
      <c r="N293" s="11"/>
    </row>
    <row r="294">
      <c r="M294" s="4"/>
      <c r="N294" s="11"/>
    </row>
    <row r="295">
      <c r="M295" s="4"/>
      <c r="N295" s="11"/>
    </row>
    <row r="296">
      <c r="M296" s="4"/>
      <c r="N296" s="11"/>
    </row>
    <row r="297">
      <c r="M297" s="4"/>
      <c r="N297" s="11"/>
    </row>
    <row r="298">
      <c r="M298" s="4"/>
      <c r="N298" s="11"/>
    </row>
    <row r="299">
      <c r="M299" s="4"/>
      <c r="N299" s="11"/>
    </row>
    <row r="300">
      <c r="M300" s="4"/>
      <c r="N300" s="11"/>
    </row>
    <row r="301">
      <c r="M301" s="4"/>
      <c r="N301" s="11"/>
    </row>
    <row r="302">
      <c r="M302" s="4"/>
      <c r="N302" s="11"/>
    </row>
    <row r="303">
      <c r="M303" s="4"/>
      <c r="N303" s="11"/>
    </row>
    <row r="304">
      <c r="M304" s="4"/>
      <c r="N304" s="11"/>
    </row>
    <row r="305">
      <c r="M305" s="4"/>
      <c r="N305" s="11"/>
    </row>
    <row r="306">
      <c r="M306" s="4"/>
      <c r="N306" s="11"/>
    </row>
    <row r="307">
      <c r="M307" s="4"/>
      <c r="N307" s="11"/>
    </row>
    <row r="308">
      <c r="M308" s="4"/>
      <c r="N308" s="11"/>
    </row>
    <row r="309">
      <c r="M309" s="4"/>
      <c r="N309" s="11"/>
    </row>
    <row r="310">
      <c r="M310" s="4"/>
      <c r="N310" s="11"/>
    </row>
    <row r="311">
      <c r="M311" s="4"/>
      <c r="N311" s="11"/>
    </row>
    <row r="312">
      <c r="M312" s="4"/>
      <c r="N312" s="11"/>
    </row>
    <row r="313">
      <c r="M313" s="4"/>
      <c r="N313" s="11"/>
    </row>
    <row r="314">
      <c r="M314" s="4"/>
      <c r="N314" s="11"/>
    </row>
    <row r="315">
      <c r="M315" s="4"/>
      <c r="N315" s="11"/>
    </row>
    <row r="316">
      <c r="M316" s="4"/>
      <c r="N316" s="11"/>
    </row>
    <row r="317">
      <c r="M317" s="4"/>
      <c r="N317" s="11"/>
    </row>
    <row r="318">
      <c r="M318" s="4"/>
      <c r="N318" s="11"/>
    </row>
    <row r="319">
      <c r="M319" s="4"/>
      <c r="N319" s="11"/>
    </row>
    <row r="320">
      <c r="M320" s="4"/>
      <c r="N320" s="11"/>
    </row>
    <row r="321">
      <c r="M321" s="4"/>
      <c r="N321" s="11"/>
    </row>
    <row r="322">
      <c r="M322" s="4"/>
      <c r="N322" s="11"/>
    </row>
    <row r="323">
      <c r="M323" s="4"/>
      <c r="N323" s="11"/>
    </row>
    <row r="324">
      <c r="M324" s="4"/>
      <c r="N324" s="11"/>
    </row>
    <row r="325">
      <c r="M325" s="4"/>
      <c r="N325" s="11"/>
    </row>
    <row r="326">
      <c r="M326" s="4"/>
      <c r="N326" s="11"/>
    </row>
    <row r="327">
      <c r="M327" s="4"/>
      <c r="N327" s="11"/>
    </row>
    <row r="328">
      <c r="M328" s="4"/>
      <c r="N328" s="11"/>
    </row>
    <row r="329">
      <c r="M329" s="4"/>
      <c r="N329" s="11"/>
    </row>
    <row r="330">
      <c r="M330" s="4"/>
      <c r="N330" s="11"/>
    </row>
    <row r="331">
      <c r="M331" s="4"/>
      <c r="N331" s="11"/>
    </row>
    <row r="332">
      <c r="M332" s="4"/>
      <c r="N332" s="11"/>
    </row>
    <row r="333">
      <c r="M333" s="4"/>
      <c r="N333" s="11"/>
    </row>
    <row r="334">
      <c r="M334" s="4"/>
      <c r="N334" s="11"/>
    </row>
    <row r="335">
      <c r="M335" s="4"/>
      <c r="N335" s="11"/>
    </row>
    <row r="336">
      <c r="M336" s="4"/>
      <c r="N336" s="11"/>
    </row>
    <row r="337">
      <c r="M337" s="4"/>
      <c r="N337" s="11"/>
    </row>
    <row r="338">
      <c r="M338" s="4"/>
      <c r="N338" s="11"/>
    </row>
    <row r="339">
      <c r="M339" s="4"/>
      <c r="N339" s="11"/>
    </row>
    <row r="340">
      <c r="M340" s="4"/>
      <c r="N340" s="11"/>
    </row>
    <row r="341">
      <c r="M341" s="4"/>
      <c r="N341" s="11"/>
    </row>
    <row r="342">
      <c r="M342" s="4"/>
      <c r="N342" s="11"/>
    </row>
    <row r="343">
      <c r="M343" s="4"/>
      <c r="N343" s="11"/>
    </row>
    <row r="344">
      <c r="M344" s="4"/>
      <c r="N344" s="11"/>
    </row>
    <row r="345">
      <c r="M345" s="4"/>
      <c r="N345" s="11"/>
    </row>
    <row r="346">
      <c r="M346" s="4"/>
      <c r="N346" s="11"/>
    </row>
    <row r="347">
      <c r="M347" s="4"/>
      <c r="N347" s="11"/>
    </row>
    <row r="348">
      <c r="M348" s="4"/>
      <c r="N348" s="11"/>
    </row>
    <row r="349">
      <c r="M349" s="4"/>
      <c r="N349" s="11"/>
    </row>
    <row r="350">
      <c r="M350" s="4"/>
      <c r="N350" s="11"/>
    </row>
    <row r="351">
      <c r="M351" s="4"/>
      <c r="N351" s="11"/>
    </row>
    <row r="352">
      <c r="M352" s="4"/>
      <c r="N352" s="11"/>
    </row>
    <row r="353">
      <c r="M353" s="4"/>
      <c r="N353" s="11"/>
    </row>
    <row r="354">
      <c r="M354" s="4"/>
      <c r="N354" s="11"/>
    </row>
    <row r="355">
      <c r="M355" s="4"/>
      <c r="N355" s="11"/>
    </row>
    <row r="356">
      <c r="M356" s="4"/>
      <c r="N356" s="11"/>
    </row>
    <row r="357">
      <c r="M357" s="4"/>
      <c r="N357" s="11"/>
    </row>
    <row r="358">
      <c r="M358" s="4"/>
      <c r="N358" s="11"/>
    </row>
    <row r="359">
      <c r="M359" s="4"/>
      <c r="N359" s="11"/>
    </row>
    <row r="360">
      <c r="M360" s="4"/>
      <c r="N360" s="11"/>
    </row>
    <row r="361">
      <c r="M361" s="4"/>
      <c r="N361" s="11"/>
    </row>
    <row r="362">
      <c r="M362" s="4"/>
      <c r="N362" s="11"/>
    </row>
    <row r="363">
      <c r="M363" s="4"/>
      <c r="N363" s="11"/>
    </row>
    <row r="364">
      <c r="M364" s="4"/>
      <c r="N364" s="11"/>
    </row>
    <row r="365">
      <c r="M365" s="4"/>
      <c r="N365" s="11"/>
    </row>
    <row r="366">
      <c r="M366" s="4"/>
      <c r="N366" s="11"/>
    </row>
    <row r="367">
      <c r="M367" s="4"/>
      <c r="N367" s="11"/>
    </row>
    <row r="368">
      <c r="M368" s="4"/>
      <c r="N368" s="11"/>
    </row>
    <row r="369">
      <c r="M369" s="4"/>
      <c r="N369" s="11"/>
    </row>
    <row r="370">
      <c r="M370" s="4"/>
      <c r="N370" s="11"/>
    </row>
    <row r="371">
      <c r="M371" s="4"/>
      <c r="N371" s="11"/>
    </row>
    <row r="372">
      <c r="M372" s="4"/>
      <c r="N372" s="11"/>
    </row>
    <row r="373">
      <c r="M373" s="4"/>
      <c r="N373" s="11"/>
    </row>
    <row r="374">
      <c r="M374" s="4"/>
      <c r="N374" s="11"/>
    </row>
    <row r="375">
      <c r="M375" s="4"/>
      <c r="N375" s="11"/>
    </row>
    <row r="376">
      <c r="M376" s="4"/>
      <c r="N376" s="11"/>
    </row>
    <row r="377">
      <c r="M377" s="4"/>
      <c r="N377" s="11"/>
    </row>
    <row r="378">
      <c r="M378" s="4"/>
      <c r="N378" s="11"/>
    </row>
    <row r="379">
      <c r="M379" s="4"/>
      <c r="N379" s="11"/>
    </row>
    <row r="380">
      <c r="M380" s="4"/>
      <c r="N380" s="11"/>
    </row>
    <row r="381">
      <c r="M381" s="4"/>
      <c r="N381" s="11"/>
    </row>
    <row r="382">
      <c r="M382" s="4"/>
      <c r="N382" s="11"/>
    </row>
    <row r="383">
      <c r="M383" s="4"/>
      <c r="N383" s="11"/>
    </row>
    <row r="384">
      <c r="M384" s="4"/>
      <c r="N384" s="11"/>
    </row>
    <row r="385">
      <c r="M385" s="4"/>
      <c r="N385" s="11"/>
    </row>
    <row r="386">
      <c r="M386" s="4"/>
      <c r="N386" s="11"/>
    </row>
    <row r="387">
      <c r="M387" s="4"/>
      <c r="N387" s="11"/>
    </row>
    <row r="388">
      <c r="M388" s="4"/>
      <c r="N388" s="11"/>
    </row>
    <row r="389">
      <c r="M389" s="4"/>
      <c r="N389" s="11"/>
    </row>
    <row r="390">
      <c r="M390" s="4"/>
      <c r="N390" s="11"/>
    </row>
    <row r="391">
      <c r="M391" s="4"/>
      <c r="N391" s="11"/>
    </row>
    <row r="392">
      <c r="M392" s="4"/>
      <c r="N392" s="11"/>
    </row>
    <row r="393">
      <c r="M393" s="4"/>
      <c r="N393" s="11"/>
    </row>
    <row r="394">
      <c r="M394" s="4"/>
      <c r="N394" s="11"/>
    </row>
    <row r="395">
      <c r="M395" s="4"/>
      <c r="N395" s="11"/>
    </row>
    <row r="396">
      <c r="M396" s="4"/>
      <c r="N396" s="11"/>
    </row>
    <row r="397">
      <c r="M397" s="4"/>
      <c r="N397" s="11"/>
    </row>
    <row r="398">
      <c r="M398" s="4"/>
      <c r="N398" s="11"/>
    </row>
    <row r="399">
      <c r="M399" s="4"/>
      <c r="N399" s="11"/>
    </row>
    <row r="400">
      <c r="M400" s="4"/>
      <c r="N400" s="11"/>
    </row>
    <row r="401">
      <c r="M401" s="4"/>
      <c r="N401" s="11"/>
    </row>
    <row r="402">
      <c r="M402" s="4"/>
      <c r="N402" s="11"/>
    </row>
    <row r="403">
      <c r="M403" s="4"/>
      <c r="N403" s="11"/>
    </row>
    <row r="404">
      <c r="M404" s="4"/>
      <c r="N404" s="11"/>
    </row>
    <row r="405">
      <c r="M405" s="4"/>
      <c r="N405" s="11"/>
    </row>
    <row r="406">
      <c r="M406" s="4"/>
      <c r="N406" s="11"/>
    </row>
    <row r="407">
      <c r="M407" s="4"/>
      <c r="N407" s="11"/>
    </row>
    <row r="408">
      <c r="M408" s="4"/>
      <c r="N408" s="11"/>
    </row>
    <row r="409">
      <c r="M409" s="4"/>
      <c r="N409" s="11"/>
    </row>
    <row r="410">
      <c r="M410" s="4"/>
      <c r="N410" s="11"/>
    </row>
    <row r="411">
      <c r="M411" s="4"/>
      <c r="N411" s="11"/>
    </row>
    <row r="412">
      <c r="M412" s="4"/>
      <c r="N412" s="11"/>
    </row>
    <row r="413">
      <c r="M413" s="4"/>
      <c r="N413" s="11"/>
    </row>
    <row r="414">
      <c r="M414" s="4"/>
      <c r="N414" s="11"/>
    </row>
    <row r="415">
      <c r="M415" s="4"/>
      <c r="N415" s="11"/>
    </row>
    <row r="416">
      <c r="M416" s="4"/>
      <c r="N416" s="11"/>
    </row>
    <row r="417">
      <c r="M417" s="4"/>
      <c r="N417" s="11"/>
    </row>
    <row r="418">
      <c r="M418" s="4"/>
      <c r="N418" s="11"/>
    </row>
    <row r="419">
      <c r="M419" s="4"/>
      <c r="N419" s="11"/>
    </row>
    <row r="420">
      <c r="M420" s="4"/>
      <c r="N420" s="11"/>
    </row>
    <row r="421">
      <c r="M421" s="4"/>
      <c r="N421" s="11"/>
    </row>
    <row r="422">
      <c r="M422" s="4"/>
      <c r="N422" s="11"/>
    </row>
    <row r="423">
      <c r="M423" s="4"/>
      <c r="N423" s="11"/>
    </row>
    <row r="424">
      <c r="M424" s="4"/>
      <c r="N424" s="11"/>
    </row>
    <row r="425">
      <c r="M425" s="4"/>
      <c r="N425" s="11"/>
    </row>
    <row r="426">
      <c r="M426" s="4"/>
      <c r="N426" s="11"/>
    </row>
    <row r="427">
      <c r="M427" s="4"/>
      <c r="N427" s="11"/>
    </row>
    <row r="428">
      <c r="M428" s="4"/>
      <c r="N428" s="11"/>
    </row>
    <row r="429">
      <c r="M429" s="4"/>
      <c r="N429" s="11"/>
    </row>
    <row r="430">
      <c r="M430" s="4"/>
      <c r="N430" s="11"/>
    </row>
    <row r="431">
      <c r="M431" s="4"/>
      <c r="N431" s="11"/>
    </row>
    <row r="432">
      <c r="M432" s="4"/>
      <c r="N432" s="11"/>
    </row>
    <row r="433">
      <c r="M433" s="4"/>
      <c r="N433" s="11"/>
    </row>
    <row r="434">
      <c r="M434" s="4"/>
      <c r="N434" s="11"/>
    </row>
    <row r="435">
      <c r="M435" s="4"/>
      <c r="N435" s="11"/>
    </row>
    <row r="436">
      <c r="M436" s="4"/>
      <c r="N436" s="11"/>
    </row>
    <row r="437">
      <c r="M437" s="4"/>
      <c r="N437" s="11"/>
    </row>
    <row r="438">
      <c r="M438" s="4"/>
      <c r="N438" s="11"/>
    </row>
    <row r="439">
      <c r="M439" s="4"/>
      <c r="N439" s="11"/>
    </row>
    <row r="440">
      <c r="M440" s="4"/>
      <c r="N440" s="11"/>
    </row>
    <row r="441">
      <c r="M441" s="4"/>
      <c r="N441" s="11"/>
    </row>
    <row r="442">
      <c r="M442" s="4"/>
      <c r="N442" s="11"/>
    </row>
    <row r="443">
      <c r="M443" s="4"/>
      <c r="N443" s="11"/>
    </row>
    <row r="444">
      <c r="M444" s="4"/>
      <c r="N444" s="11"/>
    </row>
    <row r="445">
      <c r="M445" s="4"/>
      <c r="N445" s="11"/>
    </row>
    <row r="446">
      <c r="M446" s="4"/>
      <c r="N446" s="11"/>
    </row>
    <row r="447">
      <c r="M447" s="4"/>
      <c r="N447" s="11"/>
    </row>
    <row r="448">
      <c r="M448" s="4"/>
      <c r="N448" s="11"/>
    </row>
    <row r="449">
      <c r="M449" s="4"/>
      <c r="N449" s="11"/>
    </row>
    <row r="450">
      <c r="M450" s="4"/>
      <c r="N450" s="11"/>
    </row>
    <row r="451">
      <c r="M451" s="4"/>
      <c r="N451" s="11"/>
    </row>
    <row r="452">
      <c r="M452" s="4"/>
      <c r="N452" s="11"/>
    </row>
    <row r="453">
      <c r="M453" s="4"/>
      <c r="N453" s="11"/>
    </row>
    <row r="454">
      <c r="M454" s="4"/>
      <c r="N454" s="11"/>
    </row>
    <row r="455">
      <c r="M455" s="4"/>
      <c r="N455" s="11"/>
    </row>
    <row r="456">
      <c r="M456" s="4"/>
      <c r="N456" s="11"/>
    </row>
    <row r="457">
      <c r="M457" s="4"/>
      <c r="N457" s="11"/>
    </row>
    <row r="458">
      <c r="M458" s="4"/>
      <c r="N458" s="11"/>
    </row>
    <row r="459">
      <c r="M459" s="4"/>
      <c r="N459" s="11"/>
    </row>
    <row r="460">
      <c r="M460" s="4"/>
      <c r="N460" s="11"/>
    </row>
    <row r="461">
      <c r="M461" s="4"/>
      <c r="N461" s="11"/>
    </row>
    <row r="462">
      <c r="M462" s="4"/>
      <c r="N462" s="11"/>
    </row>
    <row r="463">
      <c r="M463" s="4"/>
      <c r="N463" s="11"/>
    </row>
    <row r="464">
      <c r="M464" s="4"/>
      <c r="N464" s="11"/>
    </row>
    <row r="465">
      <c r="M465" s="4"/>
      <c r="N465" s="11"/>
    </row>
    <row r="466">
      <c r="M466" s="4"/>
      <c r="N466" s="11"/>
    </row>
    <row r="467">
      <c r="M467" s="4"/>
      <c r="N467" s="11"/>
    </row>
    <row r="468">
      <c r="M468" s="4"/>
      <c r="N468" s="11"/>
    </row>
    <row r="469">
      <c r="M469" s="4"/>
      <c r="N469" s="11"/>
    </row>
    <row r="470">
      <c r="M470" s="4"/>
      <c r="N470" s="11"/>
    </row>
    <row r="471">
      <c r="M471" s="4"/>
      <c r="N471" s="11"/>
    </row>
    <row r="472">
      <c r="M472" s="4"/>
      <c r="N472" s="11"/>
    </row>
    <row r="473">
      <c r="M473" s="4"/>
      <c r="N473" s="11"/>
    </row>
    <row r="474">
      <c r="M474" s="4"/>
      <c r="N474" s="11"/>
    </row>
    <row r="475">
      <c r="M475" s="4"/>
      <c r="N475" s="11"/>
    </row>
    <row r="476">
      <c r="M476" s="4"/>
      <c r="N476" s="11"/>
    </row>
    <row r="477">
      <c r="M477" s="4"/>
      <c r="N477" s="11"/>
    </row>
    <row r="478">
      <c r="M478" s="4"/>
      <c r="N478" s="11"/>
    </row>
    <row r="479">
      <c r="M479" s="4"/>
      <c r="N479" s="11"/>
    </row>
    <row r="480">
      <c r="M480" s="4"/>
      <c r="N480" s="11"/>
    </row>
    <row r="481">
      <c r="M481" s="4"/>
      <c r="N481" s="11"/>
    </row>
    <row r="482">
      <c r="M482" s="4"/>
      <c r="N482" s="11"/>
    </row>
    <row r="483">
      <c r="M483" s="4"/>
      <c r="N483" s="11"/>
    </row>
    <row r="484">
      <c r="M484" s="4"/>
      <c r="N484" s="11"/>
    </row>
    <row r="485">
      <c r="M485" s="4"/>
      <c r="N485" s="11"/>
    </row>
    <row r="486">
      <c r="M486" s="4"/>
      <c r="N486" s="11"/>
    </row>
    <row r="487">
      <c r="M487" s="4"/>
      <c r="N487" s="11"/>
    </row>
    <row r="488">
      <c r="M488" s="4"/>
      <c r="N488" s="11"/>
    </row>
    <row r="489">
      <c r="M489" s="4"/>
      <c r="N489" s="11"/>
    </row>
    <row r="490">
      <c r="M490" s="4"/>
      <c r="N490" s="11"/>
    </row>
    <row r="491">
      <c r="M491" s="4"/>
      <c r="N491" s="11"/>
    </row>
    <row r="492">
      <c r="M492" s="4"/>
      <c r="N492" s="11"/>
    </row>
    <row r="493">
      <c r="M493" s="4"/>
      <c r="N493" s="11"/>
    </row>
    <row r="494">
      <c r="M494" s="4"/>
      <c r="N494" s="11"/>
    </row>
    <row r="495">
      <c r="M495" s="4"/>
      <c r="N495" s="11"/>
    </row>
    <row r="496">
      <c r="M496" s="4"/>
      <c r="N496" s="11"/>
    </row>
    <row r="497">
      <c r="M497" s="4"/>
      <c r="N497" s="11"/>
    </row>
    <row r="498">
      <c r="M498" s="4"/>
      <c r="N498" s="11"/>
    </row>
    <row r="499">
      <c r="M499" s="4"/>
      <c r="N499" s="11"/>
    </row>
    <row r="500">
      <c r="M500" s="4"/>
      <c r="N500" s="11"/>
    </row>
    <row r="501">
      <c r="M501" s="4"/>
      <c r="N501" s="11"/>
    </row>
    <row r="502">
      <c r="M502" s="4"/>
      <c r="N502" s="11"/>
    </row>
    <row r="503">
      <c r="M503" s="4"/>
      <c r="N503" s="11"/>
    </row>
    <row r="504">
      <c r="M504" s="4"/>
      <c r="N504" s="11"/>
    </row>
    <row r="505">
      <c r="M505" s="4"/>
      <c r="N505" s="11"/>
    </row>
    <row r="506">
      <c r="M506" s="4"/>
      <c r="N506" s="11"/>
    </row>
    <row r="507">
      <c r="M507" s="4"/>
      <c r="N507" s="11"/>
    </row>
    <row r="508">
      <c r="M508" s="4"/>
      <c r="N508" s="11"/>
    </row>
    <row r="509">
      <c r="M509" s="4"/>
      <c r="N509" s="11"/>
    </row>
    <row r="510">
      <c r="M510" s="4"/>
      <c r="N510" s="11"/>
    </row>
    <row r="511">
      <c r="M511" s="4"/>
      <c r="N511" s="11"/>
    </row>
    <row r="512">
      <c r="M512" s="4"/>
      <c r="N512" s="11"/>
    </row>
    <row r="513">
      <c r="M513" s="4"/>
      <c r="N513" s="11"/>
    </row>
    <row r="514">
      <c r="M514" s="4"/>
      <c r="N514" s="11"/>
    </row>
    <row r="515">
      <c r="M515" s="4"/>
      <c r="N515" s="11"/>
    </row>
    <row r="516">
      <c r="M516" s="4"/>
      <c r="N516" s="11"/>
    </row>
    <row r="517">
      <c r="M517" s="4"/>
      <c r="N517" s="11"/>
    </row>
    <row r="518">
      <c r="M518" s="4"/>
      <c r="N518" s="11"/>
    </row>
    <row r="519">
      <c r="M519" s="4"/>
      <c r="N519" s="11"/>
    </row>
    <row r="520">
      <c r="M520" s="4"/>
      <c r="N520" s="11"/>
    </row>
    <row r="521">
      <c r="M521" s="4"/>
      <c r="N521" s="11"/>
    </row>
    <row r="522">
      <c r="M522" s="4"/>
      <c r="N522" s="11"/>
    </row>
    <row r="523">
      <c r="M523" s="4"/>
      <c r="N523" s="11"/>
    </row>
    <row r="524">
      <c r="M524" s="4"/>
      <c r="N524" s="11"/>
    </row>
    <row r="525">
      <c r="M525" s="4"/>
      <c r="N525" s="11"/>
    </row>
    <row r="526">
      <c r="M526" s="4"/>
      <c r="N526" s="11"/>
    </row>
    <row r="527">
      <c r="M527" s="4"/>
      <c r="N527" s="11"/>
    </row>
    <row r="528">
      <c r="M528" s="4"/>
      <c r="N528" s="11"/>
    </row>
    <row r="529">
      <c r="M529" s="4"/>
      <c r="N529" s="11"/>
    </row>
    <row r="530">
      <c r="M530" s="4"/>
      <c r="N530" s="11"/>
    </row>
    <row r="531">
      <c r="M531" s="4"/>
      <c r="N531" s="11"/>
    </row>
    <row r="532">
      <c r="M532" s="4"/>
      <c r="N532" s="11"/>
    </row>
    <row r="533">
      <c r="M533" s="4"/>
      <c r="N533" s="11"/>
    </row>
    <row r="534">
      <c r="M534" s="4"/>
      <c r="N534" s="11"/>
    </row>
    <row r="535">
      <c r="M535" s="4"/>
      <c r="N535" s="11"/>
    </row>
    <row r="536">
      <c r="M536" s="4"/>
      <c r="N536" s="11"/>
    </row>
    <row r="537">
      <c r="M537" s="4"/>
      <c r="N537" s="11"/>
    </row>
    <row r="538">
      <c r="M538" s="4"/>
      <c r="N538" s="11"/>
    </row>
    <row r="539">
      <c r="M539" s="4"/>
      <c r="N539" s="11"/>
    </row>
    <row r="540">
      <c r="M540" s="4"/>
      <c r="N540" s="11"/>
    </row>
    <row r="541">
      <c r="M541" s="4"/>
      <c r="N541" s="11"/>
    </row>
    <row r="542">
      <c r="M542" s="4"/>
      <c r="N542" s="11"/>
    </row>
    <row r="543">
      <c r="M543" s="4"/>
      <c r="N543" s="11"/>
    </row>
    <row r="544">
      <c r="M544" s="4"/>
      <c r="N544" s="11"/>
    </row>
    <row r="545">
      <c r="M545" s="4"/>
      <c r="N545" s="11"/>
    </row>
    <row r="546">
      <c r="M546" s="4"/>
      <c r="N546" s="11"/>
    </row>
    <row r="547">
      <c r="M547" s="4"/>
      <c r="N547" s="11"/>
    </row>
    <row r="548">
      <c r="M548" s="4"/>
      <c r="N548" s="11"/>
    </row>
    <row r="549">
      <c r="M549" s="4"/>
      <c r="N549" s="11"/>
    </row>
    <row r="550">
      <c r="M550" s="4"/>
      <c r="N550" s="11"/>
    </row>
    <row r="551">
      <c r="M551" s="4"/>
      <c r="N551" s="11"/>
    </row>
    <row r="552">
      <c r="M552" s="4"/>
      <c r="N552" s="11"/>
    </row>
    <row r="553">
      <c r="M553" s="4"/>
      <c r="N553" s="11"/>
    </row>
    <row r="554">
      <c r="M554" s="4"/>
      <c r="N554" s="11"/>
    </row>
    <row r="555">
      <c r="M555" s="4"/>
      <c r="N555" s="11"/>
    </row>
    <row r="556">
      <c r="M556" s="4"/>
      <c r="N556" s="11"/>
    </row>
    <row r="557">
      <c r="M557" s="4"/>
      <c r="N557" s="11"/>
    </row>
    <row r="558">
      <c r="M558" s="4"/>
      <c r="N558" s="11"/>
    </row>
    <row r="559">
      <c r="M559" s="4"/>
      <c r="N559" s="11"/>
    </row>
    <row r="560">
      <c r="M560" s="4"/>
      <c r="N560" s="11"/>
    </row>
    <row r="561">
      <c r="M561" s="4"/>
      <c r="N561" s="11"/>
    </row>
    <row r="562">
      <c r="M562" s="4"/>
      <c r="N562" s="11"/>
    </row>
    <row r="563">
      <c r="M563" s="4"/>
      <c r="N563" s="11"/>
    </row>
    <row r="564">
      <c r="M564" s="4"/>
      <c r="N564" s="11"/>
    </row>
    <row r="565">
      <c r="M565" s="4"/>
      <c r="N565" s="11"/>
    </row>
    <row r="566">
      <c r="M566" s="4"/>
      <c r="N566" s="11"/>
    </row>
    <row r="567">
      <c r="M567" s="4"/>
      <c r="N567" s="11"/>
    </row>
    <row r="568">
      <c r="M568" s="4"/>
      <c r="N568" s="11"/>
    </row>
    <row r="569">
      <c r="M569" s="4"/>
      <c r="N569" s="11"/>
    </row>
    <row r="570">
      <c r="M570" s="4"/>
      <c r="N570" s="11"/>
    </row>
    <row r="571">
      <c r="M571" s="4"/>
      <c r="N571" s="11"/>
    </row>
    <row r="572">
      <c r="M572" s="4"/>
      <c r="N572" s="11"/>
    </row>
    <row r="573">
      <c r="M573" s="4"/>
      <c r="N573" s="11"/>
    </row>
    <row r="574">
      <c r="M574" s="4"/>
      <c r="N574" s="11"/>
    </row>
    <row r="575">
      <c r="M575" s="4"/>
      <c r="N575" s="11"/>
    </row>
    <row r="576">
      <c r="M576" s="4"/>
      <c r="N576" s="11"/>
    </row>
    <row r="577">
      <c r="M577" s="4"/>
      <c r="N577" s="11"/>
    </row>
    <row r="578">
      <c r="M578" s="4"/>
      <c r="N578" s="11"/>
    </row>
    <row r="579">
      <c r="M579" s="4"/>
      <c r="N579" s="11"/>
    </row>
    <row r="580">
      <c r="M580" s="4"/>
      <c r="N580" s="11"/>
    </row>
    <row r="581">
      <c r="M581" s="4"/>
      <c r="N581" s="11"/>
    </row>
    <row r="582">
      <c r="M582" s="4"/>
      <c r="N582" s="11"/>
    </row>
    <row r="583">
      <c r="M583" s="4"/>
      <c r="N583" s="11"/>
    </row>
    <row r="584">
      <c r="M584" s="4"/>
      <c r="N584" s="11"/>
    </row>
    <row r="585">
      <c r="M585" s="4"/>
      <c r="N585" s="11"/>
    </row>
    <row r="586">
      <c r="M586" s="4"/>
      <c r="N586" s="11"/>
    </row>
    <row r="587">
      <c r="M587" s="4"/>
      <c r="N587" s="11"/>
    </row>
    <row r="588">
      <c r="M588" s="4"/>
      <c r="N588" s="11"/>
    </row>
    <row r="589">
      <c r="M589" s="4"/>
      <c r="N589" s="11"/>
    </row>
    <row r="590">
      <c r="M590" s="4"/>
      <c r="N590" s="11"/>
    </row>
    <row r="591">
      <c r="M591" s="4"/>
      <c r="N591" s="11"/>
    </row>
    <row r="592">
      <c r="M592" s="4"/>
      <c r="N592" s="11"/>
    </row>
    <row r="593">
      <c r="M593" s="4"/>
      <c r="N593" s="11"/>
    </row>
    <row r="594">
      <c r="M594" s="4"/>
      <c r="N594" s="11"/>
    </row>
    <row r="595">
      <c r="M595" s="4"/>
      <c r="N595" s="11"/>
    </row>
    <row r="596">
      <c r="M596" s="4"/>
      <c r="N596" s="11"/>
    </row>
    <row r="597">
      <c r="M597" s="4"/>
      <c r="N597" s="11"/>
    </row>
    <row r="598">
      <c r="M598" s="4"/>
      <c r="N598" s="11"/>
    </row>
    <row r="599">
      <c r="M599" s="4"/>
      <c r="N599" s="11"/>
    </row>
    <row r="600">
      <c r="M600" s="4"/>
      <c r="N600" s="11"/>
    </row>
    <row r="601">
      <c r="M601" s="4"/>
      <c r="N601" s="11"/>
    </row>
    <row r="602">
      <c r="M602" s="4"/>
      <c r="N602" s="11"/>
    </row>
    <row r="603">
      <c r="M603" s="4"/>
      <c r="N603" s="11"/>
    </row>
    <row r="604">
      <c r="M604" s="4"/>
      <c r="N604" s="11"/>
    </row>
    <row r="605">
      <c r="M605" s="4"/>
      <c r="N605" s="11"/>
    </row>
    <row r="606">
      <c r="M606" s="4"/>
      <c r="N606" s="11"/>
    </row>
    <row r="607">
      <c r="M607" s="4"/>
      <c r="N607" s="11"/>
    </row>
    <row r="608">
      <c r="M608" s="4"/>
      <c r="N608" s="11"/>
    </row>
    <row r="609">
      <c r="M609" s="4"/>
      <c r="N609" s="11"/>
    </row>
    <row r="610">
      <c r="M610" s="4"/>
      <c r="N610" s="11"/>
    </row>
    <row r="611">
      <c r="M611" s="4"/>
      <c r="N611" s="11"/>
    </row>
    <row r="612">
      <c r="M612" s="4"/>
      <c r="N612" s="11"/>
    </row>
    <row r="613">
      <c r="M613" s="4"/>
      <c r="N613" s="11"/>
    </row>
    <row r="614">
      <c r="M614" s="4"/>
      <c r="N614" s="11"/>
    </row>
    <row r="615">
      <c r="M615" s="4"/>
      <c r="N615" s="11"/>
    </row>
    <row r="616">
      <c r="M616" s="4"/>
      <c r="N616" s="11"/>
    </row>
    <row r="617">
      <c r="M617" s="4"/>
      <c r="N617" s="11"/>
    </row>
    <row r="618">
      <c r="M618" s="4"/>
      <c r="N618" s="11"/>
    </row>
    <row r="619">
      <c r="M619" s="4"/>
      <c r="N619" s="11"/>
    </row>
    <row r="620">
      <c r="M620" s="4"/>
      <c r="N620" s="11"/>
    </row>
    <row r="621">
      <c r="M621" s="4"/>
      <c r="N621" s="11"/>
    </row>
    <row r="622">
      <c r="M622" s="4"/>
      <c r="N622" s="11"/>
    </row>
    <row r="623">
      <c r="M623" s="4"/>
      <c r="N623" s="11"/>
    </row>
    <row r="624">
      <c r="M624" s="4"/>
      <c r="N624" s="11"/>
    </row>
    <row r="625">
      <c r="M625" s="4"/>
      <c r="N625" s="11"/>
    </row>
    <row r="626">
      <c r="M626" s="4"/>
      <c r="N626" s="11"/>
    </row>
    <row r="627">
      <c r="M627" s="4"/>
      <c r="N627" s="11"/>
    </row>
    <row r="628">
      <c r="M628" s="4"/>
      <c r="N628" s="11"/>
    </row>
    <row r="629">
      <c r="M629" s="4"/>
      <c r="N629" s="11"/>
    </row>
    <row r="630">
      <c r="M630" s="4"/>
      <c r="N630" s="11"/>
    </row>
    <row r="631">
      <c r="M631" s="4"/>
      <c r="N631" s="11"/>
    </row>
    <row r="632">
      <c r="M632" s="4"/>
      <c r="N632" s="11"/>
    </row>
    <row r="633">
      <c r="M633" s="4"/>
      <c r="N633" s="11"/>
    </row>
    <row r="634">
      <c r="M634" s="4"/>
      <c r="N634" s="11"/>
    </row>
    <row r="635">
      <c r="M635" s="4"/>
      <c r="N635" s="11"/>
    </row>
    <row r="636">
      <c r="M636" s="4"/>
      <c r="N636" s="11"/>
    </row>
    <row r="637">
      <c r="M637" s="4"/>
      <c r="N637" s="11"/>
    </row>
    <row r="638">
      <c r="M638" s="4"/>
      <c r="N638" s="11"/>
    </row>
    <row r="639">
      <c r="M639" s="4"/>
      <c r="N639" s="11"/>
    </row>
    <row r="640">
      <c r="M640" s="4"/>
      <c r="N640" s="11"/>
    </row>
    <row r="641">
      <c r="M641" s="4"/>
      <c r="N641" s="11"/>
    </row>
    <row r="642">
      <c r="M642" s="4"/>
      <c r="N642" s="11"/>
    </row>
    <row r="643">
      <c r="M643" s="4"/>
      <c r="N643" s="11"/>
    </row>
    <row r="644">
      <c r="M644" s="4"/>
      <c r="N644" s="11"/>
    </row>
    <row r="645">
      <c r="M645" s="4"/>
      <c r="N645" s="11"/>
    </row>
    <row r="646">
      <c r="M646" s="4"/>
      <c r="N646" s="11"/>
    </row>
    <row r="647">
      <c r="M647" s="4"/>
      <c r="N647" s="11"/>
    </row>
    <row r="648">
      <c r="M648" s="4"/>
      <c r="N648" s="11"/>
    </row>
    <row r="649">
      <c r="M649" s="4"/>
      <c r="N649" s="11"/>
    </row>
    <row r="650">
      <c r="M650" s="4"/>
      <c r="N650" s="11"/>
    </row>
    <row r="651">
      <c r="M651" s="4"/>
      <c r="N651" s="11"/>
    </row>
    <row r="652">
      <c r="M652" s="4"/>
      <c r="N652" s="11"/>
    </row>
    <row r="653">
      <c r="M653" s="4"/>
      <c r="N653" s="11"/>
    </row>
    <row r="654">
      <c r="M654" s="4"/>
      <c r="N654" s="11"/>
    </row>
    <row r="655">
      <c r="M655" s="4"/>
      <c r="N655" s="11"/>
    </row>
    <row r="656">
      <c r="M656" s="4"/>
      <c r="N656" s="11"/>
    </row>
    <row r="657">
      <c r="M657" s="4"/>
      <c r="N657" s="11"/>
    </row>
    <row r="658">
      <c r="M658" s="4"/>
      <c r="N658" s="11"/>
    </row>
    <row r="659">
      <c r="M659" s="4"/>
      <c r="N659" s="11"/>
    </row>
    <row r="660">
      <c r="M660" s="4"/>
      <c r="N660" s="11"/>
    </row>
    <row r="661">
      <c r="M661" s="4"/>
      <c r="N661" s="11"/>
    </row>
    <row r="662">
      <c r="M662" s="4"/>
      <c r="N662" s="11"/>
    </row>
    <row r="663">
      <c r="M663" s="4"/>
      <c r="N663" s="11"/>
    </row>
    <row r="664">
      <c r="M664" s="4"/>
      <c r="N664" s="11"/>
    </row>
    <row r="665">
      <c r="M665" s="4"/>
      <c r="N665" s="11"/>
    </row>
    <row r="666">
      <c r="M666" s="4"/>
      <c r="N666" s="11"/>
    </row>
    <row r="667">
      <c r="M667" s="4"/>
      <c r="N667" s="11"/>
    </row>
    <row r="668">
      <c r="M668" s="4"/>
      <c r="N668" s="11"/>
    </row>
    <row r="669">
      <c r="M669" s="4"/>
      <c r="N669" s="11"/>
    </row>
    <row r="670">
      <c r="M670" s="4"/>
      <c r="N670" s="11"/>
    </row>
    <row r="671">
      <c r="M671" s="4"/>
      <c r="N671" s="11"/>
    </row>
    <row r="672">
      <c r="M672" s="4"/>
      <c r="N672" s="11"/>
    </row>
    <row r="673">
      <c r="M673" s="4"/>
      <c r="N673" s="11"/>
    </row>
    <row r="674">
      <c r="M674" s="4"/>
      <c r="N674" s="11"/>
    </row>
    <row r="675">
      <c r="M675" s="4"/>
      <c r="N675" s="11"/>
    </row>
    <row r="676">
      <c r="M676" s="4"/>
      <c r="N676" s="11"/>
    </row>
    <row r="677">
      <c r="M677" s="4"/>
      <c r="N677" s="11"/>
    </row>
    <row r="678">
      <c r="M678" s="4"/>
      <c r="N678" s="11"/>
    </row>
    <row r="679">
      <c r="M679" s="4"/>
      <c r="N679" s="11"/>
    </row>
    <row r="680">
      <c r="M680" s="4"/>
      <c r="N680" s="11"/>
    </row>
    <row r="681">
      <c r="M681" s="4"/>
      <c r="N681" s="11"/>
    </row>
    <row r="682">
      <c r="M682" s="4"/>
      <c r="N682" s="11"/>
    </row>
    <row r="683">
      <c r="M683" s="4"/>
      <c r="N683" s="11"/>
    </row>
    <row r="684">
      <c r="M684" s="4"/>
      <c r="N684" s="11"/>
    </row>
    <row r="685">
      <c r="M685" s="4"/>
      <c r="N685" s="11"/>
    </row>
    <row r="686">
      <c r="M686" s="4"/>
      <c r="N686" s="11"/>
    </row>
    <row r="687">
      <c r="M687" s="4"/>
      <c r="N687" s="11"/>
    </row>
    <row r="688">
      <c r="M688" s="4"/>
      <c r="N688" s="11"/>
    </row>
    <row r="689">
      <c r="M689" s="4"/>
      <c r="N689" s="11"/>
    </row>
    <row r="690">
      <c r="M690" s="4"/>
      <c r="N690" s="11"/>
    </row>
    <row r="691">
      <c r="M691" s="4"/>
      <c r="N691" s="11"/>
    </row>
    <row r="692">
      <c r="M692" s="4"/>
      <c r="N692" s="11"/>
    </row>
    <row r="693">
      <c r="M693" s="4"/>
      <c r="N693" s="11"/>
    </row>
    <row r="694">
      <c r="M694" s="4"/>
      <c r="N694" s="11"/>
    </row>
    <row r="695">
      <c r="M695" s="4"/>
      <c r="N695" s="11"/>
    </row>
    <row r="696">
      <c r="M696" s="4"/>
      <c r="N696" s="11"/>
    </row>
    <row r="697">
      <c r="M697" s="4"/>
      <c r="N697" s="11"/>
    </row>
    <row r="698">
      <c r="M698" s="4"/>
      <c r="N698" s="11"/>
    </row>
    <row r="699">
      <c r="M699" s="4"/>
      <c r="N699" s="11"/>
    </row>
    <row r="700">
      <c r="M700" s="4"/>
      <c r="N700" s="11"/>
    </row>
    <row r="701">
      <c r="M701" s="4"/>
      <c r="N701" s="11"/>
    </row>
    <row r="702">
      <c r="M702" s="4"/>
      <c r="N702" s="11"/>
    </row>
    <row r="703">
      <c r="M703" s="4"/>
      <c r="N703" s="11"/>
    </row>
    <row r="704">
      <c r="M704" s="4"/>
      <c r="N704" s="11"/>
    </row>
    <row r="705">
      <c r="M705" s="4"/>
      <c r="N705" s="11"/>
    </row>
    <row r="706">
      <c r="M706" s="4"/>
      <c r="N706" s="11"/>
    </row>
    <row r="707">
      <c r="M707" s="4"/>
      <c r="N707" s="11"/>
    </row>
    <row r="708">
      <c r="M708" s="4"/>
      <c r="N708" s="11"/>
    </row>
    <row r="709">
      <c r="M709" s="4"/>
      <c r="N709" s="11"/>
    </row>
    <row r="710">
      <c r="M710" s="4"/>
      <c r="N710" s="11"/>
    </row>
    <row r="711">
      <c r="M711" s="4"/>
      <c r="N711" s="11"/>
    </row>
    <row r="712">
      <c r="M712" s="4"/>
      <c r="N712" s="11"/>
    </row>
    <row r="713">
      <c r="M713" s="4"/>
      <c r="N713" s="11"/>
    </row>
    <row r="714">
      <c r="M714" s="4"/>
      <c r="N714" s="11"/>
    </row>
    <row r="715">
      <c r="M715" s="4"/>
      <c r="N715" s="11"/>
    </row>
    <row r="716">
      <c r="M716" s="4"/>
      <c r="N716" s="11"/>
    </row>
    <row r="717">
      <c r="M717" s="4"/>
      <c r="N717" s="11"/>
    </row>
    <row r="718">
      <c r="M718" s="4"/>
      <c r="N718" s="11"/>
    </row>
    <row r="719">
      <c r="M719" s="4"/>
      <c r="N719" s="11"/>
    </row>
    <row r="720">
      <c r="M720" s="4"/>
      <c r="N720" s="11"/>
    </row>
    <row r="721">
      <c r="M721" s="4"/>
      <c r="N721" s="11"/>
    </row>
    <row r="722">
      <c r="M722" s="4"/>
      <c r="N722" s="11"/>
    </row>
    <row r="723">
      <c r="M723" s="4"/>
      <c r="N723" s="11"/>
    </row>
    <row r="724">
      <c r="M724" s="4"/>
      <c r="N724" s="11"/>
    </row>
    <row r="725">
      <c r="M725" s="4"/>
      <c r="N725" s="11"/>
    </row>
    <row r="726">
      <c r="M726" s="4"/>
      <c r="N726" s="11"/>
    </row>
    <row r="727">
      <c r="M727" s="4"/>
      <c r="N727" s="11"/>
    </row>
    <row r="728">
      <c r="M728" s="4"/>
      <c r="N728" s="11"/>
    </row>
    <row r="729">
      <c r="M729" s="4"/>
      <c r="N729" s="11"/>
    </row>
    <row r="730">
      <c r="M730" s="4"/>
      <c r="N730" s="11"/>
    </row>
    <row r="731">
      <c r="M731" s="4"/>
      <c r="N731" s="11"/>
    </row>
    <row r="732">
      <c r="M732" s="4"/>
      <c r="N732" s="11"/>
    </row>
    <row r="733">
      <c r="M733" s="4"/>
      <c r="N733" s="11"/>
    </row>
    <row r="734">
      <c r="M734" s="4"/>
      <c r="N734" s="11"/>
    </row>
    <row r="735">
      <c r="M735" s="4"/>
      <c r="N735" s="11"/>
    </row>
    <row r="736">
      <c r="M736" s="4"/>
      <c r="N736" s="11"/>
    </row>
    <row r="737">
      <c r="M737" s="4"/>
      <c r="N737" s="11"/>
    </row>
    <row r="738">
      <c r="M738" s="4"/>
      <c r="N738" s="11"/>
    </row>
    <row r="739">
      <c r="M739" s="4"/>
      <c r="N739" s="11"/>
    </row>
    <row r="740">
      <c r="M740" s="4"/>
      <c r="N740" s="11"/>
    </row>
    <row r="741">
      <c r="M741" s="4"/>
      <c r="N741" s="11"/>
    </row>
    <row r="742">
      <c r="M742" s="4"/>
      <c r="N742" s="11"/>
    </row>
    <row r="743">
      <c r="M743" s="4"/>
      <c r="N743" s="11"/>
    </row>
    <row r="744">
      <c r="M744" s="4"/>
      <c r="N744" s="11"/>
    </row>
    <row r="745">
      <c r="M745" s="4"/>
      <c r="N745" s="11"/>
    </row>
    <row r="746">
      <c r="M746" s="4"/>
      <c r="N746" s="11"/>
    </row>
    <row r="747">
      <c r="M747" s="4"/>
      <c r="N747" s="11"/>
    </row>
    <row r="748">
      <c r="M748" s="4"/>
      <c r="N748" s="11"/>
    </row>
    <row r="749">
      <c r="M749" s="4"/>
      <c r="N749" s="11"/>
    </row>
    <row r="750">
      <c r="M750" s="4"/>
      <c r="N750" s="11"/>
    </row>
    <row r="751">
      <c r="M751" s="4"/>
      <c r="N751" s="11"/>
    </row>
    <row r="752">
      <c r="M752" s="4"/>
      <c r="N752" s="11"/>
    </row>
    <row r="753">
      <c r="M753" s="4"/>
      <c r="N753" s="11"/>
    </row>
    <row r="754">
      <c r="M754" s="4"/>
      <c r="N754" s="11"/>
    </row>
    <row r="755">
      <c r="M755" s="4"/>
      <c r="N755" s="11"/>
    </row>
    <row r="756">
      <c r="M756" s="4"/>
      <c r="N756" s="11"/>
    </row>
    <row r="757">
      <c r="M757" s="4"/>
      <c r="N757" s="11"/>
    </row>
    <row r="758">
      <c r="M758" s="4"/>
      <c r="N758" s="11"/>
    </row>
    <row r="759">
      <c r="M759" s="4"/>
      <c r="N759" s="11"/>
    </row>
    <row r="760">
      <c r="M760" s="4"/>
      <c r="N760" s="11"/>
    </row>
    <row r="761">
      <c r="M761" s="4"/>
      <c r="N761" s="11"/>
    </row>
    <row r="762">
      <c r="M762" s="4"/>
      <c r="N762" s="11"/>
    </row>
    <row r="763">
      <c r="M763" s="4"/>
      <c r="N763" s="11"/>
    </row>
    <row r="764">
      <c r="M764" s="4"/>
      <c r="N764" s="11"/>
    </row>
    <row r="765">
      <c r="M765" s="4"/>
      <c r="N765" s="11"/>
    </row>
    <row r="766">
      <c r="M766" s="4"/>
      <c r="N766" s="11"/>
    </row>
    <row r="767">
      <c r="M767" s="4"/>
      <c r="N767" s="11"/>
    </row>
    <row r="768">
      <c r="M768" s="4"/>
      <c r="N768" s="11"/>
    </row>
    <row r="769">
      <c r="M769" s="4"/>
      <c r="N769" s="11"/>
    </row>
    <row r="770">
      <c r="M770" s="4"/>
      <c r="N770" s="11"/>
    </row>
    <row r="771">
      <c r="M771" s="4"/>
      <c r="N771" s="11"/>
    </row>
    <row r="772">
      <c r="M772" s="4"/>
      <c r="N772" s="11"/>
    </row>
    <row r="773">
      <c r="M773" s="4"/>
      <c r="N773" s="11"/>
    </row>
    <row r="774">
      <c r="M774" s="4"/>
      <c r="N774" s="11"/>
    </row>
    <row r="775">
      <c r="M775" s="4"/>
      <c r="N775" s="11"/>
    </row>
    <row r="776">
      <c r="M776" s="4"/>
      <c r="N776" s="11"/>
    </row>
    <row r="777">
      <c r="M777" s="4"/>
      <c r="N777" s="11"/>
    </row>
    <row r="778">
      <c r="M778" s="4"/>
      <c r="N778" s="11"/>
    </row>
    <row r="779">
      <c r="M779" s="4"/>
      <c r="N779" s="11"/>
    </row>
    <row r="780">
      <c r="M780" s="4"/>
      <c r="N780" s="11"/>
    </row>
    <row r="781">
      <c r="M781" s="4"/>
      <c r="N781" s="11"/>
    </row>
    <row r="782">
      <c r="M782" s="4"/>
      <c r="N782" s="11"/>
    </row>
    <row r="783">
      <c r="M783" s="4"/>
      <c r="N783" s="11"/>
    </row>
    <row r="784">
      <c r="M784" s="4"/>
      <c r="N784" s="11"/>
    </row>
    <row r="785">
      <c r="M785" s="4"/>
      <c r="N785" s="11"/>
    </row>
    <row r="786">
      <c r="M786" s="4"/>
      <c r="N786" s="11"/>
    </row>
    <row r="787">
      <c r="M787" s="4"/>
      <c r="N787" s="11"/>
    </row>
    <row r="788">
      <c r="M788" s="4"/>
      <c r="N788" s="11"/>
    </row>
    <row r="789">
      <c r="M789" s="4"/>
      <c r="N789" s="11"/>
    </row>
    <row r="790">
      <c r="M790" s="4"/>
      <c r="N790" s="11"/>
    </row>
    <row r="791">
      <c r="M791" s="4"/>
      <c r="N791" s="11"/>
    </row>
    <row r="792">
      <c r="M792" s="4"/>
      <c r="N792" s="11"/>
    </row>
    <row r="793">
      <c r="M793" s="4"/>
      <c r="N793" s="11"/>
    </row>
    <row r="794">
      <c r="M794" s="4"/>
      <c r="N794" s="11"/>
    </row>
    <row r="795">
      <c r="M795" s="4"/>
      <c r="N795" s="11"/>
    </row>
    <row r="796">
      <c r="M796" s="4"/>
      <c r="N796" s="11"/>
    </row>
    <row r="797">
      <c r="M797" s="4"/>
      <c r="N797" s="11"/>
    </row>
    <row r="798">
      <c r="M798" s="4"/>
      <c r="N798" s="11"/>
    </row>
    <row r="799">
      <c r="M799" s="4"/>
      <c r="N799" s="11"/>
    </row>
    <row r="800">
      <c r="M800" s="4"/>
      <c r="N800" s="11"/>
    </row>
    <row r="801">
      <c r="M801" s="4"/>
      <c r="N801" s="11"/>
    </row>
    <row r="802">
      <c r="M802" s="4"/>
      <c r="N802" s="11"/>
    </row>
    <row r="803">
      <c r="M803" s="4"/>
      <c r="N803" s="11"/>
    </row>
    <row r="804">
      <c r="M804" s="4"/>
      <c r="N804" s="11"/>
    </row>
    <row r="805">
      <c r="M805" s="4"/>
      <c r="N805" s="11"/>
    </row>
    <row r="806">
      <c r="M806" s="4"/>
      <c r="N806" s="11"/>
    </row>
    <row r="807">
      <c r="M807" s="4"/>
      <c r="N807" s="11"/>
    </row>
    <row r="808">
      <c r="M808" s="4"/>
      <c r="N808" s="11"/>
    </row>
    <row r="809">
      <c r="M809" s="4"/>
      <c r="N809" s="11"/>
    </row>
    <row r="810">
      <c r="M810" s="4"/>
      <c r="N810" s="11"/>
    </row>
    <row r="811">
      <c r="M811" s="4"/>
      <c r="N811" s="11"/>
    </row>
    <row r="812">
      <c r="M812" s="4"/>
      <c r="N812" s="11"/>
    </row>
    <row r="813">
      <c r="M813" s="4"/>
      <c r="N813" s="11"/>
    </row>
    <row r="814">
      <c r="M814" s="4"/>
      <c r="N814" s="11"/>
    </row>
    <row r="815">
      <c r="M815" s="4"/>
      <c r="N815" s="11"/>
    </row>
    <row r="816">
      <c r="M816" s="4"/>
      <c r="N816" s="11"/>
    </row>
    <row r="817">
      <c r="M817" s="4"/>
      <c r="N817" s="11"/>
    </row>
    <row r="818">
      <c r="M818" s="4"/>
      <c r="N818" s="11"/>
    </row>
    <row r="819">
      <c r="M819" s="4"/>
      <c r="N819" s="11"/>
    </row>
    <row r="820">
      <c r="M820" s="4"/>
      <c r="N820" s="11"/>
    </row>
    <row r="821">
      <c r="M821" s="4"/>
      <c r="N821" s="11"/>
    </row>
    <row r="822">
      <c r="M822" s="4"/>
      <c r="N822" s="11"/>
    </row>
    <row r="823">
      <c r="M823" s="4"/>
      <c r="N823" s="11"/>
    </row>
    <row r="824">
      <c r="M824" s="4"/>
      <c r="N824" s="11"/>
    </row>
    <row r="825">
      <c r="M825" s="4"/>
      <c r="N825" s="11"/>
    </row>
    <row r="826">
      <c r="M826" s="4"/>
      <c r="N826" s="11"/>
    </row>
    <row r="827">
      <c r="M827" s="4"/>
      <c r="N827" s="11"/>
    </row>
    <row r="828">
      <c r="M828" s="4"/>
      <c r="N828" s="11"/>
    </row>
    <row r="829">
      <c r="M829" s="4"/>
      <c r="N829" s="11"/>
    </row>
    <row r="830">
      <c r="M830" s="4"/>
      <c r="N830" s="11"/>
    </row>
    <row r="831">
      <c r="M831" s="4"/>
      <c r="N831" s="11"/>
    </row>
    <row r="832">
      <c r="M832" s="4"/>
      <c r="N832" s="11"/>
    </row>
    <row r="833">
      <c r="M833" s="4"/>
      <c r="N833" s="11"/>
    </row>
    <row r="834">
      <c r="M834" s="4"/>
      <c r="N834" s="11"/>
    </row>
    <row r="835">
      <c r="M835" s="4"/>
      <c r="N835" s="11"/>
    </row>
    <row r="836">
      <c r="M836" s="4"/>
      <c r="N836" s="11"/>
    </row>
    <row r="837">
      <c r="M837" s="4"/>
      <c r="N837" s="11"/>
    </row>
    <row r="838">
      <c r="M838" s="4"/>
      <c r="N838" s="11"/>
    </row>
    <row r="839">
      <c r="M839" s="4"/>
      <c r="N839" s="11"/>
    </row>
    <row r="840">
      <c r="M840" s="4"/>
      <c r="N840" s="11"/>
    </row>
    <row r="841">
      <c r="M841" s="4"/>
      <c r="N841" s="11"/>
    </row>
    <row r="842">
      <c r="M842" s="4"/>
      <c r="N842" s="11"/>
    </row>
    <row r="843">
      <c r="M843" s="4"/>
      <c r="N843" s="11"/>
    </row>
    <row r="844">
      <c r="M844" s="4"/>
      <c r="N844" s="11"/>
    </row>
    <row r="845">
      <c r="M845" s="4"/>
      <c r="N845" s="11"/>
    </row>
    <row r="846">
      <c r="M846" s="4"/>
      <c r="N846" s="11"/>
    </row>
    <row r="847">
      <c r="M847" s="4"/>
      <c r="N847" s="11"/>
    </row>
    <row r="848">
      <c r="M848" s="4"/>
      <c r="N848" s="11"/>
    </row>
    <row r="849">
      <c r="M849" s="4"/>
      <c r="N849" s="11"/>
    </row>
    <row r="850">
      <c r="M850" s="4"/>
      <c r="N850" s="11"/>
    </row>
    <row r="851">
      <c r="M851" s="4"/>
      <c r="N851" s="11"/>
    </row>
    <row r="852">
      <c r="M852" s="4"/>
      <c r="N852" s="11"/>
    </row>
    <row r="853">
      <c r="M853" s="4"/>
      <c r="N853" s="11"/>
    </row>
    <row r="854">
      <c r="M854" s="4"/>
      <c r="N854" s="11"/>
    </row>
    <row r="855">
      <c r="M855" s="4"/>
      <c r="N855" s="11"/>
    </row>
    <row r="856">
      <c r="M856" s="4"/>
      <c r="N856" s="11"/>
    </row>
    <row r="857">
      <c r="M857" s="4"/>
      <c r="N857" s="11"/>
    </row>
    <row r="858">
      <c r="M858" s="4"/>
      <c r="N858" s="11"/>
    </row>
    <row r="859">
      <c r="M859" s="4"/>
      <c r="N859" s="11"/>
    </row>
    <row r="860">
      <c r="M860" s="4"/>
      <c r="N860" s="11"/>
    </row>
    <row r="861">
      <c r="M861" s="4"/>
      <c r="N861" s="11"/>
    </row>
    <row r="862">
      <c r="M862" s="4"/>
      <c r="N862" s="11"/>
    </row>
    <row r="863">
      <c r="M863" s="4"/>
      <c r="N863" s="11"/>
    </row>
    <row r="864">
      <c r="M864" s="4"/>
      <c r="N864" s="11"/>
    </row>
    <row r="865">
      <c r="M865" s="4"/>
      <c r="N865" s="11"/>
    </row>
    <row r="866">
      <c r="M866" s="4"/>
      <c r="N866" s="11"/>
    </row>
    <row r="867">
      <c r="M867" s="4"/>
      <c r="N867" s="11"/>
    </row>
    <row r="868">
      <c r="M868" s="4"/>
      <c r="N868" s="11"/>
    </row>
    <row r="869">
      <c r="M869" s="4"/>
      <c r="N869" s="11"/>
    </row>
    <row r="870">
      <c r="M870" s="4"/>
      <c r="N870" s="11"/>
    </row>
    <row r="871">
      <c r="M871" s="4"/>
      <c r="N871" s="11"/>
    </row>
    <row r="872">
      <c r="M872" s="4"/>
      <c r="N872" s="11"/>
    </row>
    <row r="873">
      <c r="M873" s="4"/>
      <c r="N873" s="11"/>
    </row>
    <row r="874">
      <c r="M874" s="4"/>
      <c r="N874" s="11"/>
    </row>
    <row r="875">
      <c r="M875" s="4"/>
      <c r="N875" s="11"/>
    </row>
    <row r="876">
      <c r="M876" s="4"/>
      <c r="N876" s="11"/>
    </row>
    <row r="877">
      <c r="M877" s="4"/>
      <c r="N877" s="11"/>
    </row>
    <row r="878">
      <c r="M878" s="4"/>
      <c r="N878" s="11"/>
    </row>
    <row r="879">
      <c r="M879" s="4"/>
      <c r="N879" s="11"/>
    </row>
    <row r="880">
      <c r="M880" s="4"/>
      <c r="N880" s="11"/>
    </row>
    <row r="881">
      <c r="M881" s="4"/>
      <c r="N881" s="11"/>
    </row>
    <row r="882">
      <c r="M882" s="4"/>
      <c r="N882" s="11"/>
    </row>
    <row r="883">
      <c r="M883" s="4"/>
      <c r="N883" s="11"/>
    </row>
    <row r="884">
      <c r="M884" s="4"/>
      <c r="N884" s="11"/>
    </row>
    <row r="885">
      <c r="M885" s="4"/>
      <c r="N885" s="11"/>
    </row>
    <row r="886">
      <c r="M886" s="4"/>
      <c r="N886" s="11"/>
    </row>
    <row r="887">
      <c r="M887" s="4"/>
      <c r="N887" s="11"/>
    </row>
    <row r="888">
      <c r="M888" s="4"/>
      <c r="N888" s="11"/>
    </row>
    <row r="889">
      <c r="M889" s="4"/>
      <c r="N889" s="11"/>
    </row>
    <row r="890">
      <c r="M890" s="4"/>
      <c r="N890" s="11"/>
    </row>
    <row r="891">
      <c r="M891" s="4"/>
      <c r="N891" s="11"/>
    </row>
    <row r="892">
      <c r="M892" s="4"/>
      <c r="N892" s="11"/>
    </row>
    <row r="893">
      <c r="M893" s="4"/>
      <c r="N893" s="11"/>
    </row>
    <row r="894">
      <c r="M894" s="4"/>
      <c r="N894" s="11"/>
    </row>
    <row r="895">
      <c r="M895" s="4"/>
      <c r="N895" s="11"/>
    </row>
    <row r="896">
      <c r="M896" s="4"/>
      <c r="N896" s="11"/>
    </row>
    <row r="897">
      <c r="M897" s="4"/>
      <c r="N897" s="11"/>
    </row>
    <row r="898">
      <c r="M898" s="4"/>
      <c r="N898" s="11"/>
    </row>
    <row r="899">
      <c r="M899" s="4"/>
      <c r="N899" s="11"/>
    </row>
    <row r="900">
      <c r="M900" s="4"/>
      <c r="N900" s="11"/>
    </row>
    <row r="901">
      <c r="M901" s="4"/>
      <c r="N901" s="11"/>
    </row>
    <row r="902">
      <c r="M902" s="4"/>
      <c r="N902" s="11"/>
    </row>
    <row r="903">
      <c r="M903" s="4"/>
      <c r="N903" s="11"/>
    </row>
    <row r="904">
      <c r="M904" s="4"/>
      <c r="N904" s="11"/>
    </row>
    <row r="905">
      <c r="M905" s="4"/>
      <c r="N905" s="11"/>
    </row>
    <row r="906">
      <c r="M906" s="4"/>
      <c r="N906" s="11"/>
    </row>
    <row r="907">
      <c r="M907" s="4"/>
      <c r="N907" s="11"/>
    </row>
    <row r="908">
      <c r="M908" s="4"/>
      <c r="N908" s="11"/>
    </row>
    <row r="909">
      <c r="M909" s="4"/>
      <c r="N909" s="11"/>
    </row>
    <row r="910">
      <c r="M910" s="4"/>
      <c r="N910" s="11"/>
    </row>
    <row r="911">
      <c r="M911" s="4"/>
      <c r="N911" s="11"/>
    </row>
    <row r="912">
      <c r="M912" s="4"/>
      <c r="N912" s="11"/>
    </row>
    <row r="913">
      <c r="M913" s="4"/>
      <c r="N913" s="11"/>
    </row>
    <row r="914">
      <c r="M914" s="4"/>
      <c r="N914" s="11"/>
    </row>
    <row r="915">
      <c r="M915" s="4"/>
      <c r="N915" s="11"/>
    </row>
    <row r="916">
      <c r="M916" s="4"/>
      <c r="N916" s="11"/>
    </row>
    <row r="917">
      <c r="M917" s="4"/>
      <c r="N917" s="11"/>
    </row>
    <row r="918">
      <c r="M918" s="4"/>
      <c r="N918" s="11"/>
    </row>
    <row r="919">
      <c r="M919" s="4"/>
      <c r="N919" s="11"/>
    </row>
    <row r="920">
      <c r="M920" s="4"/>
      <c r="N920" s="11"/>
    </row>
    <row r="921">
      <c r="M921" s="4"/>
      <c r="N921" s="11"/>
    </row>
    <row r="922">
      <c r="M922" s="4"/>
      <c r="N922" s="11"/>
    </row>
    <row r="923">
      <c r="M923" s="4"/>
      <c r="N923" s="11"/>
    </row>
    <row r="924">
      <c r="M924" s="4"/>
      <c r="N924" s="11"/>
    </row>
    <row r="925">
      <c r="M925" s="4"/>
      <c r="N925" s="11"/>
    </row>
    <row r="926">
      <c r="M926" s="4"/>
      <c r="N926" s="11"/>
    </row>
    <row r="927">
      <c r="M927" s="4"/>
      <c r="N927" s="11"/>
    </row>
    <row r="928">
      <c r="M928" s="4"/>
      <c r="N928" s="11"/>
    </row>
    <row r="929">
      <c r="M929" s="4"/>
      <c r="N929" s="11"/>
    </row>
    <row r="930">
      <c r="M930" s="4"/>
      <c r="N930" s="11"/>
    </row>
    <row r="931">
      <c r="M931" s="4"/>
      <c r="N931" s="11"/>
    </row>
    <row r="932">
      <c r="M932" s="4"/>
      <c r="N932" s="11"/>
    </row>
    <row r="933">
      <c r="M933" s="4"/>
      <c r="N933" s="11"/>
    </row>
    <row r="934">
      <c r="M934" s="4"/>
      <c r="N934" s="11"/>
    </row>
    <row r="935">
      <c r="M935" s="4"/>
      <c r="N935" s="11"/>
    </row>
    <row r="936">
      <c r="M936" s="4"/>
      <c r="N936" s="11"/>
    </row>
    <row r="937">
      <c r="M937" s="4"/>
      <c r="N937" s="11"/>
    </row>
    <row r="938">
      <c r="M938" s="4"/>
      <c r="N938" s="11"/>
    </row>
    <row r="939">
      <c r="M939" s="4"/>
      <c r="N939" s="11"/>
    </row>
    <row r="940">
      <c r="M940" s="4"/>
      <c r="N940" s="11"/>
    </row>
    <row r="941">
      <c r="M941" s="4"/>
      <c r="N941" s="11"/>
    </row>
    <row r="942">
      <c r="M942" s="4"/>
      <c r="N942" s="11"/>
    </row>
    <row r="943">
      <c r="M943" s="4"/>
      <c r="N943" s="11"/>
    </row>
    <row r="944">
      <c r="M944" s="4"/>
      <c r="N944" s="11"/>
    </row>
    <row r="945">
      <c r="M945" s="4"/>
      <c r="N945" s="11"/>
    </row>
    <row r="946">
      <c r="M946" s="4"/>
      <c r="N946" s="11"/>
    </row>
    <row r="947">
      <c r="M947" s="4"/>
      <c r="N947" s="11"/>
    </row>
    <row r="948">
      <c r="M948" s="4"/>
      <c r="N948" s="11"/>
    </row>
    <row r="949">
      <c r="M949" s="4"/>
      <c r="N949" s="11"/>
    </row>
    <row r="950">
      <c r="M950" s="4"/>
      <c r="N950" s="11"/>
    </row>
    <row r="951">
      <c r="M951" s="4"/>
      <c r="N951" s="11"/>
    </row>
    <row r="952">
      <c r="M952" s="4"/>
      <c r="N952" s="11"/>
    </row>
    <row r="953">
      <c r="M953" s="4"/>
      <c r="N953" s="11"/>
    </row>
    <row r="954">
      <c r="M954" s="4"/>
      <c r="N954" s="11"/>
    </row>
    <row r="955">
      <c r="M955" s="4"/>
      <c r="N955" s="11"/>
    </row>
    <row r="956">
      <c r="M956" s="4"/>
      <c r="N956" s="11"/>
    </row>
    <row r="957">
      <c r="M957" s="4"/>
      <c r="N957" s="11"/>
    </row>
    <row r="958">
      <c r="M958" s="4"/>
      <c r="N958" s="11"/>
    </row>
    <row r="959">
      <c r="M959" s="4"/>
      <c r="N959" s="11"/>
    </row>
    <row r="960">
      <c r="M960" s="4"/>
      <c r="N960" s="11"/>
    </row>
    <row r="961">
      <c r="M961" s="4"/>
      <c r="N961" s="11"/>
    </row>
    <row r="962">
      <c r="M962" s="4"/>
      <c r="N962" s="11"/>
    </row>
    <row r="963">
      <c r="M963" s="4"/>
      <c r="N963" s="11"/>
    </row>
    <row r="964">
      <c r="M964" s="4"/>
      <c r="N964" s="11"/>
    </row>
    <row r="965">
      <c r="M965" s="4"/>
      <c r="N965" s="11"/>
    </row>
    <row r="966">
      <c r="M966" s="4"/>
      <c r="N966" s="11"/>
    </row>
    <row r="967">
      <c r="M967" s="4"/>
      <c r="N967" s="11"/>
    </row>
    <row r="968">
      <c r="M968" s="4"/>
      <c r="N968" s="11"/>
    </row>
    <row r="969">
      <c r="M969" s="4"/>
      <c r="N969" s="11"/>
    </row>
    <row r="970">
      <c r="M970" s="4"/>
      <c r="N970" s="11"/>
    </row>
    <row r="971">
      <c r="M971" s="4"/>
      <c r="N971" s="11"/>
    </row>
    <row r="972">
      <c r="M972" s="4"/>
      <c r="N972" s="11"/>
    </row>
    <row r="973">
      <c r="M973" s="4"/>
      <c r="N973" s="11"/>
    </row>
    <row r="974">
      <c r="M974" s="4"/>
      <c r="N974" s="11"/>
    </row>
    <row r="975">
      <c r="M975" s="4"/>
      <c r="N975" s="11"/>
    </row>
    <row r="976">
      <c r="M976" s="4"/>
      <c r="N976" s="11"/>
    </row>
    <row r="977">
      <c r="M977" s="4"/>
      <c r="N977" s="11"/>
    </row>
    <row r="978">
      <c r="M978" s="4"/>
      <c r="N978" s="11"/>
    </row>
    <row r="979">
      <c r="M979" s="4"/>
      <c r="N979" s="11"/>
    </row>
    <row r="980">
      <c r="M980" s="4"/>
      <c r="N980" s="11"/>
    </row>
    <row r="981">
      <c r="M981" s="4"/>
      <c r="N981" s="11"/>
    </row>
    <row r="982">
      <c r="M982" s="4"/>
      <c r="N982" s="11"/>
    </row>
    <row r="983">
      <c r="M983" s="4"/>
      <c r="N983" s="11"/>
    </row>
    <row r="984">
      <c r="M984" s="4"/>
      <c r="N984" s="11"/>
    </row>
    <row r="985">
      <c r="M985" s="4"/>
      <c r="N985" s="11"/>
    </row>
    <row r="986">
      <c r="M986" s="4"/>
      <c r="N986" s="11"/>
    </row>
    <row r="987">
      <c r="M987" s="4"/>
      <c r="N987" s="11"/>
    </row>
    <row r="988">
      <c r="M988" s="4"/>
      <c r="N988" s="11"/>
    </row>
    <row r="989">
      <c r="M989" s="4"/>
      <c r="N989" s="11"/>
    </row>
    <row r="990">
      <c r="M990" s="4"/>
      <c r="N990" s="11"/>
    </row>
    <row r="991">
      <c r="M991" s="4"/>
      <c r="N991" s="11"/>
    </row>
    <row r="992">
      <c r="M992" s="4"/>
      <c r="N992" s="11"/>
    </row>
    <row r="993">
      <c r="M993" s="4"/>
      <c r="N993" s="11"/>
    </row>
    <row r="994">
      <c r="M994" s="4"/>
      <c r="N994" s="11"/>
    </row>
    <row r="995">
      <c r="M995" s="4"/>
      <c r="N995" s="11"/>
    </row>
    <row r="996">
      <c r="M996" s="4"/>
      <c r="N996" s="11"/>
    </row>
    <row r="997">
      <c r="M997" s="4"/>
      <c r="N997" s="11"/>
    </row>
    <row r="998">
      <c r="M998" s="4"/>
      <c r="N998" s="11"/>
    </row>
    <row r="999">
      <c r="M999" s="4"/>
      <c r="N999" s="11"/>
    </row>
    <row r="1000">
      <c r="M1000" s="4"/>
      <c r="N1000" s="11"/>
    </row>
    <row r="1001">
      <c r="M1001" s="4"/>
      <c r="N1001" s="11"/>
    </row>
    <row r="1002">
      <c r="M1002" s="4"/>
      <c r="N1002" s="11"/>
    </row>
    <row r="1003">
      <c r="M1003" s="4"/>
      <c r="N1003" s="11"/>
    </row>
    <row r="1004">
      <c r="M1004" s="4"/>
      <c r="N1004" s="11"/>
    </row>
    <row r="1005">
      <c r="M1005" s="4"/>
      <c r="N1005" s="11"/>
    </row>
    <row r="1006">
      <c r="M1006" s="4"/>
      <c r="N1006" s="11"/>
    </row>
    <row r="1007">
      <c r="M1007" s="4"/>
      <c r="N1007" s="11"/>
    </row>
    <row r="1008">
      <c r="M1008" s="4"/>
      <c r="N1008" s="11"/>
    </row>
    <row r="1009">
      <c r="M1009" s="4"/>
      <c r="N1009" s="11"/>
    </row>
  </sheetData>
  <autoFilter ref="$A$1:$K$25"/>
  <mergeCells count="2">
    <mergeCell ref="D27:K27"/>
    <mergeCell ref="D43:I43"/>
  </mergeCells>
  <conditionalFormatting sqref="D2:D26 D28:D41">
    <cfRule type="colorScale" priority="1">
      <colorScale>
        <cfvo type="formula" val="0"/>
        <cfvo type="formula" val="0.5"/>
        <cfvo type="formula" val="1"/>
        <color rgb="FFFFFFFF"/>
        <color rgb="FFF3BEB9"/>
        <color rgb="FFE67C73"/>
      </colorScale>
    </cfRule>
  </conditionalFormatting>
  <conditionalFormatting sqref="E2:J25 E28:J41">
    <cfRule type="colorScale" priority="2">
      <colorScale>
        <cfvo type="formula" val="1"/>
        <cfvo type="formula" val="3"/>
        <cfvo type="formula" val="5"/>
        <color rgb="FFEA9999"/>
        <color rgb="FFFFE599"/>
        <color rgb="FF9FC5E8"/>
      </colorScale>
    </cfRule>
  </conditionalFormatting>
  <conditionalFormatting sqref="E2:J25">
    <cfRule type="expression" dxfId="0" priority="3">
      <formula>E2=MAX(E$6:E$25)</formula>
    </cfRule>
  </conditionalFormatting>
  <conditionalFormatting sqref="E33:J37">
    <cfRule type="expression" dxfId="0" priority="4">
      <formula>E33=MAX(E$33:E$37)</formula>
    </cfRule>
  </conditionalFormatting>
  <conditionalFormatting sqref="E38:J41">
    <cfRule type="expression" dxfId="0" priority="5">
      <formula>E38=MAX(E$38:E$41)</formula>
    </cfRule>
  </conditionalFormatting>
  <conditionalFormatting sqref="N2:R13">
    <cfRule type="colorScale" priority="6">
      <colorScale>
        <cfvo type="formula" val="-1"/>
        <cfvo type="formula" val="0"/>
        <cfvo type="formula" val="1"/>
        <color rgb="FFE67C73"/>
        <color rgb="FFFFFFFF"/>
        <color rgb="FF57BB8A"/>
      </colorScale>
    </cfRule>
  </conditionalFormatting>
  <conditionalFormatting sqref="D44:D62">
    <cfRule type="colorScale" priority="7">
      <colorScale>
        <cfvo type="min"/>
        <cfvo type="max"/>
        <color rgb="FFFFFFFF"/>
        <color rgb="FFE67C73"/>
      </colorScale>
    </cfRule>
  </conditionalFormatting>
  <conditionalFormatting sqref="E44:I62">
    <cfRule type="colorScale" priority="8">
      <colorScale>
        <cfvo type="min"/>
        <cfvo type="percent" val="50"/>
        <cfvo type="max"/>
        <color rgb="FFFFFFFF"/>
        <color rgb="FFF3BEB9"/>
        <color rgb="FFE67C73"/>
      </colorScale>
    </cfRule>
  </conditionalFormatting>
  <conditionalFormatting sqref="E28:J32">
    <cfRule type="expression" dxfId="0" priority="9">
      <formula>E28=MAX(#REF!)</formula>
    </cfRule>
  </conditionalFormatting>
  <dataValidations>
    <dataValidation type="list" allowBlank="1" showErrorMessage="1" sqref="C2:C25 C38:C41 C59:C62">
      <formula1>"5W1H,Base,CoT,tldr,Heading,Jeremy,Begoña,Alba,Naiara"</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152.13"/>
  </cols>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20</v>
      </c>
      <c r="B1" s="10">
        <v>1.0</v>
      </c>
    </row>
    <row r="2">
      <c r="A2" s="10" t="s">
        <v>24</v>
      </c>
      <c r="B2" s="10">
        <v>2.0</v>
      </c>
    </row>
    <row r="3">
      <c r="A3" s="10" t="s">
        <v>25</v>
      </c>
      <c r="B3" s="10">
        <v>3.0</v>
      </c>
    </row>
    <row r="4">
      <c r="A4" s="10" t="s">
        <v>26</v>
      </c>
      <c r="B4" s="10">
        <v>4.0</v>
      </c>
    </row>
    <row r="5">
      <c r="A5" s="10" t="s">
        <v>21</v>
      </c>
      <c r="B5" s="10">
        <v>10.0</v>
      </c>
    </row>
    <row r="6">
      <c r="A6" s="10" t="s">
        <v>22</v>
      </c>
      <c r="B6" s="10">
        <v>11.0</v>
      </c>
    </row>
    <row r="7">
      <c r="A7" s="10" t="s">
        <v>8</v>
      </c>
      <c r="B7" s="10">
        <v>12.0</v>
      </c>
    </row>
    <row r="8">
      <c r="A8" s="10" t="s">
        <v>23</v>
      </c>
      <c r="B8" s="10">
        <v>13.0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ht="15.75" customHeight="1">
      <c r="A1" s="48" t="s">
        <v>0</v>
      </c>
      <c r="B1" s="2" t="s">
        <v>30</v>
      </c>
      <c r="C1" s="2" t="s">
        <v>31</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16</v>
      </c>
      <c r="D2" s="54" t="s">
        <v>35</v>
      </c>
      <c r="E2" s="55">
        <f>IFERROR(__xludf.DUMMYFUNCTION("COUNTA(SPLIT(D2,"" ""))/COUNTA(SPLIT($B$2,"" ""))"),0.026285714285714287)</f>
        <v>0.02628571429</v>
      </c>
      <c r="F2" s="7">
        <v>5.0</v>
      </c>
      <c r="G2" s="7">
        <v>5.0</v>
      </c>
      <c r="H2" s="7">
        <v>5.0</v>
      </c>
      <c r="I2" s="7">
        <v>5.0</v>
      </c>
      <c r="J2" s="7">
        <v>2.0</v>
      </c>
      <c r="K2" s="56"/>
      <c r="L2" s="56"/>
      <c r="M2" s="56"/>
      <c r="N2" s="56"/>
      <c r="O2" s="56"/>
      <c r="P2" s="56"/>
      <c r="Q2" s="56"/>
      <c r="R2" s="56"/>
      <c r="S2" s="56"/>
      <c r="T2" s="56"/>
      <c r="U2" s="56"/>
      <c r="V2" s="56"/>
      <c r="W2" s="56"/>
      <c r="X2" s="56"/>
      <c r="Y2" s="56"/>
      <c r="Z2" s="56"/>
      <c r="AA2" s="56"/>
      <c r="AB2" s="56"/>
    </row>
    <row r="3" ht="225.0" customHeight="1">
      <c r="C3" s="7" t="s">
        <v>17</v>
      </c>
      <c r="D3" s="57" t="s">
        <v>36</v>
      </c>
      <c r="E3" s="55">
        <f>IFERROR(__xludf.DUMMYFUNCTION("COUNTA(SPLIT(D3,"" ""))/COUNTA(SPLIT($B$2,"" ""))"),0.1782857142857143)</f>
        <v>0.1782857143</v>
      </c>
      <c r="F3" s="58"/>
      <c r="G3" s="58"/>
      <c r="H3" s="58"/>
      <c r="I3" s="58"/>
      <c r="J3" s="58"/>
      <c r="K3" s="56"/>
      <c r="L3" s="56"/>
      <c r="M3" s="56"/>
      <c r="N3" s="56"/>
      <c r="O3" s="56"/>
      <c r="P3" s="56"/>
      <c r="Q3" s="56"/>
      <c r="R3" s="56"/>
      <c r="S3" s="56"/>
      <c r="T3" s="56"/>
      <c r="U3" s="56"/>
      <c r="V3" s="56"/>
      <c r="W3" s="56"/>
      <c r="X3" s="56"/>
      <c r="Y3" s="56"/>
      <c r="Z3" s="56"/>
      <c r="AA3" s="56"/>
      <c r="AB3" s="56"/>
    </row>
    <row r="4" ht="225.0" customHeight="1">
      <c r="C4" s="7" t="s">
        <v>18</v>
      </c>
      <c r="D4" s="54"/>
      <c r="E4" s="55">
        <f>IFERROR(__xludf.DUMMYFUNCTION("COUNTA(SPLIT(D4,"" ""))/COUNTA(SPLIT($B$2,"" ""))"),0.001142857142857143)</f>
        <v>0.001142857143</v>
      </c>
      <c r="F4" s="7"/>
      <c r="G4" s="7"/>
      <c r="H4" s="7"/>
      <c r="I4" s="7"/>
      <c r="J4" s="7"/>
      <c r="K4" s="56"/>
      <c r="L4" s="56"/>
      <c r="M4" s="56"/>
      <c r="N4" s="56"/>
      <c r="O4" s="56"/>
      <c r="P4" s="56"/>
      <c r="Q4" s="56"/>
      <c r="R4" s="56"/>
      <c r="S4" s="56"/>
      <c r="T4" s="56"/>
      <c r="U4" s="56"/>
      <c r="V4" s="56"/>
      <c r="W4" s="56"/>
      <c r="X4" s="56"/>
      <c r="Y4" s="56"/>
      <c r="Z4" s="56"/>
      <c r="AA4" s="56"/>
      <c r="AB4" s="56"/>
    </row>
    <row r="5" ht="225.0" customHeight="1">
      <c r="C5" s="7" t="s">
        <v>19</v>
      </c>
      <c r="D5" s="54"/>
      <c r="E5" s="55">
        <f>IFERROR(__xludf.DUMMYFUNCTION("COUNTA(SPLIT(D5,"" ""))/COUNTA(SPLIT($B$2,"" ""))"),0.001142857142857143)</f>
        <v>0.001142857143</v>
      </c>
      <c r="F5" s="58"/>
      <c r="G5" s="58"/>
      <c r="H5" s="58"/>
      <c r="I5" s="58"/>
      <c r="J5" s="58"/>
      <c r="K5" s="56"/>
      <c r="L5" s="56"/>
      <c r="M5" s="56"/>
      <c r="N5" s="56"/>
      <c r="O5" s="56"/>
      <c r="P5" s="56"/>
      <c r="Q5" s="56"/>
      <c r="R5" s="56"/>
      <c r="S5" s="56"/>
      <c r="T5" s="56"/>
      <c r="U5" s="56"/>
      <c r="V5" s="56"/>
      <c r="W5" s="56"/>
      <c r="X5" s="56"/>
      <c r="Y5" s="56"/>
      <c r="Z5" s="56"/>
      <c r="AA5" s="56"/>
      <c r="AB5" s="56"/>
    </row>
    <row r="6" ht="15.75" customHeight="1">
      <c r="A6" s="59"/>
      <c r="B6" s="56"/>
      <c r="C6" s="60"/>
      <c r="D6" s="61"/>
      <c r="E6" s="55"/>
      <c r="F6" s="60"/>
      <c r="G6" s="60"/>
      <c r="H6" s="60"/>
      <c r="I6" s="60"/>
      <c r="J6" s="60"/>
      <c r="K6" s="56"/>
      <c r="L6" s="56"/>
      <c r="M6" s="56"/>
      <c r="N6" s="56"/>
      <c r="O6" s="56"/>
      <c r="P6" s="56"/>
      <c r="Q6" s="56"/>
      <c r="R6" s="56"/>
      <c r="S6" s="56"/>
      <c r="T6" s="56"/>
      <c r="U6" s="56"/>
      <c r="V6" s="56"/>
      <c r="W6" s="56"/>
      <c r="X6" s="56"/>
      <c r="Y6" s="56"/>
      <c r="Z6" s="56"/>
      <c r="AA6" s="56"/>
      <c r="AB6" s="56"/>
    </row>
    <row r="7" ht="225.0" customHeight="1">
      <c r="A7" s="62" t="s">
        <v>37</v>
      </c>
      <c r="B7" s="63" t="s">
        <v>38</v>
      </c>
      <c r="C7" s="64" t="s">
        <v>16</v>
      </c>
      <c r="D7" s="65" t="s">
        <v>39</v>
      </c>
      <c r="E7" s="66">
        <f>IFERROR(__xludf.DUMMYFUNCTION("COUNTA(SPLIT(D7,"" ""))/COUNTA(SPLIT($B$7,"" ""))"),0.03140096618357488)</f>
        <v>0.03140096618</v>
      </c>
      <c r="F7" s="67">
        <v>5.0</v>
      </c>
      <c r="G7" s="67">
        <v>5.0</v>
      </c>
      <c r="H7" s="67">
        <v>5.0</v>
      </c>
      <c r="I7" s="67">
        <v>5.0</v>
      </c>
      <c r="J7" s="67">
        <v>2.0</v>
      </c>
      <c r="K7" s="68"/>
      <c r="L7" s="68"/>
      <c r="M7" s="68"/>
      <c r="N7" s="68"/>
      <c r="O7" s="68"/>
      <c r="P7" s="68"/>
      <c r="Q7" s="68"/>
      <c r="R7" s="68"/>
      <c r="S7" s="68"/>
      <c r="T7" s="68"/>
      <c r="U7" s="68"/>
      <c r="V7" s="68"/>
      <c r="W7" s="68"/>
      <c r="X7" s="68"/>
      <c r="Y7" s="68"/>
      <c r="Z7" s="68"/>
      <c r="AA7" s="68"/>
      <c r="AB7" s="68"/>
    </row>
    <row r="8" ht="225.0" customHeight="1">
      <c r="C8" s="7" t="s">
        <v>17</v>
      </c>
      <c r="D8" s="57" t="s">
        <v>40</v>
      </c>
      <c r="E8" s="55">
        <f>IFERROR(__xludf.DUMMYFUNCTION("COUNTA(SPLIT(D8,"" ""))/COUNTA(SPLIT($B$7,"" ""))"),0.21739130434782608)</f>
        <v>0.2173913043</v>
      </c>
      <c r="F8" s="7"/>
      <c r="G8" s="7"/>
      <c r="H8" s="7"/>
      <c r="I8" s="7"/>
      <c r="J8" s="7"/>
      <c r="K8" s="56"/>
      <c r="L8" s="56"/>
      <c r="M8" s="56"/>
      <c r="N8" s="56"/>
      <c r="O8" s="56"/>
      <c r="P8" s="56"/>
      <c r="Q8" s="56"/>
      <c r="R8" s="56"/>
      <c r="S8" s="56"/>
      <c r="T8" s="56"/>
      <c r="U8" s="56"/>
      <c r="V8" s="56"/>
      <c r="W8" s="56"/>
      <c r="X8" s="56"/>
      <c r="Y8" s="56"/>
      <c r="Z8" s="56"/>
      <c r="AA8" s="56"/>
      <c r="AB8" s="56"/>
    </row>
    <row r="9" ht="225.0" customHeight="1">
      <c r="C9" s="7" t="s">
        <v>18</v>
      </c>
      <c r="D9" s="54"/>
      <c r="E9" s="55">
        <f>IFERROR(__xludf.DUMMYFUNCTION("COUNTA(SPLIT(D9,"" ""))/COUNTA(SPLIT($B$7,"" ""))"),0.0012077294685990338)</f>
        <v>0.001207729469</v>
      </c>
      <c r="F9" s="7"/>
      <c r="G9" s="7"/>
      <c r="H9" s="7"/>
      <c r="I9" s="7"/>
      <c r="J9" s="7"/>
      <c r="K9" s="56"/>
      <c r="L9" s="56"/>
      <c r="M9" s="56"/>
      <c r="N9" s="56"/>
      <c r="O9" s="56"/>
      <c r="P9" s="56"/>
      <c r="Q9" s="56"/>
      <c r="R9" s="56"/>
      <c r="S9" s="56"/>
      <c r="T9" s="56"/>
      <c r="U9" s="56"/>
      <c r="V9" s="56"/>
      <c r="W9" s="56"/>
      <c r="X9" s="56"/>
      <c r="Y9" s="56"/>
      <c r="Z9" s="56"/>
      <c r="AA9" s="56"/>
      <c r="AB9" s="56"/>
    </row>
    <row r="10" ht="225.0" customHeight="1">
      <c r="C10" s="7" t="s">
        <v>19</v>
      </c>
      <c r="D10" s="54"/>
      <c r="E10" s="55">
        <f>IFERROR(__xludf.DUMMYFUNCTION("COUNTA(SPLIT(D10,"" ""))/COUNTA(SPLIT($B$7,"" ""))"),0.0012077294685990338)</f>
        <v>0.001207729469</v>
      </c>
      <c r="F10" s="58"/>
      <c r="G10" s="58"/>
      <c r="H10" s="58"/>
      <c r="I10" s="58"/>
      <c r="J10" s="58"/>
      <c r="K10" s="56"/>
      <c r="L10" s="56"/>
      <c r="M10" s="56"/>
      <c r="N10" s="56"/>
      <c r="O10" s="56"/>
      <c r="P10" s="56"/>
      <c r="Q10" s="56"/>
      <c r="R10" s="56"/>
      <c r="S10" s="56"/>
      <c r="T10" s="56"/>
      <c r="U10" s="56"/>
      <c r="V10" s="56"/>
      <c r="W10" s="56"/>
      <c r="X10" s="56"/>
      <c r="Y10" s="56"/>
      <c r="Z10" s="56"/>
      <c r="AA10" s="56"/>
      <c r="AB10" s="56"/>
    </row>
    <row r="11" ht="15.75" customHeight="1">
      <c r="A11" s="59"/>
      <c r="B11" s="56"/>
      <c r="C11" s="60"/>
      <c r="D11" s="61"/>
      <c r="E11" s="55"/>
      <c r="F11" s="60"/>
      <c r="G11" s="60"/>
      <c r="H11" s="60"/>
      <c r="I11" s="60"/>
      <c r="J11" s="60"/>
      <c r="K11" s="56"/>
      <c r="L11" s="56"/>
      <c r="M11" s="56"/>
      <c r="N11" s="56"/>
      <c r="O11" s="56"/>
      <c r="P11" s="56"/>
      <c r="Q11" s="56"/>
      <c r="R11" s="56"/>
      <c r="S11" s="56"/>
      <c r="T11" s="56"/>
      <c r="U11" s="56"/>
      <c r="V11" s="56"/>
      <c r="W11" s="56"/>
      <c r="X11" s="56"/>
      <c r="Y11" s="56"/>
      <c r="Z11" s="56"/>
      <c r="AA11" s="56"/>
      <c r="AB11" s="56"/>
    </row>
    <row r="12" ht="225.0" customHeight="1">
      <c r="A12" s="62" t="s">
        <v>41</v>
      </c>
      <c r="B12" s="63" t="s">
        <v>42</v>
      </c>
      <c r="C12" s="64" t="s">
        <v>16</v>
      </c>
      <c r="D12" s="65" t="s">
        <v>43</v>
      </c>
      <c r="E12" s="66">
        <f>IFERROR(__xludf.DUMMYFUNCTION("COUNTA(SPLIT(D12,"" ""))/COUNTA(SPLIT($B$12,"" ""))"),0.03416856492027335)</f>
        <v>0.03416856492</v>
      </c>
      <c r="F12" s="67">
        <v>4.0</v>
      </c>
      <c r="G12" s="67">
        <v>5.0</v>
      </c>
      <c r="H12" s="67">
        <v>5.0</v>
      </c>
      <c r="I12" s="67">
        <v>5.0</v>
      </c>
      <c r="J12" s="67">
        <v>2.0</v>
      </c>
      <c r="K12" s="68"/>
      <c r="L12" s="68"/>
      <c r="M12" s="68"/>
      <c r="N12" s="68"/>
      <c r="O12" s="68"/>
      <c r="P12" s="68"/>
      <c r="Q12" s="68"/>
      <c r="R12" s="68"/>
      <c r="S12" s="68"/>
      <c r="T12" s="68"/>
      <c r="U12" s="68"/>
      <c r="V12" s="68"/>
      <c r="W12" s="68"/>
      <c r="X12" s="68"/>
      <c r="Y12" s="68"/>
      <c r="Z12" s="68"/>
      <c r="AA12" s="68"/>
      <c r="AB12" s="68"/>
    </row>
    <row r="13" ht="225.0" customHeight="1">
      <c r="C13" s="7" t="s">
        <v>17</v>
      </c>
      <c r="D13" s="57" t="s">
        <v>44</v>
      </c>
      <c r="E13" s="55">
        <f>IFERROR(__xludf.DUMMYFUNCTION("COUNTA(SPLIT(D13,"" ""))/COUNTA(SPLIT($B$12,"" ""))"),0.18223234624145787)</f>
        <v>0.1822323462</v>
      </c>
      <c r="F13" s="58"/>
      <c r="G13" s="58"/>
      <c r="H13" s="58"/>
      <c r="I13" s="58"/>
      <c r="J13" s="58"/>
      <c r="K13" s="56"/>
      <c r="L13" s="56"/>
      <c r="M13" s="56"/>
      <c r="N13" s="56"/>
      <c r="O13" s="56"/>
      <c r="P13" s="56"/>
      <c r="Q13" s="56"/>
      <c r="R13" s="56"/>
      <c r="S13" s="56"/>
      <c r="T13" s="56"/>
      <c r="U13" s="56"/>
      <c r="V13" s="56"/>
      <c r="W13" s="56"/>
      <c r="X13" s="56"/>
      <c r="Y13" s="56"/>
      <c r="Z13" s="56"/>
      <c r="AA13" s="56"/>
      <c r="AB13" s="56"/>
    </row>
    <row r="14" ht="225.0" customHeight="1">
      <c r="C14" s="7" t="s">
        <v>18</v>
      </c>
      <c r="D14" s="54"/>
      <c r="E14" s="55">
        <f>IFERROR(__xludf.DUMMYFUNCTION("COUNTA(SPLIT(D14,"" ""))/COUNTA(SPLIT($B$12,"" ""))"),0.0011389521640091116)</f>
        <v>0.001138952164</v>
      </c>
      <c r="F14" s="7"/>
      <c r="G14" s="7"/>
      <c r="H14" s="7"/>
      <c r="I14" s="7"/>
      <c r="J14" s="7"/>
      <c r="K14" s="56"/>
      <c r="L14" s="56"/>
      <c r="M14" s="56"/>
      <c r="N14" s="56"/>
      <c r="O14" s="56"/>
      <c r="P14" s="56"/>
      <c r="Q14" s="56"/>
      <c r="R14" s="56"/>
      <c r="S14" s="56"/>
      <c r="T14" s="56"/>
      <c r="U14" s="56"/>
      <c r="V14" s="56"/>
      <c r="W14" s="56"/>
      <c r="X14" s="56"/>
      <c r="Y14" s="56"/>
      <c r="Z14" s="56"/>
      <c r="AA14" s="56"/>
      <c r="AB14" s="56"/>
    </row>
    <row r="15" ht="225.0" customHeight="1">
      <c r="C15" s="7" t="s">
        <v>19</v>
      </c>
      <c r="D15" s="54"/>
      <c r="E15" s="55">
        <f>IFERROR(__xludf.DUMMYFUNCTION("COUNTA(SPLIT(D15,"" ""))/COUNTA(SPLIT($B$12,"" ""))"),0.0011389521640091116)</f>
        <v>0.001138952164</v>
      </c>
      <c r="F15" s="58"/>
      <c r="G15" s="58"/>
      <c r="H15" s="58"/>
      <c r="I15" s="58"/>
      <c r="J15" s="58"/>
      <c r="K15" s="56"/>
      <c r="L15" s="56"/>
      <c r="M15" s="56"/>
      <c r="N15" s="56"/>
      <c r="O15" s="56"/>
      <c r="P15" s="56"/>
      <c r="Q15" s="56"/>
      <c r="R15" s="56"/>
      <c r="S15" s="56"/>
      <c r="T15" s="56"/>
      <c r="U15" s="56"/>
      <c r="V15" s="56"/>
      <c r="W15" s="56"/>
      <c r="X15" s="56"/>
      <c r="Y15" s="56"/>
      <c r="Z15" s="56"/>
      <c r="AA15" s="56"/>
      <c r="AB15" s="56"/>
    </row>
    <row r="16" ht="15.75" customHeight="1">
      <c r="A16" s="59"/>
      <c r="B16" s="56"/>
      <c r="C16" s="60"/>
      <c r="D16" s="61"/>
      <c r="E16" s="55"/>
      <c r="F16" s="60"/>
      <c r="G16" s="60"/>
      <c r="H16" s="60"/>
      <c r="I16" s="60"/>
      <c r="J16" s="60"/>
      <c r="K16" s="56"/>
      <c r="L16" s="56"/>
      <c r="M16" s="56"/>
      <c r="N16" s="56"/>
      <c r="O16" s="56"/>
      <c r="P16" s="56"/>
      <c r="Q16" s="56"/>
      <c r="R16" s="56"/>
      <c r="S16" s="56"/>
      <c r="T16" s="56"/>
      <c r="U16" s="56"/>
      <c r="V16" s="56"/>
      <c r="W16" s="56"/>
      <c r="X16" s="56"/>
      <c r="Y16" s="56"/>
      <c r="Z16" s="56"/>
      <c r="AA16" s="56"/>
      <c r="AB16" s="56"/>
    </row>
    <row r="17" ht="225.0" customHeight="1">
      <c r="A17" s="62" t="s">
        <v>45</v>
      </c>
      <c r="B17" s="63" t="s">
        <v>46</v>
      </c>
      <c r="C17" s="64" t="s">
        <v>16</v>
      </c>
      <c r="D17" s="65" t="s">
        <v>47</v>
      </c>
      <c r="E17" s="66">
        <f>IFERROR(__xludf.DUMMYFUNCTION("COUNTA(SPLIT(D17,"" ""))/COUNTA(SPLIT($B$17,"" ""))"),0.0280970625798212)</f>
        <v>0.02809706258</v>
      </c>
      <c r="F17" s="67">
        <v>5.0</v>
      </c>
      <c r="G17" s="67">
        <v>5.0</v>
      </c>
      <c r="H17" s="67">
        <v>5.0</v>
      </c>
      <c r="I17" s="67">
        <v>4.0</v>
      </c>
      <c r="J17" s="67">
        <v>1.0</v>
      </c>
      <c r="K17" s="68"/>
      <c r="L17" s="68"/>
      <c r="M17" s="68"/>
      <c r="N17" s="68"/>
      <c r="O17" s="68"/>
      <c r="P17" s="68"/>
      <c r="Q17" s="68"/>
      <c r="R17" s="68"/>
      <c r="S17" s="68"/>
      <c r="T17" s="68"/>
      <c r="U17" s="68"/>
      <c r="V17" s="68"/>
      <c r="W17" s="68"/>
      <c r="X17" s="68"/>
      <c r="Y17" s="68"/>
      <c r="Z17" s="68"/>
      <c r="AA17" s="68"/>
      <c r="AB17" s="68"/>
    </row>
    <row r="18" ht="225.0" customHeight="1">
      <c r="C18" s="7" t="s">
        <v>17</v>
      </c>
      <c r="D18" s="57" t="s">
        <v>48</v>
      </c>
      <c r="E18" s="55">
        <f>IFERROR(__xludf.DUMMYFUNCTION("COUNTA(SPLIT(D18,"" ""))/COUNTA(SPLIT($B$17,"" ""))"),0.13793103448275862)</f>
        <v>0.1379310345</v>
      </c>
      <c r="F18" s="58"/>
      <c r="G18" s="58"/>
      <c r="H18" s="58"/>
      <c r="I18" s="58"/>
      <c r="J18" s="58"/>
      <c r="K18" s="56"/>
      <c r="L18" s="56"/>
      <c r="M18" s="56"/>
      <c r="N18" s="56"/>
      <c r="O18" s="56"/>
      <c r="P18" s="56"/>
      <c r="Q18" s="56"/>
      <c r="R18" s="56"/>
      <c r="S18" s="56"/>
      <c r="T18" s="56"/>
      <c r="U18" s="56"/>
      <c r="V18" s="56"/>
      <c r="W18" s="56"/>
      <c r="X18" s="56"/>
      <c r="Y18" s="56"/>
      <c r="Z18" s="56"/>
      <c r="AA18" s="56"/>
      <c r="AB18" s="56"/>
    </row>
    <row r="19" ht="225.0" customHeight="1">
      <c r="C19" s="7" t="s">
        <v>18</v>
      </c>
      <c r="D19" s="54"/>
      <c r="E19" s="55">
        <f>IFERROR(__xludf.DUMMYFUNCTION("COUNTA(SPLIT(D19,"" ""))/COUNTA(SPLIT($B$17,"" ""))"),0.001277139208173691)</f>
        <v>0.001277139208</v>
      </c>
      <c r="F19" s="7"/>
      <c r="G19" s="7"/>
      <c r="H19" s="7"/>
      <c r="I19" s="7"/>
      <c r="J19" s="7"/>
      <c r="K19" s="56"/>
      <c r="L19" s="56"/>
      <c r="M19" s="56"/>
      <c r="N19" s="56"/>
      <c r="O19" s="56"/>
      <c r="P19" s="56"/>
      <c r="Q19" s="56"/>
      <c r="R19" s="56"/>
      <c r="S19" s="56"/>
      <c r="T19" s="56"/>
      <c r="U19" s="56"/>
      <c r="V19" s="56"/>
      <c r="W19" s="56"/>
      <c r="X19" s="56"/>
      <c r="Y19" s="56"/>
      <c r="Z19" s="56"/>
      <c r="AA19" s="56"/>
      <c r="AB19" s="56"/>
    </row>
    <row r="20" ht="225.0" customHeight="1">
      <c r="C20" s="7" t="s">
        <v>19</v>
      </c>
      <c r="D20" s="54"/>
      <c r="E20" s="55">
        <f>IFERROR(__xludf.DUMMYFUNCTION("COUNTA(SPLIT(D20,"" ""))/COUNTA(SPLIT($B$17,"" ""))"),0.001277139208173691)</f>
        <v>0.001277139208</v>
      </c>
      <c r="F20" s="58"/>
      <c r="G20" s="58"/>
      <c r="H20" s="58"/>
      <c r="I20" s="58"/>
      <c r="J20" s="58"/>
      <c r="K20" s="56"/>
      <c r="L20" s="56"/>
      <c r="M20" s="56"/>
      <c r="N20" s="56"/>
      <c r="O20" s="56"/>
      <c r="P20" s="56"/>
      <c r="Q20" s="56"/>
      <c r="R20" s="56"/>
      <c r="S20" s="56"/>
      <c r="T20" s="56"/>
      <c r="U20" s="56"/>
      <c r="V20" s="56"/>
      <c r="W20" s="56"/>
      <c r="X20" s="56"/>
      <c r="Y20" s="56"/>
      <c r="Z20" s="56"/>
      <c r="AA20" s="56"/>
      <c r="AB20" s="56"/>
    </row>
    <row r="21" ht="15.75" customHeight="1">
      <c r="A21" s="59"/>
      <c r="B21" s="56"/>
      <c r="C21" s="60"/>
      <c r="D21" s="61"/>
      <c r="E21" s="55"/>
      <c r="F21" s="60"/>
      <c r="G21" s="60"/>
      <c r="H21" s="60"/>
      <c r="I21" s="60"/>
      <c r="J21" s="60"/>
      <c r="K21" s="56"/>
      <c r="L21" s="56"/>
      <c r="M21" s="56"/>
      <c r="N21" s="56"/>
      <c r="O21" s="56"/>
      <c r="P21" s="56"/>
      <c r="Q21" s="56"/>
      <c r="R21" s="56"/>
      <c r="S21" s="56"/>
      <c r="T21" s="56"/>
      <c r="U21" s="56"/>
      <c r="V21" s="56"/>
      <c r="W21" s="56"/>
      <c r="X21" s="56"/>
      <c r="Y21" s="56"/>
      <c r="Z21" s="56"/>
      <c r="AA21" s="56"/>
      <c r="AB21" s="56"/>
    </row>
    <row r="22" ht="225.0" customHeight="1">
      <c r="A22" s="62" t="s">
        <v>49</v>
      </c>
      <c r="B22" s="63" t="s">
        <v>50</v>
      </c>
      <c r="C22" s="64" t="s">
        <v>16</v>
      </c>
      <c r="D22" s="65" t="s">
        <v>51</v>
      </c>
      <c r="E22" s="66">
        <f>IFERROR(__xludf.DUMMYFUNCTION("COUNTA(SPLIT(D22,"" ""))/COUNTA(SPLIT($B$22,"" ""))"),0.026694045174537988)</f>
        <v>0.02669404517</v>
      </c>
      <c r="F22" s="67">
        <v>3.0</v>
      </c>
      <c r="G22" s="67">
        <v>5.0</v>
      </c>
      <c r="H22" s="67">
        <v>5.0</v>
      </c>
      <c r="I22" s="67">
        <v>5.0</v>
      </c>
      <c r="J22" s="67">
        <v>1.0</v>
      </c>
      <c r="K22" s="68"/>
      <c r="L22" s="68"/>
      <c r="M22" s="68"/>
      <c r="N22" s="68"/>
      <c r="O22" s="68"/>
      <c r="P22" s="68"/>
      <c r="Q22" s="68"/>
      <c r="R22" s="68"/>
      <c r="S22" s="68"/>
      <c r="T22" s="68"/>
      <c r="U22" s="68"/>
      <c r="V22" s="68"/>
      <c r="W22" s="68"/>
      <c r="X22" s="68"/>
      <c r="Y22" s="68"/>
      <c r="Z22" s="68"/>
      <c r="AA22" s="68"/>
      <c r="AB22" s="68"/>
    </row>
    <row r="23" ht="225.0" customHeight="1">
      <c r="C23" s="7" t="s">
        <v>17</v>
      </c>
      <c r="D23" s="57" t="s">
        <v>52</v>
      </c>
      <c r="E23" s="55">
        <f>IFERROR(__xludf.DUMMYFUNCTION("COUNTA(SPLIT(D23,"" ""))/COUNTA(SPLIT($B$22,"" ""))"),0.19507186858316222)</f>
        <v>0.1950718686</v>
      </c>
      <c r="F23" s="58"/>
      <c r="G23" s="58"/>
      <c r="H23" s="58"/>
      <c r="I23" s="58"/>
      <c r="J23" s="58"/>
      <c r="K23" s="56"/>
      <c r="L23" s="56"/>
      <c r="M23" s="56"/>
      <c r="N23" s="56"/>
      <c r="O23" s="56"/>
      <c r="P23" s="56"/>
      <c r="Q23" s="56"/>
      <c r="R23" s="56"/>
      <c r="S23" s="56"/>
      <c r="T23" s="56"/>
      <c r="U23" s="56"/>
      <c r="V23" s="56"/>
      <c r="W23" s="56"/>
      <c r="X23" s="56"/>
      <c r="Y23" s="56"/>
      <c r="Z23" s="56"/>
      <c r="AA23" s="56"/>
      <c r="AB23" s="56"/>
    </row>
    <row r="24" ht="225.0" customHeight="1">
      <c r="C24" s="7" t="s">
        <v>18</v>
      </c>
      <c r="D24" s="54"/>
      <c r="E24" s="55">
        <f>IFERROR(__xludf.DUMMYFUNCTION("COUNTA(SPLIT(D24,"" ""))/COUNTA(SPLIT($B$22,"" ""))"),0.002053388090349076)</f>
        <v>0.00205338809</v>
      </c>
      <c r="F24" s="60"/>
      <c r="G24" s="60"/>
      <c r="H24" s="60"/>
      <c r="I24" s="60"/>
      <c r="J24" s="60"/>
      <c r="K24" s="56"/>
      <c r="L24" s="56"/>
      <c r="M24" s="56"/>
      <c r="N24" s="56"/>
      <c r="O24" s="56"/>
      <c r="P24" s="56"/>
      <c r="Q24" s="56"/>
      <c r="R24" s="56"/>
      <c r="S24" s="56"/>
      <c r="T24" s="56"/>
      <c r="U24" s="56"/>
      <c r="V24" s="56"/>
      <c r="W24" s="56"/>
      <c r="X24" s="56"/>
      <c r="Y24" s="56"/>
      <c r="Z24" s="56"/>
      <c r="AA24" s="56"/>
      <c r="AB24" s="56"/>
    </row>
    <row r="25" ht="225.0" customHeight="1">
      <c r="C25" s="7" t="s">
        <v>19</v>
      </c>
      <c r="D25" s="54"/>
      <c r="E25" s="55">
        <f>IFERROR(__xludf.DUMMYFUNCTION("COUNTA(SPLIT(D25,"" ""))/COUNTA(SPLIT($B$22,"" ""))"),0.002053388090349076)</f>
        <v>0.00205338809</v>
      </c>
      <c r="F25" s="58"/>
      <c r="G25" s="58"/>
      <c r="H25" s="58"/>
      <c r="I25" s="58"/>
      <c r="J25" s="58"/>
      <c r="K25" s="56"/>
      <c r="L25" s="56"/>
      <c r="M25" s="56"/>
      <c r="N25" s="56"/>
      <c r="O25" s="56"/>
      <c r="P25" s="56"/>
      <c r="Q25" s="56"/>
      <c r="R25" s="56"/>
      <c r="S25" s="56"/>
      <c r="T25" s="56"/>
      <c r="U25" s="56"/>
      <c r="V25" s="56"/>
      <c r="W25" s="56"/>
      <c r="X25" s="56"/>
      <c r="Y25" s="56"/>
      <c r="Z25" s="56"/>
      <c r="AA25" s="56"/>
      <c r="AB25" s="56"/>
    </row>
    <row r="26">
      <c r="A26" s="59"/>
      <c r="B26" s="56"/>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ht="225.0" customHeight="1">
      <c r="A27" s="52" t="s">
        <v>53</v>
      </c>
      <c r="B27" s="53" t="s">
        <v>54</v>
      </c>
      <c r="C27" s="7" t="s">
        <v>16</v>
      </c>
      <c r="D27" s="54" t="s">
        <v>55</v>
      </c>
      <c r="E27" s="55">
        <f>IFERROR(__xludf.DUMMYFUNCTION("COUNTA(SPLIT(D27,"" ""))/COUNTA(SPLIT($B$27,"" ""))"),0.029595015576323987)</f>
        <v>0.02959501558</v>
      </c>
      <c r="F27" s="7">
        <v>4.0</v>
      </c>
      <c r="G27" s="7">
        <v>5.0</v>
      </c>
      <c r="H27" s="7">
        <v>5.0</v>
      </c>
      <c r="I27" s="7">
        <v>5.0</v>
      </c>
      <c r="J27" s="7">
        <v>2.0</v>
      </c>
      <c r="K27" s="56"/>
      <c r="L27" s="56"/>
      <c r="M27" s="56"/>
      <c r="N27" s="56"/>
      <c r="O27" s="56"/>
      <c r="P27" s="56"/>
      <c r="Q27" s="56"/>
      <c r="R27" s="56"/>
      <c r="S27" s="56"/>
      <c r="T27" s="56"/>
      <c r="U27" s="56"/>
      <c r="V27" s="56"/>
      <c r="W27" s="56"/>
      <c r="X27" s="56"/>
      <c r="Y27" s="56"/>
      <c r="Z27" s="56"/>
      <c r="AA27" s="56"/>
      <c r="AB27" s="56"/>
    </row>
    <row r="28" ht="225.0" customHeight="1">
      <c r="C28" s="7" t="s">
        <v>17</v>
      </c>
      <c r="D28" s="57" t="s">
        <v>56</v>
      </c>
      <c r="E28" s="55">
        <f>IFERROR(__xludf.DUMMYFUNCTION("COUNTA(SPLIT(D28,"" ""))/COUNTA(SPLIT($B$27,"" ""))"),0.2118380062305296)</f>
        <v>0.2118380062</v>
      </c>
      <c r="F28" s="58"/>
      <c r="G28" s="58"/>
      <c r="H28" s="58"/>
      <c r="I28" s="58"/>
      <c r="J28" s="58"/>
      <c r="K28" s="56"/>
      <c r="L28" s="56"/>
      <c r="M28" s="56"/>
      <c r="N28" s="56"/>
      <c r="O28" s="56"/>
      <c r="P28" s="56"/>
      <c r="Q28" s="56"/>
      <c r="R28" s="56"/>
      <c r="S28" s="56"/>
      <c r="T28" s="56"/>
      <c r="U28" s="56"/>
      <c r="V28" s="56"/>
      <c r="W28" s="56"/>
      <c r="X28" s="56"/>
      <c r="Y28" s="56"/>
      <c r="Z28" s="56"/>
      <c r="AA28" s="56"/>
      <c r="AB28" s="56"/>
    </row>
    <row r="29" ht="225.0" customHeight="1">
      <c r="C29" s="7" t="s">
        <v>18</v>
      </c>
      <c r="D29" s="54"/>
      <c r="E29" s="55">
        <f>IFERROR(__xludf.DUMMYFUNCTION("COUNTA(SPLIT(D29,"" ""))/COUNTA(SPLIT($B$27,"" ""))"),0.001557632398753894)</f>
        <v>0.001557632399</v>
      </c>
      <c r="F29" s="7"/>
      <c r="G29" s="7"/>
      <c r="H29" s="7"/>
      <c r="I29" s="7"/>
      <c r="J29" s="7"/>
      <c r="K29" s="56"/>
      <c r="L29" s="56"/>
      <c r="M29" s="56"/>
      <c r="N29" s="56"/>
      <c r="O29" s="56"/>
      <c r="P29" s="56"/>
      <c r="Q29" s="56"/>
      <c r="R29" s="56"/>
      <c r="S29" s="56"/>
      <c r="T29" s="56"/>
      <c r="U29" s="56"/>
      <c r="V29" s="56"/>
      <c r="W29" s="56"/>
      <c r="X29" s="56"/>
      <c r="Y29" s="56"/>
      <c r="Z29" s="56"/>
      <c r="AA29" s="56"/>
      <c r="AB29" s="56"/>
    </row>
    <row r="30" ht="225.0" customHeight="1">
      <c r="C30" s="7" t="s">
        <v>19</v>
      </c>
      <c r="D30" s="54"/>
      <c r="E30" s="55">
        <f>IFERROR(__xludf.DUMMYFUNCTION("COUNTA(SPLIT(D30,"" ""))/COUNTA(SPLIT($B$27,"" ""))"),0.001557632398753894)</f>
        <v>0.001557632399</v>
      </c>
      <c r="F30" s="58"/>
      <c r="G30" s="58"/>
      <c r="H30" s="58"/>
      <c r="I30" s="58"/>
      <c r="J30" s="58"/>
      <c r="K30" s="56"/>
      <c r="L30" s="56"/>
      <c r="M30" s="56"/>
      <c r="N30" s="56"/>
      <c r="O30" s="56"/>
      <c r="P30" s="56"/>
      <c r="Q30" s="56"/>
      <c r="R30" s="56"/>
      <c r="S30" s="56"/>
      <c r="T30" s="56"/>
      <c r="U30" s="56"/>
      <c r="V30" s="56"/>
      <c r="W30" s="56"/>
      <c r="X30" s="56"/>
      <c r="Y30" s="56"/>
      <c r="Z30" s="56"/>
      <c r="AA30" s="56"/>
      <c r="AB30" s="56"/>
    </row>
    <row r="31" ht="15.75" customHeight="1">
      <c r="A31" s="59"/>
      <c r="B31" s="56"/>
      <c r="C31" s="60"/>
      <c r="D31" s="61"/>
      <c r="E31" s="55"/>
      <c r="F31" s="60"/>
      <c r="G31" s="60"/>
      <c r="H31" s="60"/>
      <c r="I31" s="60"/>
      <c r="J31" s="60"/>
      <c r="K31" s="56"/>
      <c r="L31" s="56"/>
      <c r="M31" s="56"/>
      <c r="N31" s="56"/>
      <c r="O31" s="56"/>
      <c r="P31" s="56"/>
      <c r="Q31" s="56"/>
      <c r="R31" s="56"/>
      <c r="S31" s="56"/>
      <c r="T31" s="56"/>
      <c r="U31" s="56"/>
      <c r="V31" s="56"/>
      <c r="W31" s="56"/>
      <c r="X31" s="56"/>
      <c r="Y31" s="56"/>
      <c r="Z31" s="56"/>
      <c r="AA31" s="56"/>
      <c r="AB31" s="56"/>
    </row>
    <row r="32" ht="225.0" customHeight="1">
      <c r="A32" s="62" t="s">
        <v>57</v>
      </c>
      <c r="B32" s="63" t="s">
        <v>58</v>
      </c>
      <c r="C32" s="64" t="s">
        <v>16</v>
      </c>
      <c r="D32" s="65" t="s">
        <v>59</v>
      </c>
      <c r="E32" s="66">
        <f>IFERROR(__xludf.DUMMYFUNCTION("COUNTA(SPLIT(D32,"" ""))/COUNTA(SPLIT($B$32,"" ""))"),0.009509875640087784)</f>
        <v>0.00950987564</v>
      </c>
      <c r="F32" s="67">
        <v>5.0</v>
      </c>
      <c r="G32" s="67">
        <v>5.0</v>
      </c>
      <c r="H32" s="67">
        <v>5.0</v>
      </c>
      <c r="I32" s="67">
        <v>5.0</v>
      </c>
      <c r="J32" s="67">
        <v>2.0</v>
      </c>
      <c r="K32" s="68"/>
      <c r="L32" s="68"/>
      <c r="M32" s="68"/>
      <c r="N32" s="68"/>
      <c r="O32" s="68"/>
      <c r="P32" s="68"/>
      <c r="Q32" s="68"/>
      <c r="R32" s="68"/>
      <c r="S32" s="68"/>
      <c r="T32" s="68"/>
      <c r="U32" s="68"/>
      <c r="V32" s="68"/>
      <c r="W32" s="68"/>
      <c r="X32" s="68"/>
      <c r="Y32" s="68"/>
      <c r="Z32" s="68"/>
      <c r="AA32" s="68"/>
      <c r="AB32" s="68"/>
    </row>
    <row r="33" ht="225.0" customHeight="1">
      <c r="C33" s="7" t="s">
        <v>17</v>
      </c>
      <c r="D33" s="57" t="s">
        <v>60</v>
      </c>
      <c r="E33" s="55">
        <f>IFERROR(__xludf.DUMMYFUNCTION("COUNTA(SPLIT(D33,"" ""))/COUNTA(SPLIT($B$32,"" ""))"),0.23628383321141186)</f>
        <v>0.2362838332</v>
      </c>
      <c r="F33" s="7"/>
      <c r="G33" s="7"/>
      <c r="H33" s="7"/>
      <c r="I33" s="7"/>
      <c r="J33" s="7"/>
      <c r="K33" s="56"/>
      <c r="L33" s="56"/>
      <c r="M33" s="56"/>
      <c r="N33" s="56"/>
      <c r="O33" s="56"/>
      <c r="P33" s="56"/>
      <c r="Q33" s="56"/>
      <c r="R33" s="56"/>
      <c r="S33" s="56"/>
      <c r="T33" s="56"/>
      <c r="U33" s="56"/>
      <c r="V33" s="56"/>
      <c r="W33" s="56"/>
      <c r="X33" s="56"/>
      <c r="Y33" s="56"/>
      <c r="Z33" s="56"/>
      <c r="AA33" s="56"/>
      <c r="AB33" s="56"/>
    </row>
    <row r="34" ht="225.0" customHeight="1">
      <c r="C34" s="7" t="s">
        <v>18</v>
      </c>
      <c r="D34" s="54"/>
      <c r="E34" s="55">
        <f>IFERROR(__xludf.DUMMYFUNCTION("COUNTA(SPLIT(D34,"" ""))/COUNTA(SPLIT($B$32,"" ""))"),7.31528895391368E-4)</f>
        <v>0.0007315288954</v>
      </c>
      <c r="F34" s="7"/>
      <c r="G34" s="7"/>
      <c r="H34" s="7"/>
      <c r="I34" s="7"/>
      <c r="J34" s="7"/>
      <c r="K34" s="56"/>
      <c r="L34" s="56"/>
      <c r="M34" s="56"/>
      <c r="N34" s="56"/>
      <c r="O34" s="56"/>
      <c r="P34" s="56"/>
      <c r="Q34" s="56"/>
      <c r="R34" s="56"/>
      <c r="S34" s="56"/>
      <c r="T34" s="56"/>
      <c r="U34" s="56"/>
      <c r="V34" s="56"/>
      <c r="W34" s="56"/>
      <c r="X34" s="56"/>
      <c r="Y34" s="56"/>
      <c r="Z34" s="56"/>
      <c r="AA34" s="56"/>
      <c r="AB34" s="56"/>
    </row>
    <row r="35" ht="225.0" customHeight="1">
      <c r="C35" s="7" t="s">
        <v>19</v>
      </c>
      <c r="D35" s="54"/>
      <c r="E35" s="55">
        <f>IFERROR(__xludf.DUMMYFUNCTION("COUNTA(SPLIT(D35,"" ""))/COUNTA(SPLIT($B$32,"" ""))"),7.31528895391368E-4)</f>
        <v>0.0007315288954</v>
      </c>
      <c r="F35" s="58"/>
      <c r="G35" s="58"/>
      <c r="H35" s="58"/>
      <c r="I35" s="58"/>
      <c r="J35" s="58"/>
      <c r="K35" s="56"/>
      <c r="L35" s="56"/>
      <c r="M35" s="56"/>
      <c r="N35" s="56"/>
      <c r="O35" s="56"/>
      <c r="P35" s="56"/>
      <c r="Q35" s="56"/>
      <c r="R35" s="56"/>
      <c r="S35" s="56"/>
      <c r="T35" s="56"/>
      <c r="U35" s="56"/>
      <c r="V35" s="56"/>
      <c r="W35" s="56"/>
      <c r="X35" s="56"/>
      <c r="Y35" s="56"/>
      <c r="Z35" s="56"/>
      <c r="AA35" s="56"/>
      <c r="AB35" s="56"/>
    </row>
    <row r="36" ht="15.75" customHeight="1">
      <c r="A36" s="59"/>
      <c r="B36" s="56"/>
      <c r="C36" s="60"/>
      <c r="D36" s="61"/>
      <c r="E36" s="55"/>
      <c r="F36" s="60"/>
      <c r="G36" s="60"/>
      <c r="H36" s="60"/>
      <c r="I36" s="60"/>
      <c r="J36" s="60"/>
      <c r="K36" s="56"/>
      <c r="L36" s="56"/>
      <c r="M36" s="56"/>
      <c r="N36" s="56"/>
      <c r="O36" s="56"/>
      <c r="P36" s="56"/>
      <c r="Q36" s="56"/>
      <c r="R36" s="56"/>
      <c r="S36" s="56"/>
      <c r="T36" s="56"/>
      <c r="U36" s="56"/>
      <c r="V36" s="56"/>
      <c r="W36" s="56"/>
      <c r="X36" s="56"/>
      <c r="Y36" s="56"/>
      <c r="Z36" s="56"/>
      <c r="AA36" s="56"/>
      <c r="AB36" s="56"/>
    </row>
    <row r="37" ht="225.0" customHeight="1">
      <c r="A37" s="62" t="s">
        <v>61</v>
      </c>
      <c r="B37" s="63" t="s">
        <v>62</v>
      </c>
      <c r="C37" s="64" t="s">
        <v>16</v>
      </c>
      <c r="D37" s="65" t="s">
        <v>63</v>
      </c>
      <c r="E37" s="66">
        <f>IFERROR(__xludf.DUMMYFUNCTION("COUNTA(SPLIT(D37,"" ""))/COUNTA(SPLIT($B$37,"" ""))"),0.02357320099255583)</f>
        <v>0.02357320099</v>
      </c>
      <c r="F37" s="67">
        <v>4.0</v>
      </c>
      <c r="G37" s="67">
        <v>5.0</v>
      </c>
      <c r="H37" s="67">
        <v>5.0</v>
      </c>
      <c r="I37" s="67">
        <v>5.0</v>
      </c>
      <c r="J37" s="67">
        <v>2.0</v>
      </c>
      <c r="K37" s="68"/>
      <c r="L37" s="68"/>
      <c r="M37" s="68"/>
      <c r="N37" s="68"/>
      <c r="O37" s="68"/>
      <c r="P37" s="68"/>
      <c r="Q37" s="68"/>
      <c r="R37" s="68"/>
      <c r="S37" s="68"/>
      <c r="T37" s="68"/>
      <c r="U37" s="68"/>
      <c r="V37" s="68"/>
      <c r="W37" s="68"/>
      <c r="X37" s="68"/>
      <c r="Y37" s="68"/>
      <c r="Z37" s="68"/>
      <c r="AA37" s="68"/>
      <c r="AB37" s="68"/>
    </row>
    <row r="38" ht="225.0" customHeight="1">
      <c r="C38" s="7" t="s">
        <v>17</v>
      </c>
      <c r="D38" s="57" t="s">
        <v>64</v>
      </c>
      <c r="E38" s="55">
        <f>IFERROR(__xludf.DUMMYFUNCTION("COUNTA(SPLIT(D38,"" ""))/COUNTA(SPLIT($B$37,"" ""))"),0.12965260545905707)</f>
        <v>0.1296526055</v>
      </c>
      <c r="F38" s="58"/>
      <c r="G38" s="58"/>
      <c r="H38" s="58"/>
      <c r="I38" s="58"/>
      <c r="J38" s="58"/>
      <c r="K38" s="56"/>
      <c r="L38" s="56"/>
      <c r="M38" s="56"/>
      <c r="N38" s="56"/>
      <c r="O38" s="56"/>
      <c r="P38" s="56"/>
      <c r="Q38" s="56"/>
      <c r="R38" s="56"/>
      <c r="S38" s="56"/>
      <c r="T38" s="56"/>
      <c r="U38" s="56"/>
      <c r="V38" s="56"/>
      <c r="W38" s="56"/>
      <c r="X38" s="56"/>
      <c r="Y38" s="56"/>
      <c r="Z38" s="56"/>
      <c r="AA38" s="56"/>
      <c r="AB38" s="56"/>
    </row>
    <row r="39" ht="225.0" customHeight="1">
      <c r="C39" s="7" t="s">
        <v>18</v>
      </c>
      <c r="D39" s="54"/>
      <c r="E39" s="55">
        <f>IFERROR(__xludf.DUMMYFUNCTION("COUNTA(SPLIT(D39,"" ""))/COUNTA(SPLIT($B$37,"" ""))"),6.203473945409429E-4)</f>
        <v>0.0006203473945</v>
      </c>
      <c r="F39" s="7"/>
      <c r="G39" s="7"/>
      <c r="H39" s="7"/>
      <c r="I39" s="7"/>
      <c r="J39" s="7"/>
      <c r="K39" s="56"/>
      <c r="L39" s="56"/>
      <c r="M39" s="56"/>
      <c r="N39" s="56"/>
      <c r="O39" s="56"/>
      <c r="P39" s="56"/>
      <c r="Q39" s="56"/>
      <c r="R39" s="56"/>
      <c r="S39" s="56"/>
      <c r="T39" s="56"/>
      <c r="U39" s="56"/>
      <c r="V39" s="56"/>
      <c r="W39" s="56"/>
      <c r="X39" s="56"/>
      <c r="Y39" s="56"/>
      <c r="Z39" s="56"/>
      <c r="AA39" s="56"/>
      <c r="AB39" s="56"/>
    </row>
    <row r="40" ht="225.0" customHeight="1">
      <c r="C40" s="7" t="s">
        <v>19</v>
      </c>
      <c r="D40" s="54"/>
      <c r="E40" s="55">
        <f>IFERROR(__xludf.DUMMYFUNCTION("COUNTA(SPLIT(D40,"" ""))/COUNTA(SPLIT($B$37,"" ""))"),6.203473945409429E-4)</f>
        <v>0.0006203473945</v>
      </c>
      <c r="F40" s="58"/>
      <c r="G40" s="58"/>
      <c r="H40" s="58"/>
      <c r="I40" s="58"/>
      <c r="J40" s="58"/>
      <c r="K40" s="56"/>
      <c r="L40" s="56"/>
      <c r="M40" s="56"/>
      <c r="N40" s="56"/>
      <c r="O40" s="56"/>
      <c r="P40" s="56"/>
      <c r="Q40" s="56"/>
      <c r="R40" s="56"/>
      <c r="S40" s="56"/>
      <c r="T40" s="56"/>
      <c r="U40" s="56"/>
      <c r="V40" s="56"/>
      <c r="W40" s="56"/>
      <c r="X40" s="56"/>
      <c r="Y40" s="56"/>
      <c r="Z40" s="56"/>
      <c r="AA40" s="56"/>
      <c r="AB40" s="56"/>
    </row>
    <row r="41" ht="15.75" customHeight="1">
      <c r="A41" s="59"/>
      <c r="B41" s="56"/>
      <c r="C41" s="60"/>
      <c r="D41" s="61"/>
      <c r="E41" s="55"/>
      <c r="F41" s="60"/>
      <c r="G41" s="60"/>
      <c r="H41" s="60"/>
      <c r="I41" s="60"/>
      <c r="J41" s="60"/>
      <c r="K41" s="56"/>
      <c r="L41" s="56"/>
      <c r="M41" s="56"/>
      <c r="N41" s="56"/>
      <c r="O41" s="56"/>
      <c r="P41" s="56"/>
      <c r="Q41" s="56"/>
      <c r="R41" s="56"/>
      <c r="S41" s="56"/>
      <c r="T41" s="56"/>
      <c r="U41" s="56"/>
      <c r="V41" s="56"/>
      <c r="W41" s="56"/>
      <c r="X41" s="56"/>
      <c r="Y41" s="56"/>
      <c r="Z41" s="56"/>
      <c r="AA41" s="56"/>
      <c r="AB41" s="56"/>
    </row>
    <row r="42" ht="225.0" customHeight="1">
      <c r="A42" s="62" t="s">
        <v>65</v>
      </c>
      <c r="B42" s="63" t="s">
        <v>66</v>
      </c>
      <c r="C42" s="64" t="s">
        <v>16</v>
      </c>
      <c r="D42" s="65" t="s">
        <v>67</v>
      </c>
      <c r="E42" s="66">
        <f>IFERROR(__xludf.DUMMYFUNCTION("COUNTA(SPLIT(D42,"" ""))/COUNTA(SPLIT($B$42,"" ""))"),0.01486988847583643)</f>
        <v>0.01486988848</v>
      </c>
      <c r="F42" s="67">
        <v>5.0</v>
      </c>
      <c r="G42" s="67">
        <v>5.0</v>
      </c>
      <c r="H42" s="67">
        <v>5.0</v>
      </c>
      <c r="I42" s="67">
        <v>5.0</v>
      </c>
      <c r="J42" s="67">
        <v>2.0</v>
      </c>
      <c r="K42" s="68"/>
      <c r="L42" s="68"/>
      <c r="M42" s="68"/>
      <c r="N42" s="68"/>
      <c r="O42" s="68"/>
      <c r="P42" s="68"/>
      <c r="Q42" s="68"/>
      <c r="R42" s="68"/>
      <c r="S42" s="68"/>
      <c r="T42" s="68"/>
      <c r="U42" s="68"/>
      <c r="V42" s="68"/>
      <c r="W42" s="68"/>
      <c r="X42" s="68"/>
      <c r="Y42" s="68"/>
      <c r="Z42" s="68"/>
      <c r="AA42" s="68"/>
      <c r="AB42" s="68"/>
    </row>
    <row r="43" ht="225.0" customHeight="1">
      <c r="C43" s="7" t="s">
        <v>17</v>
      </c>
      <c r="D43" s="57" t="s">
        <v>68</v>
      </c>
      <c r="E43" s="55">
        <f>IFERROR(__xludf.DUMMYFUNCTION("COUNTA(SPLIT(D43,"" ""))/COUNTA(SPLIT($B$42,"" ""))"),0.08550185873605948)</f>
        <v>0.08550185874</v>
      </c>
      <c r="F43" s="58"/>
      <c r="G43" s="58"/>
      <c r="H43" s="58"/>
      <c r="I43" s="58"/>
      <c r="J43" s="58"/>
      <c r="K43" s="56"/>
      <c r="L43" s="56"/>
      <c r="M43" s="56"/>
      <c r="N43" s="56"/>
      <c r="O43" s="56"/>
      <c r="P43" s="56"/>
      <c r="Q43" s="56"/>
      <c r="R43" s="56"/>
      <c r="S43" s="56"/>
      <c r="T43" s="56"/>
      <c r="U43" s="56"/>
      <c r="V43" s="56"/>
      <c r="W43" s="56"/>
      <c r="X43" s="56"/>
      <c r="Y43" s="56"/>
      <c r="Z43" s="56"/>
      <c r="AA43" s="56"/>
      <c r="AB43" s="56"/>
    </row>
    <row r="44" ht="225.0" customHeight="1">
      <c r="C44" s="7" t="s">
        <v>18</v>
      </c>
      <c r="D44" s="54"/>
      <c r="E44" s="55">
        <f>IFERROR(__xludf.DUMMYFUNCTION("COUNTA(SPLIT(D44,"" ""))/COUNTA(SPLIT($B$42,"" ""))"),9.293680297397769E-4)</f>
        <v>0.0009293680297</v>
      </c>
      <c r="F44" s="7"/>
      <c r="G44" s="7"/>
      <c r="H44" s="7"/>
      <c r="I44" s="7"/>
      <c r="J44" s="7"/>
      <c r="K44" s="56"/>
      <c r="L44" s="56"/>
      <c r="M44" s="56"/>
      <c r="N44" s="56"/>
      <c r="O44" s="56"/>
      <c r="P44" s="56"/>
      <c r="Q44" s="56"/>
      <c r="R44" s="56"/>
      <c r="S44" s="56"/>
      <c r="T44" s="56"/>
      <c r="U44" s="56"/>
      <c r="V44" s="56"/>
      <c r="W44" s="56"/>
      <c r="X44" s="56"/>
      <c r="Y44" s="56"/>
      <c r="Z44" s="56"/>
      <c r="AA44" s="56"/>
      <c r="AB44" s="56"/>
    </row>
    <row r="45" ht="225.0" customHeight="1">
      <c r="C45" s="7" t="s">
        <v>19</v>
      </c>
      <c r="D45" s="54"/>
      <c r="E45" s="55">
        <f>IFERROR(__xludf.DUMMYFUNCTION("COUNTA(SPLIT(D45,"" ""))/COUNTA(SPLIT($B$42,"" ""))"),9.293680297397769E-4)</f>
        <v>0.0009293680297</v>
      </c>
      <c r="F45" s="58"/>
      <c r="G45" s="58"/>
      <c r="H45" s="58"/>
      <c r="I45" s="58"/>
      <c r="J45" s="58"/>
      <c r="K45" s="56"/>
      <c r="L45" s="56"/>
      <c r="M45" s="56"/>
      <c r="N45" s="56"/>
      <c r="O45" s="56"/>
      <c r="P45" s="56"/>
      <c r="Q45" s="56"/>
      <c r="R45" s="56"/>
      <c r="S45" s="56"/>
      <c r="T45" s="56"/>
      <c r="U45" s="56"/>
      <c r="V45" s="56"/>
      <c r="W45" s="56"/>
      <c r="X45" s="56"/>
      <c r="Y45" s="56"/>
      <c r="Z45" s="56"/>
      <c r="AA45" s="56"/>
      <c r="AB45" s="56"/>
    </row>
    <row r="46" ht="15.75" customHeight="1">
      <c r="A46" s="59"/>
      <c r="B46" s="56"/>
      <c r="C46" s="60"/>
      <c r="D46" s="61"/>
      <c r="E46" s="55"/>
      <c r="F46" s="60"/>
      <c r="G46" s="60"/>
      <c r="H46" s="60"/>
      <c r="I46" s="60"/>
      <c r="J46" s="60"/>
      <c r="K46" s="56"/>
      <c r="L46" s="56"/>
      <c r="M46" s="56"/>
      <c r="N46" s="56"/>
      <c r="O46" s="56"/>
      <c r="P46" s="56"/>
      <c r="Q46" s="56"/>
      <c r="R46" s="56"/>
      <c r="S46" s="56"/>
      <c r="T46" s="56"/>
      <c r="U46" s="56"/>
      <c r="V46" s="56"/>
      <c r="W46" s="56"/>
      <c r="X46" s="56"/>
      <c r="Y46" s="56"/>
      <c r="Z46" s="56"/>
      <c r="AA46" s="56"/>
      <c r="AB46" s="56"/>
    </row>
    <row r="47" ht="225.0" customHeight="1">
      <c r="A47" s="62" t="s">
        <v>69</v>
      </c>
      <c r="B47" s="63" t="s">
        <v>70</v>
      </c>
      <c r="C47" s="64" t="s">
        <v>16</v>
      </c>
      <c r="D47" s="65" t="s">
        <v>71</v>
      </c>
      <c r="E47" s="66">
        <f>IFERROR(__xludf.DUMMYFUNCTION("COUNTA(SPLIT(D47,"" ""))/COUNTA(SPLIT($B$47,"" ""))"),0.023529411764705882)</f>
        <v>0.02352941176</v>
      </c>
      <c r="F47" s="67">
        <v>4.0</v>
      </c>
      <c r="G47" s="67">
        <v>5.0</v>
      </c>
      <c r="H47" s="67">
        <v>5.0</v>
      </c>
      <c r="I47" s="67">
        <v>5.0</v>
      </c>
      <c r="J47" s="67">
        <v>2.0</v>
      </c>
      <c r="K47" s="68"/>
      <c r="L47" s="68"/>
      <c r="M47" s="68"/>
      <c r="N47" s="68"/>
      <c r="O47" s="68"/>
      <c r="P47" s="68"/>
      <c r="Q47" s="68"/>
      <c r="R47" s="68"/>
      <c r="S47" s="68"/>
      <c r="T47" s="68"/>
      <c r="U47" s="68"/>
      <c r="V47" s="68"/>
      <c r="W47" s="68"/>
      <c r="X47" s="68"/>
      <c r="Y47" s="68"/>
      <c r="Z47" s="68"/>
      <c r="AA47" s="68"/>
      <c r="AB47" s="68"/>
    </row>
    <row r="48" ht="225.0" customHeight="1">
      <c r="C48" s="7" t="s">
        <v>17</v>
      </c>
      <c r="D48" s="57" t="s">
        <v>72</v>
      </c>
      <c r="E48" s="55">
        <f>IFERROR(__xludf.DUMMYFUNCTION("COUNTA(SPLIT(D48,"" ""))/COUNTA(SPLIT($B$47,"" ""))"),0.20784313725490197)</f>
        <v>0.2078431373</v>
      </c>
      <c r="F48" s="58"/>
      <c r="G48" s="58"/>
      <c r="H48" s="58"/>
      <c r="I48" s="58"/>
      <c r="J48" s="58"/>
      <c r="K48" s="56"/>
      <c r="L48" s="56"/>
      <c r="M48" s="56"/>
      <c r="N48" s="56"/>
      <c r="O48" s="56"/>
      <c r="P48" s="56"/>
      <c r="Q48" s="56"/>
      <c r="R48" s="56"/>
      <c r="S48" s="56"/>
      <c r="T48" s="56"/>
      <c r="U48" s="56"/>
      <c r="V48" s="56"/>
      <c r="W48" s="56"/>
      <c r="X48" s="56"/>
      <c r="Y48" s="56"/>
      <c r="Z48" s="56"/>
      <c r="AA48" s="56"/>
      <c r="AB48" s="56"/>
    </row>
    <row r="49" ht="225.0" customHeight="1">
      <c r="C49" s="7" t="s">
        <v>18</v>
      </c>
      <c r="D49" s="54"/>
      <c r="E49" s="55">
        <f>IFERROR(__xludf.DUMMYFUNCTION("COUNTA(SPLIT(D49,"" ""))/COUNTA(SPLIT($B$47,"" ""))"),0.00196078431372549)</f>
        <v>0.001960784314</v>
      </c>
      <c r="F49" s="60"/>
      <c r="G49" s="60"/>
      <c r="H49" s="60"/>
      <c r="I49" s="60"/>
      <c r="J49" s="60"/>
      <c r="K49" s="56"/>
      <c r="L49" s="56"/>
      <c r="M49" s="56"/>
      <c r="N49" s="56"/>
      <c r="O49" s="56"/>
      <c r="P49" s="56"/>
      <c r="Q49" s="56"/>
      <c r="R49" s="56"/>
      <c r="S49" s="56"/>
      <c r="T49" s="56"/>
      <c r="U49" s="56"/>
      <c r="V49" s="56"/>
      <c r="W49" s="56"/>
      <c r="X49" s="56"/>
      <c r="Y49" s="56"/>
      <c r="Z49" s="56"/>
      <c r="AA49" s="56"/>
      <c r="AB49" s="56"/>
    </row>
    <row r="50" ht="225.0" customHeight="1">
      <c r="C50" s="7" t="s">
        <v>19</v>
      </c>
      <c r="D50" s="54"/>
      <c r="E50" s="55">
        <f>IFERROR(__xludf.DUMMYFUNCTION("COUNTA(SPLIT(D50,"" ""))/COUNTA(SPLIT($B$47,"" ""))"),0.00196078431372549)</f>
        <v>0.001960784314</v>
      </c>
      <c r="F50" s="58"/>
      <c r="G50" s="58"/>
      <c r="H50" s="58"/>
      <c r="I50" s="58"/>
      <c r="J50" s="58"/>
      <c r="K50" s="56"/>
      <c r="L50" s="56"/>
      <c r="M50" s="56"/>
      <c r="N50" s="56"/>
      <c r="O50" s="56"/>
      <c r="P50" s="56"/>
      <c r="Q50" s="56"/>
      <c r="R50" s="56"/>
      <c r="S50" s="56"/>
      <c r="T50" s="56"/>
      <c r="U50" s="56"/>
      <c r="V50" s="56"/>
      <c r="W50" s="56"/>
      <c r="X50" s="56"/>
      <c r="Y50" s="56"/>
      <c r="Z50" s="56"/>
      <c r="AA50" s="56"/>
      <c r="AB50" s="56"/>
    </row>
    <row r="51">
      <c r="A51" s="59"/>
      <c r="B51" s="56"/>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59"/>
      <c r="B52" s="56"/>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59"/>
      <c r="B53" s="56"/>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59"/>
      <c r="B54" s="56"/>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59"/>
      <c r="B55" s="56"/>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59"/>
      <c r="B56" s="56"/>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59"/>
      <c r="B57" s="56"/>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59"/>
      <c r="B58" s="56"/>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59"/>
      <c r="B59" s="56"/>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59"/>
      <c r="B60" s="56"/>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59"/>
      <c r="B61" s="56"/>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59"/>
      <c r="B62" s="56"/>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59"/>
      <c r="B63" s="56"/>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59"/>
      <c r="B64" s="56"/>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59"/>
      <c r="B65" s="56"/>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59"/>
      <c r="B66" s="56"/>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59"/>
      <c r="B67" s="56"/>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59"/>
      <c r="B68" s="56"/>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59"/>
      <c r="B69" s="56"/>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59"/>
      <c r="B70" s="56"/>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59"/>
      <c r="B71" s="56"/>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59"/>
      <c r="B72" s="56"/>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59"/>
      <c r="B73" s="56"/>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59"/>
      <c r="B74" s="56"/>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59"/>
      <c r="B75" s="56"/>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59"/>
      <c r="B76" s="56"/>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59"/>
      <c r="B77" s="56"/>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59"/>
      <c r="B78" s="56"/>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59"/>
      <c r="B79" s="56"/>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59"/>
      <c r="B80" s="56"/>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59"/>
      <c r="B81" s="56"/>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59"/>
      <c r="B82" s="56"/>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59"/>
      <c r="B83" s="56"/>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59"/>
      <c r="B84" s="56"/>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59"/>
      <c r="B85" s="56"/>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59"/>
      <c r="B86" s="56"/>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59"/>
      <c r="B87" s="56"/>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59"/>
      <c r="B88" s="56"/>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59"/>
      <c r="B89" s="56"/>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59"/>
      <c r="B90" s="56"/>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59"/>
      <c r="B91" s="56"/>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59"/>
      <c r="B92" s="56"/>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59"/>
      <c r="B93" s="56"/>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59"/>
      <c r="B94" s="56"/>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59"/>
      <c r="B95" s="56"/>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59"/>
      <c r="B96" s="56"/>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59"/>
      <c r="B97" s="56"/>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59"/>
      <c r="B98" s="56"/>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59"/>
      <c r="B99" s="56"/>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59"/>
      <c r="B100" s="56"/>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59"/>
      <c r="B101" s="56"/>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59"/>
      <c r="B102" s="56"/>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59"/>
      <c r="B103" s="56"/>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59"/>
      <c r="B104" s="56"/>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59"/>
      <c r="B105" s="56"/>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59"/>
      <c r="B106" s="56"/>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59"/>
      <c r="B107" s="56"/>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59"/>
      <c r="B108" s="56"/>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59"/>
      <c r="B109" s="56"/>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59"/>
      <c r="B110" s="56"/>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59"/>
      <c r="B111" s="56"/>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59"/>
      <c r="B112" s="56"/>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59"/>
      <c r="B113" s="56"/>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59"/>
      <c r="B114" s="56"/>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59"/>
      <c r="B115" s="56"/>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59"/>
      <c r="B116" s="56"/>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59"/>
      <c r="B117" s="56"/>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59"/>
      <c r="B118" s="56"/>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59"/>
      <c r="B119" s="56"/>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59"/>
      <c r="B120" s="56"/>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59"/>
      <c r="B121" s="56"/>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59"/>
      <c r="B122" s="56"/>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59"/>
      <c r="B123" s="56"/>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59"/>
      <c r="B124" s="56"/>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59"/>
      <c r="B125" s="56"/>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59"/>
      <c r="B126" s="56"/>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59"/>
      <c r="B127" s="56"/>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59"/>
      <c r="B128" s="56"/>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59"/>
      <c r="B129" s="56"/>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59"/>
      <c r="B130" s="56"/>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59"/>
      <c r="B131" s="56"/>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59"/>
      <c r="B132" s="56"/>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59"/>
      <c r="B133" s="56"/>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59"/>
      <c r="B134" s="56"/>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59"/>
      <c r="B135" s="56"/>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59"/>
      <c r="B136" s="56"/>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59"/>
      <c r="B137" s="56"/>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59"/>
      <c r="B138" s="56"/>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59"/>
      <c r="B139" s="56"/>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59"/>
      <c r="B140" s="56"/>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59"/>
      <c r="B141" s="56"/>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59"/>
      <c r="B142" s="56"/>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59"/>
      <c r="B143" s="56"/>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59"/>
      <c r="B144" s="56"/>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59"/>
      <c r="B145" s="56"/>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59"/>
      <c r="B146" s="56"/>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59"/>
      <c r="B147" s="56"/>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59"/>
      <c r="B148" s="56"/>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59"/>
      <c r="B149" s="56"/>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59"/>
      <c r="B150" s="56"/>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59"/>
      <c r="B151" s="56"/>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59"/>
      <c r="B152" s="56"/>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59"/>
      <c r="B153" s="56"/>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59"/>
      <c r="B154" s="56"/>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59"/>
      <c r="B155" s="56"/>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59"/>
      <c r="B156" s="56"/>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59"/>
      <c r="B157" s="56"/>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59"/>
      <c r="B158" s="56"/>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59"/>
      <c r="B159" s="56"/>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59"/>
      <c r="B160" s="56"/>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59"/>
      <c r="B161" s="56"/>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59"/>
      <c r="B162" s="56"/>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59"/>
      <c r="B163" s="56"/>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59"/>
      <c r="B164" s="56"/>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59"/>
      <c r="B165" s="56"/>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59"/>
      <c r="B166" s="56"/>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59"/>
      <c r="B167" s="56"/>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59"/>
      <c r="B168" s="56"/>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59"/>
      <c r="B169" s="56"/>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59"/>
      <c r="B170" s="56"/>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59"/>
      <c r="B171" s="56"/>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59"/>
      <c r="B172" s="56"/>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59"/>
      <c r="B173" s="56"/>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59"/>
      <c r="B174" s="56"/>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59"/>
      <c r="B175" s="56"/>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59"/>
      <c r="B176" s="56"/>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59"/>
      <c r="B177" s="56"/>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59"/>
      <c r="B178" s="56"/>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59"/>
      <c r="B179" s="56"/>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59"/>
      <c r="B180" s="56"/>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59"/>
      <c r="B181" s="56"/>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59"/>
      <c r="B182" s="56"/>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59"/>
      <c r="B183" s="56"/>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59"/>
      <c r="B184" s="56"/>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59"/>
      <c r="B185" s="56"/>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59"/>
      <c r="B186" s="56"/>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59"/>
      <c r="B187" s="56"/>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59"/>
      <c r="B188" s="56"/>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59"/>
      <c r="B189" s="56"/>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59"/>
      <c r="B190" s="56"/>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59"/>
      <c r="B191" s="56"/>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59"/>
      <c r="B192" s="56"/>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59"/>
      <c r="B193" s="56"/>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59"/>
      <c r="B194" s="56"/>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59"/>
      <c r="B195" s="56"/>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59"/>
      <c r="B196" s="56"/>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59"/>
      <c r="B197" s="56"/>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59"/>
      <c r="B198" s="56"/>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59"/>
      <c r="B199" s="56"/>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59"/>
      <c r="B200" s="56"/>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59"/>
      <c r="B201" s="56"/>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59"/>
      <c r="B202" s="56"/>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59"/>
      <c r="B203" s="56"/>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59"/>
      <c r="B204" s="56"/>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59"/>
      <c r="B205" s="56"/>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59"/>
      <c r="B206" s="56"/>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59"/>
      <c r="B207" s="56"/>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59"/>
      <c r="B208" s="56"/>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59"/>
      <c r="B209" s="56"/>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59"/>
      <c r="B210" s="56"/>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59"/>
      <c r="B211" s="56"/>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59"/>
      <c r="B212" s="56"/>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59"/>
      <c r="B213" s="56"/>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59"/>
      <c r="B214" s="56"/>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59"/>
      <c r="B215" s="56"/>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59"/>
      <c r="B216" s="56"/>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59"/>
      <c r="B217" s="56"/>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59"/>
      <c r="B218" s="56"/>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59"/>
      <c r="B219" s="56"/>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59"/>
      <c r="B220" s="56"/>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59"/>
      <c r="B221" s="56"/>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59"/>
      <c r="B222" s="56"/>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59"/>
      <c r="B223" s="56"/>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59"/>
      <c r="B224" s="56"/>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59"/>
      <c r="B225" s="56"/>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59"/>
      <c r="B226" s="56"/>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59"/>
      <c r="B227" s="56"/>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59"/>
      <c r="B228" s="56"/>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59"/>
      <c r="B229" s="56"/>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59"/>
      <c r="B230" s="56"/>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59"/>
      <c r="B231" s="56"/>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59"/>
      <c r="B232" s="56"/>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59"/>
      <c r="B233" s="56"/>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59"/>
      <c r="B234" s="56"/>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59"/>
      <c r="B235" s="56"/>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59"/>
      <c r="B236" s="56"/>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59"/>
      <c r="B237" s="56"/>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59"/>
      <c r="B238" s="56"/>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59"/>
      <c r="B239" s="56"/>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59"/>
      <c r="B240" s="56"/>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59"/>
      <c r="B241" s="56"/>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59"/>
      <c r="B242" s="56"/>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59"/>
      <c r="B243" s="56"/>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59"/>
      <c r="B244" s="56"/>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59"/>
      <c r="B245" s="56"/>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59"/>
      <c r="B246" s="56"/>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59"/>
      <c r="B247" s="56"/>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59"/>
      <c r="B248" s="56"/>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59"/>
      <c r="B249" s="56"/>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59"/>
      <c r="B250" s="56"/>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59"/>
      <c r="B251" s="56"/>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59"/>
      <c r="B252" s="56"/>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59"/>
      <c r="B253" s="56"/>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59"/>
      <c r="B254" s="56"/>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59"/>
      <c r="B255" s="56"/>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59"/>
      <c r="B256" s="56"/>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59"/>
      <c r="B257" s="56"/>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59"/>
      <c r="B258" s="56"/>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59"/>
      <c r="B259" s="56"/>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59"/>
      <c r="B260" s="56"/>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59"/>
      <c r="B261" s="56"/>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59"/>
      <c r="B262" s="56"/>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59"/>
      <c r="B263" s="56"/>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59"/>
      <c r="B264" s="56"/>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59"/>
      <c r="B265" s="56"/>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59"/>
      <c r="B266" s="56"/>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59"/>
      <c r="B267" s="56"/>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59"/>
      <c r="B268" s="56"/>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59"/>
      <c r="B269" s="56"/>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59"/>
      <c r="B270" s="56"/>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59"/>
      <c r="B271" s="56"/>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59"/>
      <c r="B272" s="56"/>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59"/>
      <c r="B273" s="56"/>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59"/>
      <c r="B274" s="56"/>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59"/>
      <c r="B275" s="56"/>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59"/>
      <c r="B276" s="56"/>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59"/>
      <c r="B277" s="56"/>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59"/>
      <c r="B278" s="56"/>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59"/>
      <c r="B279" s="56"/>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59"/>
      <c r="B280" s="56"/>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59"/>
      <c r="B281" s="56"/>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59"/>
      <c r="B282" s="56"/>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59"/>
      <c r="B283" s="56"/>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59"/>
      <c r="B284" s="56"/>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59"/>
      <c r="B285" s="56"/>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59"/>
      <c r="B286" s="56"/>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59"/>
      <c r="B287" s="56"/>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59"/>
      <c r="B288" s="56"/>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59"/>
      <c r="B289" s="56"/>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59"/>
      <c r="B290" s="56"/>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59"/>
      <c r="B291" s="56"/>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59"/>
      <c r="B292" s="56"/>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59"/>
      <c r="B293" s="56"/>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59"/>
      <c r="B294" s="56"/>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59"/>
      <c r="B295" s="56"/>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59"/>
      <c r="B296" s="56"/>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59"/>
      <c r="B297" s="56"/>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59"/>
      <c r="B298" s="56"/>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59"/>
      <c r="B299" s="56"/>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59"/>
      <c r="B300" s="56"/>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59"/>
      <c r="B301" s="56"/>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59"/>
      <c r="B302" s="56"/>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59"/>
      <c r="B303" s="56"/>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59"/>
      <c r="B304" s="56"/>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59"/>
      <c r="B305" s="56"/>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59"/>
      <c r="B306" s="56"/>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59"/>
      <c r="B307" s="56"/>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59"/>
      <c r="B308" s="56"/>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59"/>
      <c r="B309" s="56"/>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59"/>
      <c r="B310" s="56"/>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59"/>
      <c r="B311" s="56"/>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59"/>
      <c r="B312" s="56"/>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59"/>
      <c r="B313" s="56"/>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59"/>
      <c r="B314" s="56"/>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59"/>
      <c r="B315" s="56"/>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59"/>
      <c r="B316" s="56"/>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59"/>
      <c r="B317" s="56"/>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59"/>
      <c r="B318" s="56"/>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59"/>
      <c r="B319" s="56"/>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59"/>
      <c r="B320" s="56"/>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59"/>
      <c r="B321" s="56"/>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59"/>
      <c r="B322" s="56"/>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59"/>
      <c r="B323" s="56"/>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59"/>
      <c r="B324" s="56"/>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59"/>
      <c r="B325" s="56"/>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59"/>
      <c r="B326" s="56"/>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59"/>
      <c r="B327" s="56"/>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59"/>
      <c r="B328" s="56"/>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59"/>
      <c r="B329" s="56"/>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59"/>
      <c r="B330" s="56"/>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59"/>
      <c r="B331" s="56"/>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59"/>
      <c r="B332" s="56"/>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59"/>
      <c r="B333" s="56"/>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59"/>
      <c r="B334" s="56"/>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59"/>
      <c r="B335" s="56"/>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59"/>
      <c r="B336" s="56"/>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59"/>
      <c r="B337" s="56"/>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59"/>
      <c r="B338" s="56"/>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59"/>
      <c r="B339" s="56"/>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59"/>
      <c r="B340" s="56"/>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59"/>
      <c r="B341" s="56"/>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59"/>
      <c r="B342" s="56"/>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59"/>
      <c r="B343" s="56"/>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59"/>
      <c r="B344" s="56"/>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59"/>
      <c r="B345" s="56"/>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59"/>
      <c r="B346" s="56"/>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59"/>
      <c r="B347" s="56"/>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59"/>
      <c r="B348" s="56"/>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59"/>
      <c r="B349" s="56"/>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59"/>
      <c r="B350" s="56"/>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59"/>
      <c r="B351" s="56"/>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59"/>
      <c r="B352" s="56"/>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59"/>
      <c r="B353" s="56"/>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59"/>
      <c r="B354" s="56"/>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59"/>
      <c r="B355" s="56"/>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59"/>
      <c r="B356" s="56"/>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59"/>
      <c r="B357" s="56"/>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59"/>
      <c r="B358" s="56"/>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59"/>
      <c r="B359" s="56"/>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59"/>
      <c r="B360" s="56"/>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59"/>
      <c r="B361" s="56"/>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59"/>
      <c r="B362" s="56"/>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59"/>
      <c r="B363" s="56"/>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59"/>
      <c r="B364" s="56"/>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59"/>
      <c r="B365" s="56"/>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59"/>
      <c r="B366" s="56"/>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59"/>
      <c r="B367" s="56"/>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59"/>
      <c r="B368" s="56"/>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59"/>
      <c r="B369" s="56"/>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59"/>
      <c r="B370" s="56"/>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59"/>
      <c r="B371" s="56"/>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59"/>
      <c r="B372" s="56"/>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59"/>
      <c r="B373" s="56"/>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59"/>
      <c r="B374" s="56"/>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59"/>
      <c r="B375" s="56"/>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59"/>
      <c r="B376" s="56"/>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59"/>
      <c r="B377" s="56"/>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59"/>
      <c r="B378" s="56"/>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59"/>
      <c r="B379" s="56"/>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59"/>
      <c r="B380" s="56"/>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59"/>
      <c r="B381" s="56"/>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59"/>
      <c r="B382" s="56"/>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59"/>
      <c r="B383" s="56"/>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59"/>
      <c r="B384" s="56"/>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59"/>
      <c r="B385" s="56"/>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59"/>
      <c r="B386" s="56"/>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59"/>
      <c r="B387" s="56"/>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59"/>
      <c r="B388" s="56"/>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59"/>
      <c r="B389" s="56"/>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59"/>
      <c r="B390" s="56"/>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59"/>
      <c r="B391" s="56"/>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59"/>
      <c r="B392" s="56"/>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59"/>
      <c r="B393" s="56"/>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59"/>
      <c r="B394" s="56"/>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59"/>
      <c r="B395" s="56"/>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59"/>
      <c r="B396" s="56"/>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59"/>
      <c r="B397" s="56"/>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59"/>
      <c r="B398" s="56"/>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59"/>
      <c r="B399" s="56"/>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59"/>
      <c r="B400" s="56"/>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59"/>
      <c r="B401" s="56"/>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59"/>
      <c r="B402" s="56"/>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59"/>
      <c r="B403" s="56"/>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59"/>
      <c r="B404" s="56"/>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59"/>
      <c r="B405" s="56"/>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59"/>
      <c r="B406" s="56"/>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59"/>
      <c r="B407" s="56"/>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59"/>
      <c r="B408" s="56"/>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59"/>
      <c r="B409" s="56"/>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59"/>
      <c r="B410" s="56"/>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59"/>
      <c r="B411" s="56"/>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59"/>
      <c r="B412" s="56"/>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59"/>
      <c r="B413" s="56"/>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59"/>
      <c r="B414" s="56"/>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59"/>
      <c r="B415" s="56"/>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59"/>
      <c r="B416" s="56"/>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59"/>
      <c r="B417" s="56"/>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59"/>
      <c r="B418" s="56"/>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59"/>
      <c r="B419" s="56"/>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59"/>
      <c r="B420" s="56"/>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59"/>
      <c r="B421" s="56"/>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59"/>
      <c r="B422" s="56"/>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59"/>
      <c r="B423" s="56"/>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59"/>
      <c r="B424" s="56"/>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59"/>
      <c r="B425" s="56"/>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59"/>
      <c r="B426" s="56"/>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59"/>
      <c r="B427" s="56"/>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59"/>
      <c r="B428" s="56"/>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59"/>
      <c r="B429" s="56"/>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59"/>
      <c r="B430" s="56"/>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59"/>
      <c r="B431" s="56"/>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59"/>
      <c r="B432" s="56"/>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59"/>
      <c r="B433" s="56"/>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59"/>
      <c r="B434" s="56"/>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59"/>
      <c r="B435" s="56"/>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59"/>
      <c r="B436" s="56"/>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59"/>
      <c r="B437" s="56"/>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59"/>
      <c r="B438" s="56"/>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59"/>
      <c r="B439" s="56"/>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59"/>
      <c r="B440" s="56"/>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59"/>
      <c r="B441" s="56"/>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59"/>
      <c r="B442" s="56"/>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59"/>
      <c r="B443" s="56"/>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59"/>
      <c r="B444" s="56"/>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59"/>
      <c r="B445" s="56"/>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59"/>
      <c r="B446" s="56"/>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59"/>
      <c r="B447" s="56"/>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59"/>
      <c r="B448" s="56"/>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59"/>
      <c r="B449" s="56"/>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59"/>
      <c r="B450" s="56"/>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59"/>
      <c r="B451" s="56"/>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59"/>
      <c r="B452" s="56"/>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59"/>
      <c r="B453" s="56"/>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59"/>
      <c r="B454" s="56"/>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59"/>
      <c r="B455" s="56"/>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59"/>
      <c r="B456" s="56"/>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59"/>
      <c r="B457" s="56"/>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59"/>
      <c r="B458" s="56"/>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59"/>
      <c r="B459" s="56"/>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59"/>
      <c r="B460" s="56"/>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59"/>
      <c r="B461" s="56"/>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59"/>
      <c r="B462" s="56"/>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59"/>
      <c r="B463" s="56"/>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59"/>
      <c r="B464" s="56"/>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59"/>
      <c r="B465" s="56"/>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59"/>
      <c r="B466" s="56"/>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59"/>
      <c r="B467" s="56"/>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59"/>
      <c r="B468" s="56"/>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59"/>
      <c r="B469" s="56"/>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59"/>
      <c r="B470" s="56"/>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59"/>
      <c r="B471" s="56"/>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59"/>
      <c r="B472" s="56"/>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59"/>
      <c r="B473" s="56"/>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59"/>
      <c r="B474" s="56"/>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59"/>
      <c r="B475" s="56"/>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59"/>
      <c r="B476" s="56"/>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59"/>
      <c r="B477" s="56"/>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59"/>
      <c r="B478" s="56"/>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59"/>
      <c r="B479" s="56"/>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59"/>
      <c r="B480" s="56"/>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59"/>
      <c r="B481" s="56"/>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59"/>
      <c r="B482" s="56"/>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59"/>
      <c r="B483" s="56"/>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59"/>
      <c r="B484" s="56"/>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59"/>
      <c r="B485" s="56"/>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59"/>
      <c r="B486" s="56"/>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59"/>
      <c r="B487" s="56"/>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59"/>
      <c r="B488" s="56"/>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59"/>
      <c r="B489" s="56"/>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59"/>
      <c r="B490" s="56"/>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59"/>
      <c r="B491" s="56"/>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59"/>
      <c r="B492" s="56"/>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59"/>
      <c r="B493" s="56"/>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59"/>
      <c r="B494" s="56"/>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59"/>
      <c r="B495" s="56"/>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59"/>
      <c r="B496" s="56"/>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59"/>
      <c r="B497" s="56"/>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59"/>
      <c r="B498" s="56"/>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59"/>
      <c r="B499" s="56"/>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59"/>
      <c r="B500" s="56"/>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59"/>
      <c r="B501" s="56"/>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59"/>
      <c r="B502" s="56"/>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59"/>
      <c r="B503" s="56"/>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59"/>
      <c r="B504" s="56"/>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59"/>
      <c r="B505" s="56"/>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59"/>
      <c r="B506" s="56"/>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59"/>
      <c r="B507" s="56"/>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59"/>
      <c r="B508" s="56"/>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59"/>
      <c r="B509" s="56"/>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59"/>
      <c r="B510" s="56"/>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59"/>
      <c r="B511" s="56"/>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59"/>
      <c r="B512" s="56"/>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59"/>
      <c r="B513" s="56"/>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59"/>
      <c r="B514" s="56"/>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59"/>
      <c r="B515" s="56"/>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59"/>
      <c r="B516" s="56"/>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59"/>
      <c r="B517" s="56"/>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59"/>
      <c r="B518" s="56"/>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59"/>
      <c r="B519" s="56"/>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59"/>
      <c r="B520" s="56"/>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59"/>
      <c r="B521" s="56"/>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59"/>
      <c r="B522" s="56"/>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59"/>
      <c r="B523" s="56"/>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59"/>
      <c r="B524" s="56"/>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59"/>
      <c r="B525" s="56"/>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59"/>
      <c r="B526" s="56"/>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59"/>
      <c r="B527" s="56"/>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59"/>
      <c r="B528" s="56"/>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59"/>
      <c r="B529" s="56"/>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59"/>
      <c r="B530" s="56"/>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59"/>
      <c r="B531" s="56"/>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59"/>
      <c r="B532" s="56"/>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59"/>
      <c r="B533" s="56"/>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59"/>
      <c r="B534" s="56"/>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59"/>
      <c r="B535" s="56"/>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59"/>
      <c r="B536" s="56"/>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59"/>
      <c r="B537" s="56"/>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59"/>
      <c r="B538" s="56"/>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59"/>
      <c r="B539" s="56"/>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59"/>
      <c r="B540" s="56"/>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59"/>
      <c r="B541" s="56"/>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59"/>
      <c r="B542" s="56"/>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59"/>
      <c r="B543" s="56"/>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59"/>
      <c r="B544" s="56"/>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59"/>
      <c r="B545" s="56"/>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59"/>
      <c r="B546" s="56"/>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59"/>
      <c r="B547" s="56"/>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59"/>
      <c r="B548" s="56"/>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59"/>
      <c r="B549" s="56"/>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59"/>
      <c r="B550" s="56"/>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59"/>
      <c r="B551" s="56"/>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59"/>
      <c r="B552" s="56"/>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59"/>
      <c r="B553" s="56"/>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59"/>
      <c r="B554" s="56"/>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59"/>
      <c r="B555" s="56"/>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59"/>
      <c r="B556" s="56"/>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59"/>
      <c r="B557" s="56"/>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59"/>
      <c r="B558" s="56"/>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59"/>
      <c r="B559" s="56"/>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59"/>
      <c r="B560" s="56"/>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59"/>
      <c r="B561" s="56"/>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59"/>
      <c r="B562" s="56"/>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59"/>
      <c r="B563" s="56"/>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59"/>
      <c r="B564" s="56"/>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59"/>
      <c r="B565" s="56"/>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59"/>
      <c r="B566" s="56"/>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59"/>
      <c r="B567" s="56"/>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59"/>
      <c r="B568" s="56"/>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59"/>
      <c r="B569" s="56"/>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59"/>
      <c r="B570" s="56"/>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59"/>
      <c r="B571" s="56"/>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59"/>
      <c r="B572" s="56"/>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59"/>
      <c r="B573" s="56"/>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59"/>
      <c r="B574" s="56"/>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59"/>
      <c r="B575" s="56"/>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59"/>
      <c r="B576" s="56"/>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59"/>
      <c r="B577" s="56"/>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59"/>
      <c r="B578" s="56"/>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59"/>
      <c r="B579" s="56"/>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59"/>
      <c r="B580" s="56"/>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59"/>
      <c r="B581" s="56"/>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59"/>
      <c r="B582" s="56"/>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59"/>
      <c r="B583" s="56"/>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59"/>
      <c r="B584" s="56"/>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59"/>
      <c r="B585" s="56"/>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59"/>
      <c r="B586" s="56"/>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59"/>
      <c r="B587" s="56"/>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59"/>
      <c r="B588" s="56"/>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59"/>
      <c r="B589" s="56"/>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59"/>
      <c r="B590" s="56"/>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59"/>
      <c r="B591" s="56"/>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59"/>
      <c r="B592" s="56"/>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59"/>
      <c r="B593" s="56"/>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59"/>
      <c r="B594" s="56"/>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59"/>
      <c r="B595" s="56"/>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59"/>
      <c r="B596" s="56"/>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59"/>
      <c r="B597" s="56"/>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59"/>
      <c r="B598" s="56"/>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59"/>
      <c r="B599" s="56"/>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59"/>
      <c r="B600" s="56"/>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59"/>
      <c r="B601" s="56"/>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59"/>
      <c r="B602" s="56"/>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59"/>
      <c r="B603" s="56"/>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59"/>
      <c r="B604" s="56"/>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59"/>
      <c r="B605" s="56"/>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59"/>
      <c r="B606" s="56"/>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59"/>
      <c r="B607" s="56"/>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59"/>
      <c r="B608" s="56"/>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59"/>
      <c r="B609" s="56"/>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59"/>
      <c r="B610" s="56"/>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59"/>
      <c r="B611" s="56"/>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59"/>
      <c r="B612" s="56"/>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59"/>
      <c r="B613" s="56"/>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59"/>
      <c r="B614" s="56"/>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59"/>
      <c r="B615" s="56"/>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59"/>
      <c r="B616" s="56"/>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59"/>
      <c r="B617" s="56"/>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59"/>
      <c r="B618" s="56"/>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59"/>
      <c r="B619" s="56"/>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59"/>
      <c r="B620" s="56"/>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59"/>
      <c r="B621" s="56"/>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59"/>
      <c r="B622" s="56"/>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59"/>
      <c r="B623" s="56"/>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59"/>
      <c r="B624" s="56"/>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59"/>
      <c r="B625" s="56"/>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59"/>
      <c r="B626" s="56"/>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59"/>
      <c r="B627" s="56"/>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59"/>
      <c r="B628" s="56"/>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59"/>
      <c r="B629" s="56"/>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59"/>
      <c r="B630" s="56"/>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59"/>
      <c r="B631" s="56"/>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59"/>
      <c r="B632" s="56"/>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59"/>
      <c r="B633" s="56"/>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59"/>
      <c r="B634" s="56"/>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59"/>
      <c r="B635" s="56"/>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59"/>
      <c r="B636" s="56"/>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59"/>
      <c r="B637" s="56"/>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59"/>
      <c r="B638" s="56"/>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59"/>
      <c r="B639" s="56"/>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59"/>
      <c r="B640" s="56"/>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59"/>
      <c r="B641" s="56"/>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59"/>
      <c r="B642" s="56"/>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59"/>
      <c r="B643" s="56"/>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59"/>
      <c r="B644" s="56"/>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59"/>
      <c r="B645" s="56"/>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59"/>
      <c r="B646" s="56"/>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59"/>
      <c r="B647" s="56"/>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59"/>
      <c r="B648" s="56"/>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59"/>
      <c r="B649" s="56"/>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59"/>
      <c r="B650" s="56"/>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59"/>
      <c r="B651" s="56"/>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59"/>
      <c r="B652" s="56"/>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59"/>
      <c r="B653" s="56"/>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59"/>
      <c r="B654" s="56"/>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59"/>
      <c r="B655" s="56"/>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59"/>
      <c r="B656" s="56"/>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59"/>
      <c r="B657" s="56"/>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59"/>
      <c r="B658" s="56"/>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59"/>
      <c r="B659" s="56"/>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59"/>
      <c r="B660" s="56"/>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59"/>
      <c r="B661" s="56"/>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59"/>
      <c r="B662" s="56"/>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59"/>
      <c r="B663" s="56"/>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59"/>
      <c r="B664" s="56"/>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59"/>
      <c r="B665" s="56"/>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59"/>
      <c r="B666" s="56"/>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59"/>
      <c r="B667" s="56"/>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59"/>
      <c r="B668" s="56"/>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59"/>
      <c r="B669" s="56"/>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59"/>
      <c r="B670" s="56"/>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59"/>
      <c r="B671" s="56"/>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59"/>
      <c r="B672" s="56"/>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59"/>
      <c r="B673" s="56"/>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59"/>
      <c r="B674" s="56"/>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59"/>
      <c r="B675" s="56"/>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59"/>
      <c r="B676" s="56"/>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59"/>
      <c r="B677" s="56"/>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59"/>
      <c r="B678" s="56"/>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59"/>
      <c r="B679" s="56"/>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59"/>
      <c r="B680" s="56"/>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59"/>
      <c r="B681" s="56"/>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59"/>
      <c r="B682" s="56"/>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59"/>
      <c r="B683" s="56"/>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59"/>
      <c r="B684" s="56"/>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59"/>
      <c r="B685" s="56"/>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59"/>
      <c r="B686" s="56"/>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59"/>
      <c r="B687" s="56"/>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59"/>
      <c r="B688" s="56"/>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59"/>
      <c r="B689" s="56"/>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59"/>
      <c r="B690" s="56"/>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59"/>
      <c r="B691" s="56"/>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59"/>
      <c r="B692" s="56"/>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59"/>
      <c r="B693" s="56"/>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59"/>
      <c r="B694" s="56"/>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59"/>
      <c r="B695" s="56"/>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59"/>
      <c r="B696" s="56"/>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59"/>
      <c r="B697" s="56"/>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59"/>
      <c r="B698" s="56"/>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59"/>
      <c r="B699" s="56"/>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59"/>
      <c r="B700" s="56"/>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59"/>
      <c r="B701" s="56"/>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59"/>
      <c r="B702" s="56"/>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59"/>
      <c r="B703" s="56"/>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59"/>
      <c r="B704" s="56"/>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59"/>
      <c r="B705" s="56"/>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59"/>
      <c r="B706" s="56"/>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59"/>
      <c r="B707" s="56"/>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59"/>
      <c r="B708" s="56"/>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59"/>
      <c r="B709" s="56"/>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59"/>
      <c r="B710" s="56"/>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59"/>
      <c r="B711" s="56"/>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59"/>
      <c r="B712" s="56"/>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59"/>
      <c r="B713" s="56"/>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59"/>
      <c r="B714" s="56"/>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59"/>
      <c r="B715" s="56"/>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59"/>
      <c r="B716" s="56"/>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59"/>
      <c r="B717" s="56"/>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59"/>
      <c r="B718" s="56"/>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59"/>
      <c r="B719" s="56"/>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59"/>
      <c r="B720" s="56"/>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59"/>
      <c r="B721" s="56"/>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59"/>
      <c r="B722" s="56"/>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59"/>
      <c r="B723" s="56"/>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59"/>
      <c r="B724" s="56"/>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59"/>
      <c r="B725" s="56"/>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59"/>
      <c r="B726" s="56"/>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59"/>
      <c r="B727" s="56"/>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59"/>
      <c r="B728" s="56"/>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59"/>
      <c r="B729" s="56"/>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59"/>
      <c r="B730" s="56"/>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59"/>
      <c r="B731" s="56"/>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59"/>
      <c r="B732" s="56"/>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59"/>
      <c r="B733" s="56"/>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59"/>
      <c r="B734" s="56"/>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59"/>
      <c r="B735" s="56"/>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59"/>
      <c r="B736" s="56"/>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59"/>
      <c r="B737" s="56"/>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59"/>
      <c r="B738" s="56"/>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59"/>
      <c r="B739" s="56"/>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59"/>
      <c r="B740" s="56"/>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59"/>
      <c r="B741" s="56"/>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59"/>
      <c r="B742" s="56"/>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59"/>
      <c r="B743" s="56"/>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59"/>
      <c r="B744" s="56"/>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59"/>
      <c r="B745" s="56"/>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59"/>
      <c r="B746" s="56"/>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59"/>
      <c r="B747" s="56"/>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59"/>
      <c r="B748" s="56"/>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59"/>
      <c r="B749" s="56"/>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59"/>
      <c r="B750" s="56"/>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59"/>
      <c r="B751" s="56"/>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59"/>
      <c r="B752" s="56"/>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59"/>
      <c r="B753" s="56"/>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59"/>
      <c r="B754" s="56"/>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59"/>
      <c r="B755" s="56"/>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59"/>
      <c r="B756" s="56"/>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59"/>
      <c r="B757" s="56"/>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59"/>
      <c r="B758" s="56"/>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59"/>
      <c r="B759" s="56"/>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59"/>
      <c r="B760" s="56"/>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59"/>
      <c r="B761" s="56"/>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59"/>
      <c r="B762" s="56"/>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59"/>
      <c r="B763" s="56"/>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59"/>
      <c r="B764" s="56"/>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59"/>
      <c r="B765" s="56"/>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59"/>
      <c r="B766" s="56"/>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59"/>
      <c r="B767" s="56"/>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59"/>
      <c r="B768" s="56"/>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59"/>
      <c r="B769" s="56"/>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59"/>
      <c r="B770" s="56"/>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59"/>
      <c r="B771" s="56"/>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59"/>
      <c r="B772" s="56"/>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59"/>
      <c r="B773" s="56"/>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59"/>
      <c r="B774" s="56"/>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59"/>
      <c r="B775" s="56"/>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59"/>
      <c r="B776" s="56"/>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59"/>
      <c r="B777" s="56"/>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59"/>
      <c r="B778" s="56"/>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59"/>
      <c r="B779" s="56"/>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59"/>
      <c r="B780" s="56"/>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59"/>
      <c r="B781" s="56"/>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59"/>
      <c r="B782" s="56"/>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59"/>
      <c r="B783" s="56"/>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59"/>
      <c r="B784" s="56"/>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59"/>
      <c r="B785" s="56"/>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59"/>
      <c r="B786" s="56"/>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59"/>
      <c r="B787" s="56"/>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59"/>
      <c r="B788" s="56"/>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59"/>
      <c r="B789" s="56"/>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59"/>
      <c r="B790" s="56"/>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59"/>
      <c r="B791" s="56"/>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59"/>
      <c r="B792" s="56"/>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59"/>
      <c r="B793" s="56"/>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59"/>
      <c r="B794" s="56"/>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59"/>
      <c r="B795" s="56"/>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59"/>
      <c r="B796" s="56"/>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59"/>
      <c r="B797" s="56"/>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59"/>
      <c r="B798" s="56"/>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59"/>
      <c r="B799" s="56"/>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59"/>
      <c r="B800" s="56"/>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59"/>
      <c r="B801" s="56"/>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59"/>
      <c r="B802" s="56"/>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59"/>
      <c r="B803" s="56"/>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59"/>
      <c r="B804" s="56"/>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59"/>
      <c r="B805" s="56"/>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59"/>
      <c r="B806" s="56"/>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59"/>
      <c r="B807" s="56"/>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59"/>
      <c r="B808" s="56"/>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59"/>
      <c r="B809" s="56"/>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59"/>
      <c r="B810" s="56"/>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59"/>
      <c r="B811" s="56"/>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59"/>
      <c r="B812" s="56"/>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59"/>
      <c r="B813" s="56"/>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59"/>
      <c r="B814" s="56"/>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59"/>
      <c r="B815" s="56"/>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59"/>
      <c r="B816" s="56"/>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59"/>
      <c r="B817" s="56"/>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59"/>
      <c r="B818" s="56"/>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59"/>
      <c r="B819" s="56"/>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59"/>
      <c r="B820" s="56"/>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59"/>
      <c r="B821" s="56"/>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59"/>
      <c r="B822" s="56"/>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59"/>
      <c r="B823" s="56"/>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59"/>
      <c r="B824" s="56"/>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59"/>
      <c r="B825" s="56"/>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59"/>
      <c r="B826" s="56"/>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59"/>
      <c r="B827" s="56"/>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59"/>
      <c r="B828" s="56"/>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59"/>
      <c r="B829" s="56"/>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59"/>
      <c r="B830" s="56"/>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59"/>
      <c r="B831" s="56"/>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59"/>
      <c r="B832" s="56"/>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59"/>
      <c r="B833" s="56"/>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59"/>
      <c r="B834" s="56"/>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59"/>
      <c r="B835" s="56"/>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59"/>
      <c r="B836" s="56"/>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59"/>
      <c r="B837" s="56"/>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59"/>
      <c r="B838" s="56"/>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59"/>
      <c r="B839" s="56"/>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59"/>
      <c r="B840" s="56"/>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59"/>
      <c r="B841" s="56"/>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59"/>
      <c r="B842" s="56"/>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59"/>
      <c r="B843" s="56"/>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59"/>
      <c r="B844" s="56"/>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59"/>
      <c r="B845" s="56"/>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59"/>
      <c r="B846" s="56"/>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59"/>
      <c r="B847" s="56"/>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59"/>
      <c r="B848" s="56"/>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59"/>
      <c r="B849" s="56"/>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59"/>
      <c r="B850" s="56"/>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59"/>
      <c r="B851" s="56"/>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59"/>
      <c r="B852" s="56"/>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59"/>
      <c r="B853" s="56"/>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59"/>
      <c r="B854" s="56"/>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59"/>
      <c r="B855" s="56"/>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59"/>
      <c r="B856" s="56"/>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59"/>
      <c r="B857" s="56"/>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59"/>
      <c r="B858" s="56"/>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59"/>
      <c r="B859" s="56"/>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59"/>
      <c r="B860" s="56"/>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59"/>
      <c r="B861" s="56"/>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59"/>
      <c r="B862" s="56"/>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59"/>
      <c r="B863" s="56"/>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59"/>
      <c r="B864" s="56"/>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59"/>
      <c r="B865" s="56"/>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59"/>
      <c r="B866" s="56"/>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59"/>
      <c r="B867" s="56"/>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59"/>
      <c r="B868" s="56"/>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59"/>
      <c r="B869" s="56"/>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59"/>
      <c r="B870" s="56"/>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59"/>
      <c r="B871" s="56"/>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59"/>
      <c r="B872" s="56"/>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59"/>
      <c r="B873" s="56"/>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59"/>
      <c r="B874" s="56"/>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59"/>
      <c r="B875" s="56"/>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59"/>
      <c r="B876" s="56"/>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59"/>
      <c r="B877" s="56"/>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59"/>
      <c r="B878" s="56"/>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59"/>
      <c r="B879" s="56"/>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59"/>
      <c r="B880" s="56"/>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59"/>
      <c r="B881" s="56"/>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59"/>
      <c r="B882" s="56"/>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59"/>
      <c r="B883" s="56"/>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59"/>
      <c r="B884" s="56"/>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59"/>
      <c r="B885" s="56"/>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59"/>
      <c r="B886" s="56"/>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59"/>
      <c r="B887" s="56"/>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59"/>
      <c r="B888" s="56"/>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59"/>
      <c r="B889" s="56"/>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59"/>
      <c r="B890" s="56"/>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59"/>
      <c r="B891" s="56"/>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59"/>
      <c r="B892" s="56"/>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59"/>
      <c r="B893" s="56"/>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59"/>
      <c r="B894" s="56"/>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59"/>
      <c r="B895" s="56"/>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59"/>
      <c r="B896" s="56"/>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59"/>
      <c r="B897" s="56"/>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59"/>
      <c r="B898" s="56"/>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59"/>
      <c r="B899" s="56"/>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59"/>
      <c r="B900" s="56"/>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59"/>
      <c r="B901" s="56"/>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59"/>
      <c r="B902" s="56"/>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59"/>
      <c r="B903" s="56"/>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59"/>
      <c r="B904" s="56"/>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59"/>
      <c r="B905" s="56"/>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59"/>
      <c r="B906" s="56"/>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59"/>
      <c r="B907" s="56"/>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59"/>
      <c r="B908" s="56"/>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59"/>
      <c r="B909" s="56"/>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59"/>
      <c r="B910" s="56"/>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59"/>
      <c r="B911" s="56"/>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59"/>
      <c r="B912" s="56"/>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59"/>
      <c r="B913" s="56"/>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59"/>
      <c r="B914" s="56"/>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59"/>
      <c r="B915" s="56"/>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59"/>
      <c r="B916" s="56"/>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59"/>
      <c r="B917" s="56"/>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59"/>
      <c r="B918" s="56"/>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59"/>
      <c r="B919" s="56"/>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59"/>
      <c r="B920" s="56"/>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59"/>
      <c r="B921" s="56"/>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59"/>
      <c r="B922" s="56"/>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59"/>
      <c r="B923" s="56"/>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59"/>
      <c r="B924" s="56"/>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59"/>
      <c r="B925" s="56"/>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59"/>
      <c r="B926" s="56"/>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59"/>
      <c r="B927" s="56"/>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59"/>
      <c r="B928" s="56"/>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59"/>
      <c r="B929" s="56"/>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59"/>
      <c r="B930" s="56"/>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59"/>
      <c r="B931" s="56"/>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59"/>
      <c r="B932" s="56"/>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59"/>
      <c r="B933" s="56"/>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59"/>
      <c r="B934" s="56"/>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59"/>
      <c r="B935" s="56"/>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59"/>
      <c r="B936" s="56"/>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59"/>
      <c r="B937" s="56"/>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59"/>
      <c r="B938" s="56"/>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59"/>
      <c r="B939" s="56"/>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59"/>
      <c r="B940" s="56"/>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59"/>
      <c r="B941" s="56"/>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59"/>
      <c r="B942" s="56"/>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59"/>
      <c r="B943" s="56"/>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59"/>
      <c r="B944" s="56"/>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59"/>
      <c r="B945" s="56"/>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59"/>
      <c r="B946" s="56"/>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59"/>
      <c r="B947" s="56"/>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59"/>
      <c r="B948" s="56"/>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59"/>
      <c r="B949" s="56"/>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59"/>
      <c r="B950" s="56"/>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59"/>
      <c r="B951" s="56"/>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59"/>
      <c r="B952" s="56"/>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59"/>
      <c r="B953" s="56"/>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59"/>
      <c r="B954" s="56"/>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59"/>
      <c r="B955" s="56"/>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59"/>
      <c r="B956" s="56"/>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59"/>
      <c r="B957" s="56"/>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59"/>
      <c r="B958" s="56"/>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59"/>
      <c r="B959" s="56"/>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59"/>
      <c r="B960" s="56"/>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59"/>
      <c r="B961" s="56"/>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59"/>
      <c r="B962" s="56"/>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59"/>
      <c r="B963" s="56"/>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59"/>
      <c r="B964" s="56"/>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59"/>
      <c r="B965" s="56"/>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59"/>
      <c r="B966" s="56"/>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59"/>
      <c r="B967" s="56"/>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59"/>
      <c r="B968" s="56"/>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59"/>
      <c r="B969" s="56"/>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59"/>
      <c r="B970" s="56"/>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59"/>
      <c r="B971" s="56"/>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59"/>
      <c r="B972" s="56"/>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59"/>
      <c r="B973" s="56"/>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59"/>
      <c r="B974" s="56"/>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59"/>
      <c r="B975" s="56"/>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59"/>
      <c r="B976" s="56"/>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59"/>
      <c r="B977" s="56"/>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59"/>
      <c r="B978" s="56"/>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25 E27:E50">
    <cfRule type="colorScale" priority="1">
      <colorScale>
        <cfvo type="formula" val="0"/>
        <cfvo type="formula" val="0.5"/>
        <cfvo type="formula" val="1"/>
        <color rgb="FFFFFFFF"/>
        <color rgb="FFF3BEB9"/>
        <color rgb="FFE67C73"/>
      </colorScale>
    </cfRule>
  </conditionalFormatting>
  <conditionalFormatting sqref="E2:E978">
    <cfRule type="colorScale" priority="2">
      <colorScale>
        <cfvo type="formula" val="0"/>
        <cfvo type="formula" val="1"/>
        <color rgb="FFFFFFFF"/>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"Heading,Jeremy,Naiara,Begoña,Alba"</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70" t="s">
        <v>0</v>
      </c>
      <c r="B1" s="71"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c r="A2" s="72" t="s">
        <v>33</v>
      </c>
      <c r="B2" s="73" t="s">
        <v>34</v>
      </c>
      <c r="C2" s="7" t="s">
        <v>21</v>
      </c>
      <c r="D2" s="54" t="s">
        <v>73</v>
      </c>
      <c r="E2" s="74">
        <f>IFERROR(__xludf.DUMMYFUNCTION("COUNTA(SPLIT(D2,"" ""))/COUNTA(SPLIT($B$2,"" ""))"),0.18971428571428572)</f>
        <v>0.1897142857</v>
      </c>
      <c r="F2" s="7">
        <v>4.0</v>
      </c>
      <c r="G2" s="7">
        <v>5.0</v>
      </c>
      <c r="H2" s="7">
        <v>5.0</v>
      </c>
      <c r="I2" s="7">
        <v>4.0</v>
      </c>
      <c r="J2" s="7">
        <v>5.0</v>
      </c>
      <c r="K2" s="56"/>
      <c r="L2" s="56"/>
      <c r="M2" s="56"/>
      <c r="N2" s="56"/>
      <c r="O2" s="56"/>
      <c r="P2" s="56"/>
      <c r="Q2" s="56"/>
      <c r="R2" s="56"/>
      <c r="S2" s="56"/>
      <c r="T2" s="56"/>
      <c r="U2" s="56"/>
      <c r="V2" s="56"/>
      <c r="W2" s="56"/>
      <c r="X2" s="56"/>
      <c r="Y2" s="56"/>
      <c r="Z2" s="56"/>
      <c r="AA2" s="56"/>
      <c r="AB2" s="56"/>
    </row>
    <row r="3">
      <c r="C3" s="7" t="s">
        <v>22</v>
      </c>
      <c r="D3" s="54" t="s">
        <v>74</v>
      </c>
      <c r="E3" s="74">
        <f>IFERROR(__xludf.DUMMYFUNCTION("COUNTA(SPLIT(D3,"" ""))/COUNTA(SPLIT($B$2,"" ""))"),0.13714285714285715)</f>
        <v>0.1371428571</v>
      </c>
      <c r="F3" s="67">
        <v>3.0</v>
      </c>
      <c r="G3" s="67">
        <v>5.0</v>
      </c>
      <c r="H3" s="67">
        <v>5.0</v>
      </c>
      <c r="I3" s="67">
        <v>4.0</v>
      </c>
      <c r="J3" s="67">
        <v>5.0</v>
      </c>
      <c r="K3" s="56"/>
      <c r="L3" s="56"/>
      <c r="M3" s="56"/>
      <c r="N3" s="56"/>
      <c r="O3" s="56"/>
      <c r="P3" s="56"/>
      <c r="Q3" s="56"/>
      <c r="R3" s="56"/>
      <c r="S3" s="56"/>
      <c r="T3" s="56"/>
      <c r="U3" s="56"/>
      <c r="V3" s="56"/>
      <c r="W3" s="56"/>
      <c r="X3" s="56"/>
      <c r="Y3" s="56"/>
      <c r="Z3" s="56"/>
      <c r="AA3" s="56"/>
      <c r="AB3" s="56"/>
    </row>
    <row r="4">
      <c r="C4" s="7" t="s">
        <v>8</v>
      </c>
      <c r="D4" s="54" t="s">
        <v>75</v>
      </c>
      <c r="E4" s="74">
        <f>IFERROR(__xludf.DUMMYFUNCTION("COUNTA(SPLIT(D4,"" ""))/COUNTA(SPLIT($B$2,"" ""))"),0.1462857142857143)</f>
        <v>0.1462857143</v>
      </c>
      <c r="F4" s="7">
        <v>3.0</v>
      </c>
      <c r="G4" s="7">
        <v>5.0</v>
      </c>
      <c r="H4" s="7">
        <v>5.0</v>
      </c>
      <c r="I4" s="7">
        <v>4.0</v>
      </c>
      <c r="J4" s="7">
        <v>5.0</v>
      </c>
      <c r="K4" s="56"/>
      <c r="L4" s="56"/>
      <c r="M4" s="56"/>
      <c r="N4" s="56"/>
      <c r="O4" s="56"/>
      <c r="P4" s="56"/>
      <c r="Q4" s="56"/>
      <c r="R4" s="56"/>
      <c r="S4" s="56"/>
      <c r="T4" s="56"/>
      <c r="U4" s="56"/>
      <c r="V4" s="56"/>
      <c r="W4" s="56"/>
      <c r="X4" s="56"/>
      <c r="Y4" s="56"/>
      <c r="Z4" s="56"/>
      <c r="AA4" s="56"/>
      <c r="AB4" s="56"/>
    </row>
    <row r="5">
      <c r="C5" s="7" t="s">
        <v>23</v>
      </c>
      <c r="D5" s="10" t="s">
        <v>76</v>
      </c>
      <c r="E5" s="74">
        <f>IFERROR(__xludf.DUMMYFUNCTION("COUNTA(SPLIT(D5,"" ""))/COUNTA(SPLIT($B$2,"" ""))"),0.17714285714285713)</f>
        <v>0.1771428571</v>
      </c>
      <c r="F5" s="67">
        <v>3.0</v>
      </c>
      <c r="G5" s="67">
        <v>5.0</v>
      </c>
      <c r="H5" s="67">
        <v>1.0</v>
      </c>
      <c r="I5" s="67">
        <v>4.0</v>
      </c>
      <c r="J5" s="67">
        <v>5.0</v>
      </c>
      <c r="K5" s="56"/>
      <c r="L5" s="56"/>
      <c r="M5" s="56"/>
      <c r="N5" s="56"/>
      <c r="O5" s="56"/>
      <c r="P5" s="56"/>
      <c r="Q5" s="56"/>
      <c r="R5" s="56"/>
      <c r="S5" s="56"/>
      <c r="T5" s="56"/>
      <c r="U5" s="56"/>
      <c r="V5" s="56"/>
      <c r="W5" s="56"/>
      <c r="X5" s="56"/>
      <c r="Y5" s="56"/>
      <c r="Z5" s="56"/>
      <c r="AA5" s="56"/>
      <c r="AB5" s="56"/>
    </row>
    <row r="6">
      <c r="A6" s="75"/>
      <c r="B6" s="69"/>
      <c r="C6" s="60"/>
      <c r="D6" s="61"/>
      <c r="E6" s="74"/>
      <c r="F6" s="60"/>
      <c r="G6" s="60"/>
      <c r="H6" s="60"/>
      <c r="I6" s="60"/>
      <c r="J6" s="60"/>
      <c r="K6" s="56"/>
      <c r="L6" s="56"/>
      <c r="M6" s="56"/>
      <c r="N6" s="56"/>
      <c r="O6" s="56"/>
      <c r="P6" s="56"/>
      <c r="Q6" s="56"/>
      <c r="R6" s="56"/>
      <c r="S6" s="56"/>
      <c r="T6" s="56"/>
      <c r="U6" s="56"/>
      <c r="V6" s="56"/>
      <c r="W6" s="56"/>
      <c r="X6" s="56"/>
      <c r="Y6" s="56"/>
      <c r="Z6" s="56"/>
      <c r="AA6" s="56"/>
      <c r="AB6" s="56"/>
    </row>
    <row r="7">
      <c r="A7" s="76" t="s">
        <v>37</v>
      </c>
      <c r="B7" s="77" t="s">
        <v>38</v>
      </c>
      <c r="C7" s="64" t="s">
        <v>21</v>
      </c>
      <c r="D7" s="65" t="s">
        <v>77</v>
      </c>
      <c r="E7" s="78">
        <f>IFERROR(__xludf.DUMMYFUNCTION("COUNTA(SPLIT(D7,"" ""))/COUNTA(SPLIT($B$7,"" ""))"),0.2028985507246377)</f>
        <v>0.2028985507</v>
      </c>
      <c r="F7" s="67">
        <v>4.0</v>
      </c>
      <c r="G7" s="67">
        <v>5.0</v>
      </c>
      <c r="H7" s="67">
        <v>5.0</v>
      </c>
      <c r="I7" s="67">
        <v>4.0</v>
      </c>
      <c r="J7" s="67">
        <v>5.0</v>
      </c>
      <c r="K7" s="68"/>
      <c r="L7" s="68"/>
      <c r="M7" s="68"/>
      <c r="N7" s="68"/>
      <c r="O7" s="68"/>
      <c r="P7" s="68"/>
      <c r="Q7" s="68"/>
      <c r="R7" s="68"/>
      <c r="S7" s="68"/>
      <c r="T7" s="68"/>
      <c r="U7" s="68"/>
      <c r="V7" s="68"/>
      <c r="W7" s="68"/>
      <c r="X7" s="68"/>
      <c r="Y7" s="68"/>
      <c r="Z7" s="68"/>
      <c r="AA7" s="68"/>
      <c r="AB7" s="68"/>
    </row>
    <row r="8">
      <c r="C8" s="7" t="s">
        <v>22</v>
      </c>
      <c r="D8" s="54" t="s">
        <v>78</v>
      </c>
      <c r="E8" s="74">
        <f>IFERROR(__xludf.DUMMYFUNCTION("COUNTA(SPLIT(D8,"" ""))/COUNTA(SPLIT($B$7,"" ""))"),0.18478260869565216)</f>
        <v>0.1847826087</v>
      </c>
      <c r="F8" s="7">
        <v>3.0</v>
      </c>
      <c r="G8" s="7">
        <v>5.0</v>
      </c>
      <c r="H8" s="7">
        <v>5.0</v>
      </c>
      <c r="I8" s="7">
        <v>4.0</v>
      </c>
      <c r="J8" s="7">
        <v>4.0</v>
      </c>
      <c r="K8" s="56"/>
      <c r="L8" s="56"/>
      <c r="M8" s="56"/>
      <c r="N8" s="56"/>
      <c r="O8" s="56"/>
      <c r="P8" s="56"/>
      <c r="Q8" s="56"/>
      <c r="R8" s="56"/>
      <c r="S8" s="56"/>
      <c r="T8" s="56"/>
      <c r="U8" s="56"/>
      <c r="V8" s="56"/>
      <c r="W8" s="56"/>
      <c r="X8" s="56"/>
      <c r="Y8" s="56"/>
      <c r="Z8" s="56"/>
      <c r="AA8" s="56"/>
      <c r="AB8" s="56"/>
    </row>
    <row r="9">
      <c r="C9" s="7" t="s">
        <v>8</v>
      </c>
      <c r="D9" s="54" t="s">
        <v>79</v>
      </c>
      <c r="E9" s="74">
        <f>IFERROR(__xludf.DUMMYFUNCTION("COUNTA(SPLIT(D9,"" ""))/COUNTA(SPLIT($B$7,"" ""))"),0.14371980676328502)</f>
        <v>0.1437198068</v>
      </c>
      <c r="F9" s="7">
        <v>3.0</v>
      </c>
      <c r="G9" s="7">
        <v>4.0</v>
      </c>
      <c r="H9" s="7">
        <v>5.0</v>
      </c>
      <c r="I9" s="7">
        <v>4.0</v>
      </c>
      <c r="J9" s="7">
        <v>3.0</v>
      </c>
      <c r="K9" s="56"/>
      <c r="L9" s="56"/>
      <c r="M9" s="56"/>
      <c r="N9" s="56"/>
      <c r="O9" s="56"/>
      <c r="P9" s="56"/>
      <c r="Q9" s="56"/>
      <c r="R9" s="56"/>
      <c r="S9" s="56"/>
      <c r="T9" s="56"/>
      <c r="U9" s="56"/>
      <c r="V9" s="56"/>
      <c r="W9" s="56"/>
      <c r="X9" s="56"/>
      <c r="Y9" s="56"/>
      <c r="Z9" s="56"/>
      <c r="AA9" s="56"/>
      <c r="AB9" s="56"/>
    </row>
    <row r="10">
      <c r="C10" s="7" t="s">
        <v>23</v>
      </c>
      <c r="D10" s="54" t="s">
        <v>80</v>
      </c>
      <c r="E10" s="74">
        <f>IFERROR(__xludf.DUMMYFUNCTION("COUNTA(SPLIT(D10,"" ""))/COUNTA(SPLIT($B$7,"" ""))"),0.21256038647342995)</f>
        <v>0.2125603865</v>
      </c>
      <c r="F10" s="67">
        <v>3.0</v>
      </c>
      <c r="G10" s="67">
        <v>5.0</v>
      </c>
      <c r="H10" s="67">
        <v>1.0</v>
      </c>
      <c r="I10" s="67">
        <v>4.0</v>
      </c>
      <c r="J10" s="67">
        <v>4.0</v>
      </c>
      <c r="K10" s="56"/>
      <c r="L10" s="56"/>
      <c r="M10" s="56"/>
      <c r="N10" s="56"/>
      <c r="O10" s="56"/>
      <c r="P10" s="56"/>
      <c r="Q10" s="56"/>
      <c r="R10" s="56"/>
      <c r="S10" s="56"/>
      <c r="T10" s="56"/>
      <c r="U10" s="56"/>
      <c r="V10" s="56"/>
      <c r="W10" s="56"/>
      <c r="X10" s="56"/>
      <c r="Y10" s="56"/>
      <c r="Z10" s="56"/>
      <c r="AA10" s="56"/>
      <c r="AB10" s="56"/>
    </row>
    <row r="11">
      <c r="A11" s="75"/>
      <c r="B11" s="69"/>
      <c r="C11" s="60"/>
      <c r="D11" s="61"/>
      <c r="E11" s="74"/>
      <c r="F11" s="60"/>
      <c r="G11" s="60"/>
      <c r="H11" s="60"/>
      <c r="I11" s="60"/>
      <c r="J11" s="60"/>
      <c r="K11" s="56"/>
      <c r="L11" s="56"/>
      <c r="M11" s="56"/>
      <c r="N11" s="56"/>
      <c r="O11" s="56"/>
      <c r="P11" s="56"/>
      <c r="Q11" s="56"/>
      <c r="R11" s="56"/>
      <c r="S11" s="56"/>
      <c r="T11" s="56"/>
      <c r="U11" s="56"/>
      <c r="V11" s="56"/>
      <c r="W11" s="56"/>
      <c r="X11" s="56"/>
      <c r="Y11" s="56"/>
      <c r="Z11" s="56"/>
      <c r="AA11" s="56"/>
      <c r="AB11" s="56"/>
    </row>
    <row r="12">
      <c r="A12" s="76" t="s">
        <v>41</v>
      </c>
      <c r="B12" s="77" t="s">
        <v>42</v>
      </c>
      <c r="C12" s="64" t="s">
        <v>21</v>
      </c>
      <c r="D12" s="65" t="s">
        <v>81</v>
      </c>
      <c r="E12" s="78">
        <f>IFERROR(__xludf.DUMMYFUNCTION("COUNTA(SPLIT(D12,"" ""))/COUNTA(SPLIT($B$12,"" ""))"),0.17995444191343962)</f>
        <v>0.1799544419</v>
      </c>
      <c r="F12" s="67">
        <v>3.0</v>
      </c>
      <c r="G12" s="67">
        <v>4.0</v>
      </c>
      <c r="H12" s="67">
        <v>5.0</v>
      </c>
      <c r="I12" s="67">
        <v>4.0</v>
      </c>
      <c r="J12" s="67">
        <v>3.0</v>
      </c>
      <c r="K12" s="68"/>
      <c r="L12" s="68"/>
      <c r="M12" s="68"/>
      <c r="N12" s="68"/>
      <c r="O12" s="68"/>
      <c r="P12" s="68"/>
      <c r="Q12" s="68"/>
      <c r="R12" s="68"/>
      <c r="S12" s="68"/>
      <c r="T12" s="68"/>
      <c r="U12" s="68"/>
      <c r="V12" s="68"/>
      <c r="W12" s="68"/>
      <c r="X12" s="68"/>
      <c r="Y12" s="68"/>
      <c r="Z12" s="68"/>
      <c r="AA12" s="68"/>
      <c r="AB12" s="68"/>
    </row>
    <row r="13">
      <c r="C13" s="7" t="s">
        <v>22</v>
      </c>
      <c r="D13" s="54" t="s">
        <v>82</v>
      </c>
      <c r="E13" s="74">
        <f>IFERROR(__xludf.DUMMYFUNCTION("COUNTA(SPLIT(D13,"" ""))/COUNTA(SPLIT($B$12,"" ""))"),0.12984054669703873)</f>
        <v>0.1298405467</v>
      </c>
      <c r="F13" s="67">
        <v>2.0</v>
      </c>
      <c r="G13" s="67">
        <v>4.0</v>
      </c>
      <c r="H13" s="67">
        <v>5.0</v>
      </c>
      <c r="I13" s="67">
        <v>4.0</v>
      </c>
      <c r="J13" s="67">
        <v>3.0</v>
      </c>
      <c r="K13" s="56"/>
      <c r="L13" s="56"/>
      <c r="M13" s="56"/>
      <c r="N13" s="56"/>
      <c r="O13" s="56"/>
      <c r="P13" s="56"/>
      <c r="Q13" s="56"/>
      <c r="R13" s="56"/>
      <c r="S13" s="56"/>
      <c r="T13" s="56"/>
      <c r="U13" s="56"/>
      <c r="V13" s="56"/>
      <c r="W13" s="56"/>
      <c r="X13" s="56"/>
      <c r="Y13" s="56"/>
      <c r="Z13" s="56"/>
      <c r="AA13" s="56"/>
      <c r="AB13" s="56"/>
    </row>
    <row r="14">
      <c r="C14" s="7" t="s">
        <v>8</v>
      </c>
      <c r="D14" s="54" t="s">
        <v>83</v>
      </c>
      <c r="E14" s="74">
        <f>IFERROR(__xludf.DUMMYFUNCTION("COUNTA(SPLIT(D14,"" ""))/COUNTA(SPLIT($B$12,"" ""))"),0.14009111617312073)</f>
        <v>0.1400911162</v>
      </c>
      <c r="F14" s="7">
        <v>2.0</v>
      </c>
      <c r="G14" s="7">
        <v>5.0</v>
      </c>
      <c r="H14" s="7">
        <v>5.0</v>
      </c>
      <c r="I14" s="7">
        <v>4.0</v>
      </c>
      <c r="J14" s="7">
        <v>5.0</v>
      </c>
      <c r="K14" s="56"/>
      <c r="L14" s="56"/>
      <c r="M14" s="56"/>
      <c r="N14" s="56"/>
      <c r="O14" s="56"/>
      <c r="P14" s="56"/>
      <c r="Q14" s="56"/>
      <c r="R14" s="56"/>
      <c r="S14" s="56"/>
      <c r="T14" s="56"/>
      <c r="U14" s="56"/>
      <c r="V14" s="56"/>
      <c r="W14" s="56"/>
      <c r="X14" s="56"/>
      <c r="Y14" s="56"/>
      <c r="Z14" s="56"/>
      <c r="AA14" s="56"/>
      <c r="AB14" s="56"/>
    </row>
    <row r="15">
      <c r="C15" s="7" t="s">
        <v>23</v>
      </c>
      <c r="D15" s="54" t="s">
        <v>84</v>
      </c>
      <c r="E15" s="74">
        <f>IFERROR(__xludf.DUMMYFUNCTION("COUNTA(SPLIT(D15,"" ""))/COUNTA(SPLIT($B$12,"" ""))"),0.22095671981776766)</f>
        <v>0.2209567198</v>
      </c>
      <c r="F15" s="67">
        <v>3.0</v>
      </c>
      <c r="G15" s="67">
        <v>4.0</v>
      </c>
      <c r="H15" s="67">
        <v>1.0</v>
      </c>
      <c r="I15" s="67">
        <v>4.0</v>
      </c>
      <c r="J15" s="67">
        <v>3.0</v>
      </c>
      <c r="K15" s="56"/>
      <c r="L15" s="56"/>
      <c r="M15" s="56"/>
      <c r="N15" s="56"/>
      <c r="O15" s="56"/>
      <c r="P15" s="56"/>
      <c r="Q15" s="56"/>
      <c r="R15" s="56"/>
      <c r="S15" s="56"/>
      <c r="T15" s="56"/>
      <c r="U15" s="56"/>
      <c r="V15" s="56"/>
      <c r="W15" s="56"/>
      <c r="X15" s="56"/>
      <c r="Y15" s="56"/>
      <c r="Z15" s="56"/>
      <c r="AA15" s="56"/>
      <c r="AB15" s="56"/>
    </row>
    <row r="16">
      <c r="A16" s="75"/>
      <c r="B16" s="69"/>
      <c r="C16" s="60"/>
      <c r="D16" s="61"/>
      <c r="E16" s="74"/>
      <c r="F16" s="60"/>
      <c r="G16" s="60"/>
      <c r="H16" s="60"/>
      <c r="I16" s="60"/>
      <c r="J16" s="60"/>
      <c r="K16" s="56"/>
      <c r="L16" s="56"/>
      <c r="M16" s="56"/>
      <c r="N16" s="56"/>
      <c r="O16" s="56"/>
      <c r="P16" s="56"/>
      <c r="Q16" s="56"/>
      <c r="R16" s="56"/>
      <c r="S16" s="56"/>
      <c r="T16" s="56"/>
      <c r="U16" s="56"/>
      <c r="V16" s="56"/>
      <c r="W16" s="56"/>
      <c r="X16" s="56"/>
      <c r="Y16" s="56"/>
      <c r="Z16" s="56"/>
      <c r="AA16" s="56"/>
      <c r="AB16" s="56"/>
    </row>
    <row r="17">
      <c r="A17" s="76" t="s">
        <v>45</v>
      </c>
      <c r="B17" s="77" t="s">
        <v>46</v>
      </c>
      <c r="C17" s="64" t="s">
        <v>21</v>
      </c>
      <c r="D17" s="65" t="s">
        <v>85</v>
      </c>
      <c r="E17" s="78">
        <f>IFERROR(__xludf.DUMMYFUNCTION("COUNTA(SPLIT(D17,"" ""))/COUNTA(SPLIT($B$17,"" ""))"),0.2260536398467433)</f>
        <v>0.2260536398</v>
      </c>
      <c r="F17" s="67">
        <v>5.0</v>
      </c>
      <c r="G17" s="67">
        <v>4.0</v>
      </c>
      <c r="H17" s="67">
        <v>5.0</v>
      </c>
      <c r="I17" s="67">
        <v>4.0</v>
      </c>
      <c r="J17" s="67">
        <v>5.0</v>
      </c>
      <c r="K17" s="68"/>
      <c r="L17" s="68"/>
      <c r="M17" s="68"/>
      <c r="N17" s="68"/>
      <c r="O17" s="68"/>
      <c r="P17" s="68"/>
      <c r="Q17" s="68"/>
      <c r="R17" s="68"/>
      <c r="S17" s="68"/>
      <c r="T17" s="68"/>
      <c r="U17" s="68"/>
      <c r="V17" s="68"/>
      <c r="W17" s="68"/>
      <c r="X17" s="68"/>
      <c r="Y17" s="68"/>
      <c r="Z17" s="68"/>
      <c r="AA17" s="68"/>
      <c r="AB17" s="68"/>
    </row>
    <row r="18">
      <c r="C18" s="7" t="s">
        <v>22</v>
      </c>
      <c r="D18" s="54" t="s">
        <v>86</v>
      </c>
      <c r="E18" s="74">
        <f>IFERROR(__xludf.DUMMYFUNCTION("COUNTA(SPLIT(D18,"" ""))/COUNTA(SPLIT($B$17,"" ""))"),0.15197956577266922)</f>
        <v>0.1519795658</v>
      </c>
      <c r="F18" s="67">
        <v>3.0</v>
      </c>
      <c r="G18" s="67">
        <v>5.0</v>
      </c>
      <c r="H18" s="67">
        <v>5.0</v>
      </c>
      <c r="I18" s="67">
        <v>4.0</v>
      </c>
      <c r="J18" s="67">
        <v>5.0</v>
      </c>
      <c r="K18" s="56"/>
      <c r="L18" s="56"/>
      <c r="M18" s="56"/>
      <c r="N18" s="56"/>
      <c r="O18" s="56"/>
      <c r="P18" s="56"/>
      <c r="Q18" s="56"/>
      <c r="R18" s="56"/>
      <c r="S18" s="56"/>
      <c r="T18" s="56"/>
      <c r="U18" s="56"/>
      <c r="V18" s="56"/>
      <c r="W18" s="56"/>
      <c r="X18" s="56"/>
      <c r="Y18" s="56"/>
      <c r="Z18" s="56"/>
      <c r="AA18" s="56"/>
      <c r="AB18" s="56"/>
    </row>
    <row r="19">
      <c r="C19" s="7" t="s">
        <v>8</v>
      </c>
      <c r="D19" s="54" t="s">
        <v>87</v>
      </c>
      <c r="E19" s="74">
        <f>IFERROR(__xludf.DUMMYFUNCTION("COUNTA(SPLIT(D19,"" ""))/COUNTA(SPLIT($B$17,"" ""))"),0.14687100893997446)</f>
        <v>0.1468710089</v>
      </c>
      <c r="F19" s="7">
        <v>3.0</v>
      </c>
      <c r="G19" s="7">
        <v>5.0</v>
      </c>
      <c r="H19" s="7">
        <v>5.0</v>
      </c>
      <c r="I19" s="7">
        <v>4.0</v>
      </c>
      <c r="J19" s="7">
        <v>5.0</v>
      </c>
      <c r="K19" s="56"/>
      <c r="L19" s="56"/>
      <c r="M19" s="56"/>
      <c r="N19" s="56"/>
      <c r="O19" s="56"/>
      <c r="P19" s="56"/>
      <c r="Q19" s="56"/>
      <c r="R19" s="56"/>
      <c r="S19" s="56"/>
      <c r="T19" s="56"/>
      <c r="U19" s="56"/>
      <c r="V19" s="56"/>
      <c r="W19" s="56"/>
      <c r="X19" s="56"/>
      <c r="Y19" s="56"/>
      <c r="Z19" s="56"/>
      <c r="AA19" s="56"/>
      <c r="AB19" s="56"/>
    </row>
    <row r="20">
      <c r="C20" s="7" t="s">
        <v>23</v>
      </c>
      <c r="D20" s="54" t="s">
        <v>88</v>
      </c>
      <c r="E20" s="74">
        <f>IFERROR(__xludf.DUMMYFUNCTION("COUNTA(SPLIT(D20,"" ""))/COUNTA(SPLIT($B$17,"" ""))"),0.16475095785440613)</f>
        <v>0.1647509579</v>
      </c>
      <c r="F20" s="67">
        <v>3.0</v>
      </c>
      <c r="G20" s="67">
        <v>4.0</v>
      </c>
      <c r="H20" s="67">
        <v>1.0</v>
      </c>
      <c r="I20" s="67">
        <v>4.0</v>
      </c>
      <c r="J20" s="67">
        <v>5.0</v>
      </c>
      <c r="K20" s="56"/>
      <c r="L20" s="56"/>
      <c r="M20" s="56"/>
      <c r="N20" s="56"/>
      <c r="O20" s="56"/>
      <c r="P20" s="56"/>
      <c r="Q20" s="56"/>
      <c r="R20" s="56"/>
      <c r="S20" s="56"/>
      <c r="T20" s="56"/>
      <c r="U20" s="56"/>
      <c r="V20" s="56"/>
      <c r="W20" s="56"/>
      <c r="X20" s="56"/>
      <c r="Y20" s="56"/>
      <c r="Z20" s="56"/>
      <c r="AA20" s="56"/>
      <c r="AB20" s="56"/>
    </row>
    <row r="21">
      <c r="A21" s="75"/>
      <c r="B21" s="69"/>
      <c r="C21" s="60"/>
      <c r="D21" s="61"/>
      <c r="E21" s="74"/>
      <c r="F21" s="60"/>
      <c r="G21" s="60"/>
      <c r="H21" s="60"/>
      <c r="I21" s="60"/>
      <c r="J21" s="60"/>
      <c r="K21" s="56"/>
      <c r="L21" s="56"/>
      <c r="M21" s="56"/>
      <c r="N21" s="56"/>
      <c r="O21" s="56"/>
      <c r="P21" s="56"/>
      <c r="Q21" s="56"/>
      <c r="R21" s="56"/>
      <c r="S21" s="56"/>
      <c r="T21" s="56"/>
      <c r="U21" s="56"/>
      <c r="V21" s="56"/>
      <c r="W21" s="56"/>
      <c r="X21" s="56"/>
      <c r="Y21" s="56"/>
      <c r="Z21" s="56"/>
      <c r="AA21" s="56"/>
      <c r="AB21" s="56"/>
    </row>
    <row r="22">
      <c r="A22" s="76" t="s">
        <v>49</v>
      </c>
      <c r="B22" s="77" t="s">
        <v>50</v>
      </c>
      <c r="C22" s="64" t="s">
        <v>21</v>
      </c>
      <c r="D22" s="65" t="s">
        <v>89</v>
      </c>
      <c r="E22" s="78">
        <f>IFERROR(__xludf.DUMMYFUNCTION("COUNTA(SPLIT(D22,"" ""))/COUNTA(SPLIT($B$22,"" ""))"),0.26078028747433263)</f>
        <v>0.2607802875</v>
      </c>
      <c r="F22" s="67">
        <v>3.0</v>
      </c>
      <c r="G22" s="67">
        <v>5.0</v>
      </c>
      <c r="H22" s="67">
        <v>5.0</v>
      </c>
      <c r="I22" s="67">
        <v>3.0</v>
      </c>
      <c r="J22" s="67">
        <v>5.0</v>
      </c>
      <c r="K22" s="68"/>
      <c r="L22" s="68"/>
      <c r="M22" s="68"/>
      <c r="N22" s="68"/>
      <c r="O22" s="68"/>
      <c r="P22" s="68"/>
      <c r="Q22" s="68"/>
      <c r="R22" s="68"/>
      <c r="S22" s="68"/>
      <c r="T22" s="68"/>
      <c r="U22" s="68"/>
      <c r="V22" s="68"/>
      <c r="W22" s="68"/>
      <c r="X22" s="68"/>
      <c r="Y22" s="68"/>
      <c r="Z22" s="68"/>
      <c r="AA22" s="68"/>
      <c r="AB22" s="68"/>
    </row>
    <row r="23">
      <c r="C23" s="7" t="s">
        <v>22</v>
      </c>
      <c r="D23" s="54" t="s">
        <v>90</v>
      </c>
      <c r="E23" s="74">
        <f>IFERROR(__xludf.DUMMYFUNCTION("COUNTA(SPLIT(D23,"" ""))/COUNTA(SPLIT($B$22,"" ""))"),0.25256673511293637)</f>
        <v>0.2525667351</v>
      </c>
      <c r="F23" s="67">
        <v>3.0</v>
      </c>
      <c r="G23" s="67">
        <v>5.0</v>
      </c>
      <c r="H23" s="67">
        <v>5.0</v>
      </c>
      <c r="I23" s="67">
        <v>3.0</v>
      </c>
      <c r="J23" s="67">
        <v>5.0</v>
      </c>
      <c r="K23" s="56"/>
      <c r="L23" s="56"/>
      <c r="M23" s="56"/>
      <c r="N23" s="56"/>
      <c r="O23" s="56"/>
      <c r="P23" s="56"/>
      <c r="Q23" s="56"/>
      <c r="R23" s="56"/>
      <c r="S23" s="56"/>
      <c r="T23" s="56"/>
      <c r="U23" s="56"/>
      <c r="V23" s="56"/>
      <c r="W23" s="56"/>
      <c r="X23" s="56"/>
      <c r="Y23" s="56"/>
      <c r="Z23" s="56"/>
      <c r="AA23" s="56"/>
      <c r="AB23" s="56"/>
    </row>
    <row r="24">
      <c r="C24" s="7" t="s">
        <v>8</v>
      </c>
      <c r="D24" s="54" t="s">
        <v>91</v>
      </c>
      <c r="E24" s="74">
        <f>IFERROR(__xludf.DUMMYFUNCTION("COUNTA(SPLIT(D24,"" ""))/COUNTA(SPLIT($B$22,"" ""))"),0.2464065708418891)</f>
        <v>0.2464065708</v>
      </c>
      <c r="F24" s="7">
        <v>3.0</v>
      </c>
      <c r="G24" s="7">
        <v>5.0</v>
      </c>
      <c r="H24" s="7">
        <v>5.0</v>
      </c>
      <c r="I24" s="7">
        <v>4.0</v>
      </c>
      <c r="J24" s="7">
        <v>4.0</v>
      </c>
      <c r="K24" s="56"/>
      <c r="L24" s="56"/>
      <c r="M24" s="56"/>
      <c r="N24" s="56"/>
      <c r="O24" s="56"/>
      <c r="P24" s="56"/>
      <c r="Q24" s="56"/>
      <c r="R24" s="56"/>
      <c r="S24" s="56"/>
      <c r="T24" s="56"/>
      <c r="U24" s="56"/>
      <c r="V24" s="56"/>
      <c r="W24" s="56"/>
      <c r="X24" s="56"/>
      <c r="Y24" s="56"/>
      <c r="Z24" s="56"/>
      <c r="AA24" s="56"/>
      <c r="AB24" s="56"/>
    </row>
    <row r="25">
      <c r="C25" s="7" t="s">
        <v>23</v>
      </c>
      <c r="D25" s="54" t="s">
        <v>92</v>
      </c>
      <c r="E25" s="74">
        <f>IFERROR(__xludf.DUMMYFUNCTION("COUNTA(SPLIT(D25,"" ""))/COUNTA(SPLIT($B$22,"" ""))"),0.22176591375770022)</f>
        <v>0.2217659138</v>
      </c>
      <c r="F25" s="67">
        <v>3.0</v>
      </c>
      <c r="G25" s="67">
        <v>5.0</v>
      </c>
      <c r="H25" s="67">
        <v>1.0</v>
      </c>
      <c r="I25" s="67">
        <v>3.0</v>
      </c>
      <c r="J25" s="67">
        <v>5.0</v>
      </c>
      <c r="K25" s="56"/>
      <c r="L25" s="56"/>
      <c r="M25" s="56"/>
      <c r="N25" s="56"/>
      <c r="O25" s="56"/>
      <c r="P25" s="56"/>
      <c r="Q25" s="56"/>
      <c r="R25" s="56"/>
      <c r="S25" s="56"/>
      <c r="T25" s="56"/>
      <c r="U25" s="56"/>
      <c r="V25" s="56"/>
      <c r="W25" s="56"/>
      <c r="X25" s="56"/>
      <c r="Y25" s="56"/>
      <c r="Z25" s="56"/>
      <c r="AA25" s="56"/>
      <c r="AB25" s="56"/>
    </row>
    <row r="26">
      <c r="A26" s="75"/>
      <c r="B26" s="69"/>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c r="A27" s="79" t="s">
        <v>53</v>
      </c>
      <c r="B27" s="80" t="s">
        <v>54</v>
      </c>
      <c r="C27" s="81" t="s">
        <v>21</v>
      </c>
      <c r="D27" s="82" t="s">
        <v>93</v>
      </c>
      <c r="E27" s="83">
        <f>IFERROR(__xludf.DUMMYFUNCTION("COUNTA(SPLIT(D27,"" ""))/COUNTA(SPLIT($B$27,"" ""))"),0.2834890965732087)</f>
        <v>0.2834890966</v>
      </c>
      <c r="F27" s="7">
        <v>4.0</v>
      </c>
      <c r="G27" s="7">
        <v>5.0</v>
      </c>
      <c r="H27" s="7">
        <v>5.0</v>
      </c>
      <c r="I27" s="7">
        <v>3.0</v>
      </c>
      <c r="J27" s="7">
        <v>4.0</v>
      </c>
      <c r="K27" s="84"/>
      <c r="L27" s="84"/>
      <c r="M27" s="84"/>
      <c r="N27" s="84"/>
      <c r="O27" s="84"/>
      <c r="P27" s="84"/>
      <c r="Q27" s="84"/>
      <c r="R27" s="84"/>
      <c r="S27" s="84"/>
      <c r="T27" s="84"/>
      <c r="U27" s="84"/>
      <c r="V27" s="84"/>
      <c r="W27" s="84"/>
      <c r="X27" s="84"/>
      <c r="Y27" s="84"/>
      <c r="Z27" s="84"/>
      <c r="AA27" s="84"/>
      <c r="AB27" s="84"/>
    </row>
    <row r="28">
      <c r="C28" s="85" t="s">
        <v>22</v>
      </c>
      <c r="D28" s="57" t="s">
        <v>94</v>
      </c>
      <c r="E28" s="86">
        <f>IFERROR(__xludf.DUMMYFUNCTION("COUNTA(SPLIT(D28,"" ""))/COUNTA(SPLIT($B$27,"" ""))"),0.14797507788161993)</f>
        <v>0.1479750779</v>
      </c>
      <c r="F28" s="7">
        <v>4.0</v>
      </c>
      <c r="G28" s="7">
        <v>5.0</v>
      </c>
      <c r="H28" s="7">
        <v>4.0</v>
      </c>
      <c r="I28" s="7">
        <v>4.0</v>
      </c>
      <c r="J28" s="7">
        <v>3.0</v>
      </c>
      <c r="K28" s="69"/>
      <c r="L28" s="69"/>
      <c r="M28" s="69"/>
      <c r="N28" s="69"/>
      <c r="O28" s="69"/>
      <c r="P28" s="69"/>
      <c r="Q28" s="69"/>
      <c r="R28" s="69"/>
      <c r="S28" s="69"/>
      <c r="T28" s="69"/>
      <c r="U28" s="69"/>
      <c r="V28" s="69"/>
      <c r="W28" s="69"/>
      <c r="X28" s="69"/>
      <c r="Y28" s="69"/>
      <c r="Z28" s="69"/>
      <c r="AA28" s="69"/>
      <c r="AB28" s="69"/>
    </row>
    <row r="29">
      <c r="C29" s="85" t="s">
        <v>8</v>
      </c>
      <c r="D29" s="57" t="s">
        <v>95</v>
      </c>
      <c r="E29" s="87">
        <f>IFERROR(__xludf.DUMMYFUNCTION("COUNTA(SPLIT(D29,"" ""))/COUNTA(SPLIT($B$27,"" ""))"),0.27414330218068533)</f>
        <v>0.2741433022</v>
      </c>
      <c r="F29" s="7">
        <v>3.0</v>
      </c>
      <c r="G29" s="7">
        <v>5.0</v>
      </c>
      <c r="H29" s="7">
        <v>5.0</v>
      </c>
      <c r="I29" s="7">
        <v>3.0</v>
      </c>
      <c r="J29" s="7">
        <v>5.0</v>
      </c>
      <c r="K29" s="69"/>
      <c r="L29" s="69"/>
      <c r="M29" s="69"/>
      <c r="N29" s="69"/>
      <c r="O29" s="69"/>
      <c r="P29" s="69"/>
      <c r="Q29" s="69"/>
      <c r="R29" s="69"/>
      <c r="S29" s="69"/>
      <c r="T29" s="69"/>
      <c r="U29" s="69"/>
      <c r="V29" s="69"/>
      <c r="W29" s="69"/>
      <c r="X29" s="69"/>
      <c r="Y29" s="69"/>
      <c r="Z29" s="69"/>
      <c r="AA29" s="69"/>
      <c r="AB29" s="69"/>
    </row>
    <row r="30">
      <c r="C30" s="85" t="s">
        <v>23</v>
      </c>
      <c r="D30" s="57" t="s">
        <v>96</v>
      </c>
      <c r="E30" s="88">
        <f>IFERROR(__xludf.DUMMYFUNCTION("COUNTA(SPLIT(D30,"" ""))/COUNTA(SPLIT($B$27,"" ""))"),0.2507788161993769)</f>
        <v>0.2507788162</v>
      </c>
      <c r="F30" s="7">
        <v>3.0</v>
      </c>
      <c r="G30" s="7">
        <v>5.0</v>
      </c>
      <c r="H30" s="7">
        <v>1.0</v>
      </c>
      <c r="I30" s="7">
        <v>4.0</v>
      </c>
      <c r="J30" s="7">
        <v>5.0</v>
      </c>
      <c r="K30" s="69"/>
      <c r="L30" s="69"/>
      <c r="M30" s="69"/>
      <c r="N30" s="69"/>
      <c r="O30" s="69"/>
      <c r="P30" s="69"/>
      <c r="Q30" s="69"/>
      <c r="R30" s="69"/>
      <c r="S30" s="69"/>
      <c r="T30" s="69"/>
      <c r="U30" s="69"/>
      <c r="V30" s="69"/>
      <c r="W30" s="69"/>
      <c r="X30" s="69"/>
      <c r="Y30" s="69"/>
      <c r="Z30" s="69"/>
      <c r="AA30" s="69"/>
      <c r="AB30" s="69"/>
    </row>
    <row r="31">
      <c r="A31" s="75"/>
      <c r="B31" s="69"/>
      <c r="C31" s="60"/>
      <c r="D31" s="61"/>
      <c r="E31" s="69"/>
      <c r="F31" s="60"/>
      <c r="G31" s="60"/>
      <c r="H31" s="60"/>
      <c r="I31" s="60"/>
      <c r="J31" s="60"/>
      <c r="K31" s="56"/>
      <c r="L31" s="56"/>
      <c r="M31" s="56"/>
      <c r="N31" s="56"/>
      <c r="O31" s="56"/>
      <c r="P31" s="56"/>
      <c r="Q31" s="56"/>
      <c r="R31" s="56"/>
      <c r="S31" s="56"/>
      <c r="T31" s="56"/>
      <c r="U31" s="56"/>
      <c r="V31" s="56"/>
      <c r="W31" s="56"/>
      <c r="X31" s="56"/>
      <c r="Y31" s="56"/>
      <c r="Z31" s="56"/>
      <c r="AA31" s="56"/>
      <c r="AB31" s="56"/>
    </row>
    <row r="32">
      <c r="A32" s="89" t="s">
        <v>57</v>
      </c>
      <c r="B32" s="90" t="s">
        <v>58</v>
      </c>
      <c r="C32" s="81" t="s">
        <v>21</v>
      </c>
      <c r="D32" s="82" t="s">
        <v>97</v>
      </c>
      <c r="E32" s="83">
        <f>IFERROR(__xludf.DUMMYFUNCTION("COUNTA(SPLIT(D32,"" ""))/COUNTA(SPLIT($B$32,"" ""))"),0.12362838332114119)</f>
        <v>0.1236283833</v>
      </c>
      <c r="F32" s="7">
        <v>3.0</v>
      </c>
      <c r="G32" s="7">
        <v>5.0</v>
      </c>
      <c r="H32" s="7">
        <v>5.0</v>
      </c>
      <c r="I32" s="7">
        <v>5.0</v>
      </c>
      <c r="J32" s="7">
        <v>4.0</v>
      </c>
      <c r="K32" s="84"/>
      <c r="L32" s="84"/>
      <c r="M32" s="84"/>
      <c r="N32" s="84"/>
      <c r="O32" s="84"/>
      <c r="P32" s="84"/>
      <c r="Q32" s="84"/>
      <c r="R32" s="84"/>
      <c r="S32" s="84"/>
      <c r="T32" s="84"/>
      <c r="U32" s="84"/>
      <c r="V32" s="84"/>
      <c r="W32" s="84"/>
      <c r="X32" s="84"/>
      <c r="Y32" s="84"/>
      <c r="Z32" s="84"/>
      <c r="AA32" s="84"/>
      <c r="AB32" s="84"/>
    </row>
    <row r="33">
      <c r="C33" s="85" t="s">
        <v>22</v>
      </c>
      <c r="D33" s="57" t="s">
        <v>98</v>
      </c>
      <c r="E33" s="86">
        <f>IFERROR(__xludf.DUMMYFUNCTION("COUNTA(SPLIT(D33,"" ""))/COUNTA(SPLIT($B$32,"" ""))"),0.12216532553035844)</f>
        <v>0.1221653255</v>
      </c>
      <c r="F33" s="7">
        <v>5.0</v>
      </c>
      <c r="G33" s="7">
        <v>5.0</v>
      </c>
      <c r="H33" s="7">
        <v>5.0</v>
      </c>
      <c r="I33" s="7">
        <v>4.0</v>
      </c>
      <c r="J33" s="7">
        <v>4.0</v>
      </c>
      <c r="K33" s="69"/>
      <c r="L33" s="69"/>
      <c r="M33" s="69"/>
      <c r="N33" s="69"/>
      <c r="O33" s="69"/>
      <c r="P33" s="69"/>
      <c r="Q33" s="69"/>
      <c r="R33" s="69"/>
      <c r="S33" s="69"/>
      <c r="T33" s="69"/>
      <c r="U33" s="69"/>
      <c r="V33" s="69"/>
      <c r="W33" s="69"/>
      <c r="X33" s="69"/>
      <c r="Y33" s="69"/>
      <c r="Z33" s="69"/>
      <c r="AA33" s="69"/>
      <c r="AB33" s="69"/>
    </row>
    <row r="34">
      <c r="C34" s="85" t="s">
        <v>8</v>
      </c>
      <c r="D34" s="57" t="s">
        <v>99</v>
      </c>
      <c r="E34" s="87">
        <f>IFERROR(__xludf.DUMMYFUNCTION("COUNTA(SPLIT(D34,"" ""))/COUNTA(SPLIT($B$32,"" ""))"),0.12362838332114119)</f>
        <v>0.1236283833</v>
      </c>
      <c r="F34" s="7">
        <v>2.0</v>
      </c>
      <c r="G34" s="7">
        <v>5.0</v>
      </c>
      <c r="H34" s="7">
        <v>5.0</v>
      </c>
      <c r="I34" s="7">
        <v>4.0</v>
      </c>
      <c r="J34" s="7">
        <v>3.0</v>
      </c>
      <c r="K34" s="69"/>
      <c r="L34" s="69"/>
      <c r="M34" s="69"/>
      <c r="N34" s="69"/>
      <c r="O34" s="69"/>
      <c r="P34" s="69"/>
      <c r="Q34" s="69"/>
      <c r="R34" s="69"/>
      <c r="S34" s="69"/>
      <c r="T34" s="69"/>
      <c r="U34" s="69"/>
      <c r="V34" s="69"/>
      <c r="W34" s="69"/>
      <c r="X34" s="69"/>
      <c r="Y34" s="69"/>
      <c r="Z34" s="69"/>
      <c r="AA34" s="69"/>
      <c r="AB34" s="69"/>
    </row>
    <row r="35">
      <c r="C35" s="85" t="s">
        <v>23</v>
      </c>
      <c r="D35" s="57" t="s">
        <v>100</v>
      </c>
      <c r="E35" s="88">
        <f>IFERROR(__xludf.DUMMYFUNCTION("COUNTA(SPLIT(D35,"" ""))/COUNTA(SPLIT($B$32,"" ""))"),0.11997073884418434)</f>
        <v>0.1199707388</v>
      </c>
      <c r="F35" s="7">
        <v>3.0</v>
      </c>
      <c r="G35" s="7">
        <v>5.0</v>
      </c>
      <c r="H35" s="7">
        <v>1.0</v>
      </c>
      <c r="I35" s="7">
        <v>4.0</v>
      </c>
      <c r="J35" s="7">
        <v>4.0</v>
      </c>
      <c r="K35" s="69"/>
      <c r="L35" s="69"/>
      <c r="M35" s="69"/>
      <c r="N35" s="69"/>
      <c r="O35" s="69"/>
      <c r="P35" s="69"/>
      <c r="Q35" s="69"/>
      <c r="R35" s="69"/>
      <c r="S35" s="69"/>
      <c r="T35" s="69"/>
      <c r="U35" s="69"/>
      <c r="V35" s="69"/>
      <c r="W35" s="69"/>
      <c r="X35" s="69"/>
      <c r="Y35" s="69"/>
      <c r="Z35" s="69"/>
      <c r="AA35" s="69"/>
      <c r="AB35" s="69"/>
    </row>
    <row r="36">
      <c r="A36" s="75"/>
      <c r="B36" s="69"/>
      <c r="C36" s="60"/>
      <c r="D36" s="61"/>
      <c r="E36" s="69"/>
      <c r="F36" s="60"/>
      <c r="G36" s="60"/>
      <c r="H36" s="60"/>
      <c r="I36" s="60"/>
      <c r="J36" s="60"/>
      <c r="K36" s="56"/>
      <c r="L36" s="56"/>
      <c r="M36" s="56"/>
      <c r="N36" s="56"/>
      <c r="O36" s="56"/>
      <c r="P36" s="56"/>
      <c r="Q36" s="56"/>
      <c r="R36" s="56"/>
      <c r="S36" s="56"/>
      <c r="T36" s="56"/>
      <c r="U36" s="56"/>
      <c r="V36" s="56"/>
      <c r="W36" s="56"/>
      <c r="X36" s="56"/>
      <c r="Y36" s="56"/>
      <c r="Z36" s="56"/>
      <c r="AA36" s="56"/>
      <c r="AB36" s="56"/>
    </row>
    <row r="37">
      <c r="A37" s="89" t="s">
        <v>61</v>
      </c>
      <c r="B37" s="90" t="s">
        <v>62</v>
      </c>
      <c r="C37" s="81" t="s">
        <v>21</v>
      </c>
      <c r="D37" s="82" t="s">
        <v>101</v>
      </c>
      <c r="E37" s="83">
        <f>IFERROR(__xludf.DUMMYFUNCTION("COUNTA(SPLIT(D37,"" ""))/COUNTA(SPLIT($B$37,"" ""))"),0.1141439205955335)</f>
        <v>0.1141439206</v>
      </c>
      <c r="F37" s="7">
        <v>3.0</v>
      </c>
      <c r="G37" s="7">
        <v>5.0</v>
      </c>
      <c r="H37" s="7">
        <v>5.0</v>
      </c>
      <c r="I37" s="7">
        <v>4.0</v>
      </c>
      <c r="J37" s="7">
        <v>3.0</v>
      </c>
      <c r="K37" s="84"/>
      <c r="L37" s="84"/>
      <c r="M37" s="84"/>
      <c r="N37" s="84"/>
      <c r="O37" s="84"/>
      <c r="P37" s="84"/>
      <c r="Q37" s="84"/>
      <c r="R37" s="84"/>
      <c r="S37" s="84"/>
      <c r="T37" s="84"/>
      <c r="U37" s="84"/>
      <c r="V37" s="84"/>
      <c r="W37" s="84"/>
      <c r="X37" s="84"/>
      <c r="Y37" s="84"/>
      <c r="Z37" s="84"/>
      <c r="AA37" s="84"/>
      <c r="AB37" s="84"/>
    </row>
    <row r="38">
      <c r="C38" s="85" t="s">
        <v>22</v>
      </c>
      <c r="D38" s="57" t="s">
        <v>102</v>
      </c>
      <c r="E38" s="86">
        <f>IFERROR(__xludf.DUMMYFUNCTION("COUNTA(SPLIT(D38,"" ""))/COUNTA(SPLIT($B$37,"" ""))"),0.11042183622828784)</f>
        <v>0.1104218362</v>
      </c>
      <c r="F38" s="7">
        <v>5.0</v>
      </c>
      <c r="G38" s="7">
        <v>5.0</v>
      </c>
      <c r="H38" s="7">
        <v>5.0</v>
      </c>
      <c r="I38" s="7">
        <v>4.0</v>
      </c>
      <c r="J38" s="7">
        <v>3.0</v>
      </c>
      <c r="K38" s="69"/>
      <c r="L38" s="69"/>
      <c r="M38" s="69"/>
      <c r="N38" s="69"/>
      <c r="O38" s="69"/>
      <c r="P38" s="69"/>
      <c r="Q38" s="69"/>
      <c r="R38" s="69"/>
      <c r="S38" s="69"/>
      <c r="T38" s="69"/>
      <c r="U38" s="69"/>
      <c r="V38" s="69"/>
      <c r="W38" s="69"/>
      <c r="X38" s="69"/>
      <c r="Y38" s="69"/>
      <c r="Z38" s="69"/>
      <c r="AA38" s="69"/>
      <c r="AB38" s="69"/>
    </row>
    <row r="39">
      <c r="C39" s="85" t="s">
        <v>8</v>
      </c>
      <c r="D39" s="57" t="s">
        <v>103</v>
      </c>
      <c r="E39" s="87">
        <f>IFERROR(__xludf.DUMMYFUNCTION("COUNTA(SPLIT(D39,"" ""))/COUNTA(SPLIT($B$37,"" ""))"),0.11662531017369727)</f>
        <v>0.1166253102</v>
      </c>
      <c r="F39" s="7">
        <v>3.0</v>
      </c>
      <c r="G39" s="7">
        <v>5.0</v>
      </c>
      <c r="H39" s="7">
        <v>5.0</v>
      </c>
      <c r="I39" s="7">
        <v>4.0</v>
      </c>
      <c r="J39" s="7">
        <v>4.0</v>
      </c>
      <c r="K39" s="69"/>
      <c r="L39" s="69"/>
      <c r="M39" s="69"/>
      <c r="N39" s="69"/>
      <c r="O39" s="69"/>
      <c r="P39" s="69"/>
      <c r="Q39" s="69"/>
      <c r="R39" s="69"/>
      <c r="S39" s="69"/>
      <c r="T39" s="69"/>
      <c r="U39" s="69"/>
      <c r="V39" s="69"/>
      <c r="W39" s="69"/>
      <c r="X39" s="69"/>
      <c r="Y39" s="69"/>
      <c r="Z39" s="69"/>
      <c r="AA39" s="69"/>
      <c r="AB39" s="69"/>
    </row>
    <row r="40">
      <c r="C40" s="85" t="s">
        <v>23</v>
      </c>
      <c r="D40" s="57" t="s">
        <v>104</v>
      </c>
      <c r="E40" s="88">
        <f>IFERROR(__xludf.DUMMYFUNCTION("COUNTA(SPLIT(D40,"" ""))/COUNTA(SPLIT($B$37,"" ""))"),0.10173697270471464)</f>
        <v>0.1017369727</v>
      </c>
      <c r="F40" s="7">
        <v>3.0</v>
      </c>
      <c r="G40" s="7">
        <v>5.0</v>
      </c>
      <c r="H40" s="7">
        <v>5.0</v>
      </c>
      <c r="I40" s="7">
        <v>4.0</v>
      </c>
      <c r="J40" s="7">
        <v>4.0</v>
      </c>
      <c r="K40" s="69"/>
      <c r="L40" s="69"/>
      <c r="M40" s="69"/>
      <c r="N40" s="69"/>
      <c r="O40" s="69"/>
      <c r="P40" s="69"/>
      <c r="Q40" s="69"/>
      <c r="R40" s="69"/>
      <c r="S40" s="69"/>
      <c r="T40" s="69"/>
      <c r="U40" s="69"/>
      <c r="V40" s="69"/>
      <c r="W40" s="69"/>
      <c r="X40" s="69"/>
      <c r="Y40" s="69"/>
      <c r="Z40" s="69"/>
      <c r="AA40" s="69"/>
      <c r="AB40" s="69"/>
    </row>
    <row r="41">
      <c r="A41" s="75"/>
      <c r="B41" s="69"/>
      <c r="C41" s="60"/>
      <c r="D41" s="61"/>
      <c r="E41" s="69"/>
      <c r="F41" s="60"/>
      <c r="G41" s="60"/>
      <c r="H41" s="60"/>
      <c r="I41" s="60"/>
      <c r="J41" s="60"/>
      <c r="K41" s="56"/>
      <c r="L41" s="56"/>
      <c r="M41" s="56"/>
      <c r="N41" s="56"/>
      <c r="O41" s="56"/>
      <c r="P41" s="56"/>
      <c r="Q41" s="56"/>
      <c r="R41" s="56"/>
      <c r="S41" s="56"/>
      <c r="T41" s="56"/>
      <c r="U41" s="56"/>
      <c r="V41" s="56"/>
      <c r="W41" s="56"/>
      <c r="X41" s="56"/>
      <c r="Y41" s="56"/>
      <c r="Z41" s="56"/>
      <c r="AA41" s="56"/>
      <c r="AB41" s="56"/>
    </row>
    <row r="42">
      <c r="A42" s="89" t="s">
        <v>65</v>
      </c>
      <c r="B42" s="90" t="s">
        <v>66</v>
      </c>
      <c r="C42" s="81" t="s">
        <v>21</v>
      </c>
      <c r="D42" s="82" t="s">
        <v>105</v>
      </c>
      <c r="E42" s="83">
        <f>IFERROR(__xludf.DUMMYFUNCTION("COUNTA(SPLIT(D42,"" ""))/COUNTA(SPLIT($B$42,"" ""))"),0.1607806691449814)</f>
        <v>0.1607806691</v>
      </c>
      <c r="F42" s="7">
        <v>4.0</v>
      </c>
      <c r="G42" s="7">
        <v>5.0</v>
      </c>
      <c r="H42" s="7">
        <v>5.0</v>
      </c>
      <c r="I42" s="7">
        <v>4.0</v>
      </c>
      <c r="J42" s="7">
        <v>5.0</v>
      </c>
      <c r="K42" s="84"/>
      <c r="L42" s="84"/>
      <c r="M42" s="84"/>
      <c r="N42" s="84"/>
      <c r="O42" s="84"/>
      <c r="P42" s="84"/>
      <c r="Q42" s="84"/>
      <c r="R42" s="84"/>
      <c r="S42" s="84"/>
      <c r="T42" s="84"/>
      <c r="U42" s="84"/>
      <c r="V42" s="84"/>
      <c r="W42" s="84"/>
      <c r="X42" s="84"/>
      <c r="Y42" s="84"/>
      <c r="Z42" s="84"/>
      <c r="AA42" s="84"/>
      <c r="AB42" s="84"/>
    </row>
    <row r="43">
      <c r="C43" s="85" t="s">
        <v>22</v>
      </c>
      <c r="D43" s="57" t="s">
        <v>106</v>
      </c>
      <c r="E43" s="86">
        <f>IFERROR(__xludf.DUMMYFUNCTION("COUNTA(SPLIT(D43,"" ""))/COUNTA(SPLIT($B$42,"" ""))"),0.15613382899628253)</f>
        <v>0.156133829</v>
      </c>
      <c r="F43" s="7">
        <v>3.0</v>
      </c>
      <c r="G43" s="7">
        <v>5.0</v>
      </c>
      <c r="H43" s="7">
        <v>5.0</v>
      </c>
      <c r="I43" s="7">
        <v>4.0</v>
      </c>
      <c r="J43" s="7">
        <v>5.0</v>
      </c>
      <c r="K43" s="69"/>
      <c r="L43" s="69"/>
      <c r="M43" s="69"/>
      <c r="N43" s="69"/>
      <c r="O43" s="69"/>
      <c r="P43" s="69"/>
      <c r="Q43" s="69"/>
      <c r="R43" s="69"/>
      <c r="S43" s="69"/>
      <c r="T43" s="69"/>
      <c r="U43" s="69"/>
      <c r="V43" s="69"/>
      <c r="W43" s="69"/>
      <c r="X43" s="69"/>
      <c r="Y43" s="69"/>
      <c r="Z43" s="69"/>
      <c r="AA43" s="69"/>
      <c r="AB43" s="69"/>
    </row>
    <row r="44">
      <c r="C44" s="85" t="s">
        <v>8</v>
      </c>
      <c r="D44" s="57" t="s">
        <v>107</v>
      </c>
      <c r="E44" s="87">
        <f>IFERROR(__xludf.DUMMYFUNCTION("COUNTA(SPLIT(D44,"" ""))/COUNTA(SPLIT($B$42,"" ""))"),0.17565055762081785)</f>
        <v>0.1756505576</v>
      </c>
      <c r="F44" s="7">
        <v>3.0</v>
      </c>
      <c r="G44" s="7">
        <v>4.0</v>
      </c>
      <c r="H44" s="7">
        <v>5.0</v>
      </c>
      <c r="I44" s="7">
        <v>3.0</v>
      </c>
      <c r="J44" s="7">
        <v>5.0</v>
      </c>
      <c r="K44" s="69"/>
      <c r="L44" s="69"/>
      <c r="M44" s="69"/>
      <c r="N44" s="69"/>
      <c r="O44" s="69"/>
      <c r="P44" s="69"/>
      <c r="Q44" s="69"/>
      <c r="R44" s="69"/>
      <c r="S44" s="69"/>
      <c r="T44" s="69"/>
      <c r="U44" s="69"/>
      <c r="V44" s="69"/>
      <c r="W44" s="69"/>
      <c r="X44" s="69"/>
      <c r="Y44" s="69"/>
      <c r="Z44" s="69"/>
      <c r="AA44" s="69"/>
      <c r="AB44" s="69"/>
    </row>
    <row r="45">
      <c r="C45" s="85" t="s">
        <v>23</v>
      </c>
      <c r="D45" s="57" t="s">
        <v>108</v>
      </c>
      <c r="E45" s="88">
        <f>IFERROR(__xludf.DUMMYFUNCTION("COUNTA(SPLIT(D45,"" ""))/COUNTA(SPLIT($B$42,"" ""))"),0.14312267657992564)</f>
        <v>0.1431226766</v>
      </c>
      <c r="F45" s="7">
        <v>3.0</v>
      </c>
      <c r="G45" s="7">
        <v>3.0</v>
      </c>
      <c r="H45" s="7">
        <v>5.0</v>
      </c>
      <c r="I45" s="7">
        <v>4.0</v>
      </c>
      <c r="J45" s="7">
        <v>5.0</v>
      </c>
      <c r="K45" s="69"/>
      <c r="L45" s="69"/>
      <c r="M45" s="69"/>
      <c r="N45" s="69"/>
      <c r="O45" s="69"/>
      <c r="P45" s="69"/>
      <c r="Q45" s="69"/>
      <c r="R45" s="69"/>
      <c r="S45" s="69"/>
      <c r="T45" s="69"/>
      <c r="U45" s="69"/>
      <c r="V45" s="69"/>
      <c r="W45" s="69"/>
      <c r="X45" s="69"/>
      <c r="Y45" s="69"/>
      <c r="Z45" s="69"/>
      <c r="AA45" s="69"/>
      <c r="AB45" s="69"/>
    </row>
    <row r="46">
      <c r="A46" s="75"/>
      <c r="B46" s="69"/>
      <c r="C46" s="60"/>
      <c r="D46" s="61"/>
      <c r="E46" s="69"/>
      <c r="F46" s="60"/>
      <c r="G46" s="60"/>
      <c r="H46" s="60"/>
      <c r="I46" s="60"/>
      <c r="J46" s="60"/>
      <c r="K46" s="56"/>
      <c r="L46" s="56"/>
      <c r="M46" s="56"/>
      <c r="N46" s="56"/>
      <c r="O46" s="56"/>
      <c r="P46" s="56"/>
      <c r="Q46" s="56"/>
      <c r="R46" s="56"/>
      <c r="S46" s="56"/>
      <c r="T46" s="56"/>
      <c r="U46" s="56"/>
      <c r="V46" s="56"/>
      <c r="W46" s="56"/>
      <c r="X46" s="56"/>
      <c r="Y46" s="56"/>
      <c r="Z46" s="56"/>
      <c r="AA46" s="56"/>
      <c r="AB46" s="56"/>
    </row>
    <row r="47">
      <c r="A47" s="89" t="s">
        <v>69</v>
      </c>
      <c r="B47" s="90" t="s">
        <v>70</v>
      </c>
      <c r="C47" s="81" t="s">
        <v>21</v>
      </c>
      <c r="D47" s="82" t="s">
        <v>109</v>
      </c>
      <c r="E47" s="83">
        <f>IFERROR(__xludf.DUMMYFUNCTION("COUNTA(SPLIT(D47,"" ""))/COUNTA(SPLIT($B$47,"" ""))"),0.2901960784313726)</f>
        <v>0.2901960784</v>
      </c>
      <c r="F47" s="7">
        <v>4.0</v>
      </c>
      <c r="G47" s="7">
        <v>5.0</v>
      </c>
      <c r="H47" s="7">
        <v>5.0</v>
      </c>
      <c r="I47" s="7">
        <v>5.0</v>
      </c>
      <c r="J47" s="7">
        <v>5.0</v>
      </c>
      <c r="K47" s="84"/>
      <c r="L47" s="84"/>
      <c r="M47" s="84"/>
      <c r="N47" s="84"/>
      <c r="O47" s="84"/>
      <c r="P47" s="84"/>
      <c r="Q47" s="84"/>
      <c r="R47" s="84"/>
      <c r="S47" s="84"/>
      <c r="T47" s="84"/>
      <c r="U47" s="84"/>
      <c r="V47" s="84"/>
      <c r="W47" s="84"/>
      <c r="X47" s="84"/>
      <c r="Y47" s="84"/>
      <c r="Z47" s="84"/>
      <c r="AA47" s="84"/>
      <c r="AB47" s="84"/>
    </row>
    <row r="48">
      <c r="C48" s="85" t="s">
        <v>22</v>
      </c>
      <c r="D48" s="57" t="s">
        <v>110</v>
      </c>
      <c r="E48" s="86">
        <f>IFERROR(__xludf.DUMMYFUNCTION("COUNTA(SPLIT(D48,"" ""))/COUNTA(SPLIT($B$47,"" ""))"),0.29215686274509806)</f>
        <v>0.2921568627</v>
      </c>
      <c r="F48" s="7">
        <v>4.0</v>
      </c>
      <c r="G48" s="7">
        <v>5.0</v>
      </c>
      <c r="H48" s="7">
        <v>5.0</v>
      </c>
      <c r="I48" s="7">
        <v>4.0</v>
      </c>
      <c r="J48" s="7">
        <v>4.0</v>
      </c>
      <c r="K48" s="69"/>
      <c r="L48" s="69"/>
      <c r="M48" s="69"/>
      <c r="N48" s="69"/>
      <c r="O48" s="69"/>
      <c r="P48" s="69"/>
      <c r="Q48" s="69"/>
      <c r="R48" s="69"/>
      <c r="S48" s="69"/>
      <c r="T48" s="69"/>
      <c r="U48" s="69"/>
      <c r="V48" s="69"/>
      <c r="W48" s="69"/>
      <c r="X48" s="69"/>
      <c r="Y48" s="69"/>
      <c r="Z48" s="69"/>
      <c r="AA48" s="69"/>
      <c r="AB48" s="69"/>
    </row>
    <row r="49">
      <c r="C49" s="85" t="s">
        <v>8</v>
      </c>
      <c r="D49" s="57" t="s">
        <v>111</v>
      </c>
      <c r="E49" s="87">
        <f>IFERROR(__xludf.DUMMYFUNCTION("COUNTA(SPLIT(D49,"" ""))/COUNTA(SPLIT($B$47,"" ""))"),0.34705882352941175)</f>
        <v>0.3470588235</v>
      </c>
      <c r="F49" s="7">
        <v>3.0</v>
      </c>
      <c r="G49" s="7">
        <v>5.0</v>
      </c>
      <c r="H49" s="7">
        <v>5.0</v>
      </c>
      <c r="I49" s="7">
        <v>3.0</v>
      </c>
      <c r="J49" s="7">
        <v>4.0</v>
      </c>
      <c r="K49" s="69"/>
      <c r="L49" s="69"/>
      <c r="M49" s="69"/>
      <c r="N49" s="69"/>
      <c r="O49" s="69"/>
      <c r="P49" s="69"/>
      <c r="Q49" s="69"/>
      <c r="R49" s="69"/>
      <c r="S49" s="69"/>
      <c r="T49" s="69"/>
      <c r="U49" s="69"/>
      <c r="V49" s="69"/>
      <c r="W49" s="69"/>
      <c r="X49" s="69"/>
      <c r="Y49" s="69"/>
      <c r="Z49" s="69"/>
      <c r="AA49" s="69"/>
      <c r="AB49" s="69"/>
    </row>
    <row r="50">
      <c r="C50" s="85" t="s">
        <v>23</v>
      </c>
      <c r="D50" s="57" t="s">
        <v>112</v>
      </c>
      <c r="E50" s="88">
        <f>IFERROR(__xludf.DUMMYFUNCTION("COUNTA(SPLIT(D50,"" ""))/COUNTA(SPLIT($B$47,"" ""))"),0.2647058823529412)</f>
        <v>0.2647058824</v>
      </c>
      <c r="F50" s="7">
        <v>3.0</v>
      </c>
      <c r="G50" s="7">
        <v>5.0</v>
      </c>
      <c r="H50" s="7">
        <v>5.0</v>
      </c>
      <c r="I50" s="7">
        <v>4.0</v>
      </c>
      <c r="J50" s="7">
        <v>5.0</v>
      </c>
      <c r="K50" s="69"/>
      <c r="L50" s="69"/>
      <c r="M50" s="69"/>
      <c r="N50" s="69"/>
      <c r="O50" s="69"/>
      <c r="P50" s="69"/>
      <c r="Q50" s="69"/>
      <c r="R50" s="69"/>
      <c r="S50" s="69"/>
      <c r="T50" s="69"/>
      <c r="U50" s="69"/>
      <c r="V50" s="69"/>
      <c r="W50" s="69"/>
      <c r="X50" s="69"/>
      <c r="Y50" s="69"/>
      <c r="Z50" s="69"/>
      <c r="AA50" s="69"/>
      <c r="AB50" s="69"/>
    </row>
    <row r="51">
      <c r="A51" s="75"/>
      <c r="B51" s="69"/>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75"/>
      <c r="B52" s="69"/>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75"/>
      <c r="B53" s="69"/>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75"/>
      <c r="B54" s="69"/>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75"/>
      <c r="B55" s="69"/>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75"/>
      <c r="B56" s="69"/>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75"/>
      <c r="B57" s="69"/>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75"/>
      <c r="B58" s="69"/>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75"/>
      <c r="B59" s="69"/>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75"/>
      <c r="B60" s="69"/>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75"/>
      <c r="B61" s="69"/>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75"/>
      <c r="B62" s="69"/>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75"/>
      <c r="B63" s="69"/>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75"/>
      <c r="B64" s="69"/>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75"/>
      <c r="B65" s="69"/>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75"/>
      <c r="B66" s="69"/>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75"/>
      <c r="B67" s="69"/>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75"/>
      <c r="B68" s="69"/>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75"/>
      <c r="B69" s="69"/>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75"/>
      <c r="B70" s="69"/>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75"/>
      <c r="B71" s="69"/>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75"/>
      <c r="B72" s="69"/>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75"/>
      <c r="B73" s="69"/>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75"/>
      <c r="B74" s="69"/>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75"/>
      <c r="B75" s="69"/>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75"/>
      <c r="B76" s="69"/>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75"/>
      <c r="B77" s="69"/>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75"/>
      <c r="B78" s="69"/>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75"/>
      <c r="B79" s="69"/>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75"/>
      <c r="B80" s="69"/>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75"/>
      <c r="B81" s="69"/>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75"/>
      <c r="B82" s="69"/>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75"/>
      <c r="B83" s="69"/>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75"/>
      <c r="B84" s="69"/>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75"/>
      <c r="B85" s="69"/>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75"/>
      <c r="B86" s="69"/>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75"/>
      <c r="B87" s="69"/>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75"/>
      <c r="B88" s="69"/>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75"/>
      <c r="B89" s="69"/>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75"/>
      <c r="B90" s="69"/>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75"/>
      <c r="B91" s="69"/>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75"/>
      <c r="B92" s="69"/>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75"/>
      <c r="B93" s="69"/>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75"/>
      <c r="B94" s="69"/>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75"/>
      <c r="B95" s="69"/>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75"/>
      <c r="B96" s="69"/>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75"/>
      <c r="B97" s="69"/>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75"/>
      <c r="B98" s="69"/>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75"/>
      <c r="B99" s="69"/>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75"/>
      <c r="B100" s="69"/>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75"/>
      <c r="B101" s="69"/>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75"/>
      <c r="B102" s="69"/>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75"/>
      <c r="B103" s="69"/>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75"/>
      <c r="B104" s="69"/>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75"/>
      <c r="B105" s="69"/>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75"/>
      <c r="B106" s="69"/>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75"/>
      <c r="B107" s="69"/>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75"/>
      <c r="B108" s="69"/>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75"/>
      <c r="B109" s="69"/>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75"/>
      <c r="B110" s="69"/>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75"/>
      <c r="B111" s="69"/>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75"/>
      <c r="B112" s="69"/>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75"/>
      <c r="B113" s="69"/>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75"/>
      <c r="B114" s="69"/>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75"/>
      <c r="B115" s="69"/>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75"/>
      <c r="B116" s="69"/>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75"/>
      <c r="B117" s="69"/>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75"/>
      <c r="B118" s="69"/>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75"/>
      <c r="B119" s="69"/>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75"/>
      <c r="B120" s="69"/>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75"/>
      <c r="B121" s="69"/>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75"/>
      <c r="B122" s="69"/>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75"/>
      <c r="B123" s="69"/>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75"/>
      <c r="B124" s="69"/>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75"/>
      <c r="B125" s="69"/>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75"/>
      <c r="B126" s="69"/>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75"/>
      <c r="B127" s="69"/>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75"/>
      <c r="B128" s="69"/>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75"/>
      <c r="B129" s="69"/>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75"/>
      <c r="B130" s="69"/>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75"/>
      <c r="B131" s="69"/>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75"/>
      <c r="B132" s="69"/>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75"/>
      <c r="B133" s="69"/>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75"/>
      <c r="B134" s="69"/>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75"/>
      <c r="B135" s="69"/>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75"/>
      <c r="B136" s="69"/>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75"/>
      <c r="B137" s="69"/>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75"/>
      <c r="B138" s="69"/>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75"/>
      <c r="B139" s="69"/>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75"/>
      <c r="B140" s="69"/>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75"/>
      <c r="B141" s="69"/>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75"/>
      <c r="B142" s="69"/>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75"/>
      <c r="B143" s="69"/>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75"/>
      <c r="B144" s="69"/>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75"/>
      <c r="B145" s="69"/>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75"/>
      <c r="B146" s="69"/>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75"/>
      <c r="B147" s="69"/>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75"/>
      <c r="B148" s="69"/>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75"/>
      <c r="B149" s="69"/>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75"/>
      <c r="B150" s="69"/>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75"/>
      <c r="B151" s="69"/>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75"/>
      <c r="B152" s="69"/>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75"/>
      <c r="B153" s="69"/>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75"/>
      <c r="B154" s="69"/>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75"/>
      <c r="B155" s="69"/>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75"/>
      <c r="B156" s="69"/>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75"/>
      <c r="B157" s="69"/>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75"/>
      <c r="B158" s="69"/>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75"/>
      <c r="B159" s="69"/>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75"/>
      <c r="B160" s="69"/>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75"/>
      <c r="B161" s="69"/>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75"/>
      <c r="B162" s="69"/>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75"/>
      <c r="B163" s="69"/>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75"/>
      <c r="B164" s="69"/>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75"/>
      <c r="B165" s="69"/>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75"/>
      <c r="B166" s="69"/>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75"/>
      <c r="B167" s="69"/>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75"/>
      <c r="B168" s="69"/>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75"/>
      <c r="B169" s="69"/>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75"/>
      <c r="B170" s="69"/>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75"/>
      <c r="B171" s="69"/>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75"/>
      <c r="B172" s="69"/>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75"/>
      <c r="B173" s="69"/>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75"/>
      <c r="B174" s="69"/>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75"/>
      <c r="B175" s="69"/>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75"/>
      <c r="B176" s="69"/>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75"/>
      <c r="B177" s="69"/>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75"/>
      <c r="B178" s="69"/>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75"/>
      <c r="B179" s="69"/>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75"/>
      <c r="B180" s="69"/>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75"/>
      <c r="B181" s="69"/>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75"/>
      <c r="B182" s="69"/>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75"/>
      <c r="B183" s="69"/>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75"/>
      <c r="B184" s="69"/>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75"/>
      <c r="B185" s="69"/>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75"/>
      <c r="B186" s="69"/>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75"/>
      <c r="B187" s="69"/>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75"/>
      <c r="B188" s="69"/>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75"/>
      <c r="B189" s="69"/>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75"/>
      <c r="B190" s="69"/>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75"/>
      <c r="B191" s="69"/>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75"/>
      <c r="B192" s="69"/>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75"/>
      <c r="B193" s="69"/>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75"/>
      <c r="B194" s="69"/>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75"/>
      <c r="B195" s="69"/>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75"/>
      <c r="B196" s="69"/>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75"/>
      <c r="B197" s="69"/>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75"/>
      <c r="B198" s="69"/>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75"/>
      <c r="B199" s="69"/>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75"/>
      <c r="B200" s="69"/>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75"/>
      <c r="B201" s="69"/>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75"/>
      <c r="B202" s="69"/>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75"/>
      <c r="B203" s="69"/>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75"/>
      <c r="B204" s="69"/>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75"/>
      <c r="B205" s="69"/>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75"/>
      <c r="B206" s="69"/>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75"/>
      <c r="B207" s="69"/>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75"/>
      <c r="B208" s="69"/>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75"/>
      <c r="B209" s="69"/>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75"/>
      <c r="B210" s="69"/>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75"/>
      <c r="B211" s="69"/>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75"/>
      <c r="B212" s="69"/>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75"/>
      <c r="B213" s="69"/>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75"/>
      <c r="B214" s="69"/>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75"/>
      <c r="B215" s="69"/>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75"/>
      <c r="B216" s="69"/>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75"/>
      <c r="B217" s="69"/>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75"/>
      <c r="B218" s="69"/>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75"/>
      <c r="B219" s="69"/>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75"/>
      <c r="B220" s="69"/>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75"/>
      <c r="B221" s="69"/>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75"/>
      <c r="B222" s="69"/>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75"/>
      <c r="B223" s="69"/>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75"/>
      <c r="B224" s="69"/>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75"/>
      <c r="B225" s="69"/>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75"/>
      <c r="B226" s="69"/>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75"/>
      <c r="B227" s="69"/>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75"/>
      <c r="B228" s="69"/>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75"/>
      <c r="B229" s="69"/>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75"/>
      <c r="B230" s="69"/>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75"/>
      <c r="B231" s="69"/>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75"/>
      <c r="B232" s="69"/>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75"/>
      <c r="B233" s="69"/>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75"/>
      <c r="B234" s="69"/>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75"/>
      <c r="B235" s="69"/>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75"/>
      <c r="B236" s="69"/>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75"/>
      <c r="B237" s="69"/>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75"/>
      <c r="B238" s="69"/>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75"/>
      <c r="B239" s="69"/>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75"/>
      <c r="B240" s="69"/>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75"/>
      <c r="B241" s="69"/>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75"/>
      <c r="B242" s="69"/>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75"/>
      <c r="B243" s="69"/>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75"/>
      <c r="B244" s="69"/>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75"/>
      <c r="B245" s="69"/>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75"/>
      <c r="B246" s="69"/>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75"/>
      <c r="B247" s="69"/>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75"/>
      <c r="B248" s="69"/>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75"/>
      <c r="B249" s="69"/>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75"/>
      <c r="B250" s="69"/>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75"/>
      <c r="B251" s="69"/>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75"/>
      <c r="B252" s="69"/>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75"/>
      <c r="B253" s="69"/>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75"/>
      <c r="B254" s="69"/>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75"/>
      <c r="B255" s="69"/>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75"/>
      <c r="B256" s="69"/>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75"/>
      <c r="B257" s="69"/>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75"/>
      <c r="B258" s="69"/>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75"/>
      <c r="B259" s="69"/>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75"/>
      <c r="B260" s="69"/>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75"/>
      <c r="B261" s="69"/>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75"/>
      <c r="B262" s="69"/>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75"/>
      <c r="B263" s="69"/>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75"/>
      <c r="B264" s="69"/>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75"/>
      <c r="B265" s="69"/>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75"/>
      <c r="B266" s="69"/>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75"/>
      <c r="B267" s="69"/>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75"/>
      <c r="B268" s="69"/>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75"/>
      <c r="B269" s="69"/>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75"/>
      <c r="B270" s="69"/>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75"/>
      <c r="B271" s="69"/>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75"/>
      <c r="B272" s="69"/>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75"/>
      <c r="B273" s="69"/>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75"/>
      <c r="B274" s="69"/>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75"/>
      <c r="B275" s="69"/>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75"/>
      <c r="B276" s="69"/>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75"/>
      <c r="B277" s="69"/>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75"/>
      <c r="B278" s="69"/>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75"/>
      <c r="B279" s="69"/>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75"/>
      <c r="B280" s="69"/>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75"/>
      <c r="B281" s="69"/>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75"/>
      <c r="B282" s="69"/>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75"/>
      <c r="B283" s="69"/>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75"/>
      <c r="B284" s="69"/>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75"/>
      <c r="B285" s="69"/>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75"/>
      <c r="B286" s="69"/>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75"/>
      <c r="B287" s="69"/>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75"/>
      <c r="B288" s="69"/>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75"/>
      <c r="B289" s="69"/>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75"/>
      <c r="B290" s="69"/>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75"/>
      <c r="B291" s="69"/>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75"/>
      <c r="B292" s="69"/>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75"/>
      <c r="B293" s="69"/>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75"/>
      <c r="B294" s="69"/>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75"/>
      <c r="B295" s="69"/>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75"/>
      <c r="B296" s="69"/>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75"/>
      <c r="B297" s="69"/>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75"/>
      <c r="B298" s="69"/>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75"/>
      <c r="B299" s="69"/>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75"/>
      <c r="B300" s="69"/>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75"/>
      <c r="B301" s="69"/>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75"/>
      <c r="B302" s="69"/>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75"/>
      <c r="B303" s="69"/>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75"/>
      <c r="B304" s="69"/>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75"/>
      <c r="B305" s="69"/>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75"/>
      <c r="B306" s="69"/>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75"/>
      <c r="B307" s="69"/>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75"/>
      <c r="B308" s="69"/>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75"/>
      <c r="B309" s="69"/>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75"/>
      <c r="B310" s="69"/>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75"/>
      <c r="B311" s="69"/>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75"/>
      <c r="B312" s="69"/>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75"/>
      <c r="B313" s="69"/>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75"/>
      <c r="B314" s="69"/>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75"/>
      <c r="B315" s="69"/>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75"/>
      <c r="B316" s="69"/>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75"/>
      <c r="B317" s="69"/>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75"/>
      <c r="B318" s="69"/>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75"/>
      <c r="B319" s="69"/>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75"/>
      <c r="B320" s="69"/>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75"/>
      <c r="B321" s="69"/>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75"/>
      <c r="B322" s="69"/>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75"/>
      <c r="B323" s="69"/>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75"/>
      <c r="B324" s="69"/>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75"/>
      <c r="B325" s="69"/>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75"/>
      <c r="B326" s="69"/>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75"/>
      <c r="B327" s="69"/>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75"/>
      <c r="B328" s="69"/>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75"/>
      <c r="B329" s="69"/>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75"/>
      <c r="B330" s="69"/>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75"/>
      <c r="B331" s="69"/>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75"/>
      <c r="B332" s="69"/>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75"/>
      <c r="B333" s="69"/>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75"/>
      <c r="B334" s="69"/>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75"/>
      <c r="B335" s="69"/>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75"/>
      <c r="B336" s="69"/>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75"/>
      <c r="B337" s="69"/>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75"/>
      <c r="B338" s="69"/>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75"/>
      <c r="B339" s="69"/>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75"/>
      <c r="B340" s="69"/>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75"/>
      <c r="B341" s="69"/>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75"/>
      <c r="B342" s="69"/>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75"/>
      <c r="B343" s="69"/>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75"/>
      <c r="B344" s="69"/>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75"/>
      <c r="B345" s="69"/>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75"/>
      <c r="B346" s="69"/>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75"/>
      <c r="B347" s="69"/>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75"/>
      <c r="B348" s="69"/>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75"/>
      <c r="B349" s="69"/>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75"/>
      <c r="B350" s="69"/>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75"/>
      <c r="B351" s="69"/>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75"/>
      <c r="B352" s="69"/>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75"/>
      <c r="B353" s="69"/>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75"/>
      <c r="B354" s="69"/>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75"/>
      <c r="B355" s="69"/>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75"/>
      <c r="B356" s="69"/>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75"/>
      <c r="B357" s="69"/>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75"/>
      <c r="B358" s="69"/>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75"/>
      <c r="B359" s="69"/>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75"/>
      <c r="B360" s="69"/>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75"/>
      <c r="B361" s="69"/>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75"/>
      <c r="B362" s="69"/>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75"/>
      <c r="B363" s="69"/>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75"/>
      <c r="B364" s="69"/>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75"/>
      <c r="B365" s="69"/>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75"/>
      <c r="B366" s="69"/>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75"/>
      <c r="B367" s="69"/>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75"/>
      <c r="B368" s="69"/>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75"/>
      <c r="B369" s="69"/>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75"/>
      <c r="B370" s="69"/>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75"/>
      <c r="B371" s="69"/>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75"/>
      <c r="B372" s="69"/>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75"/>
      <c r="B373" s="69"/>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75"/>
      <c r="B374" s="69"/>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75"/>
      <c r="B375" s="69"/>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75"/>
      <c r="B376" s="69"/>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75"/>
      <c r="B377" s="69"/>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75"/>
      <c r="B378" s="69"/>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75"/>
      <c r="B379" s="69"/>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75"/>
      <c r="B380" s="69"/>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75"/>
      <c r="B381" s="69"/>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75"/>
      <c r="B382" s="69"/>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75"/>
      <c r="B383" s="69"/>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75"/>
      <c r="B384" s="69"/>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75"/>
      <c r="B385" s="69"/>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75"/>
      <c r="B386" s="69"/>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75"/>
      <c r="B387" s="69"/>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75"/>
      <c r="B388" s="69"/>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75"/>
      <c r="B389" s="69"/>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75"/>
      <c r="B390" s="69"/>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75"/>
      <c r="B391" s="69"/>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75"/>
      <c r="B392" s="69"/>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75"/>
      <c r="B393" s="69"/>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75"/>
      <c r="B394" s="69"/>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75"/>
      <c r="B395" s="69"/>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75"/>
      <c r="B396" s="69"/>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75"/>
      <c r="B397" s="69"/>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75"/>
      <c r="B398" s="69"/>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75"/>
      <c r="B399" s="69"/>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75"/>
      <c r="B400" s="69"/>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75"/>
      <c r="B401" s="69"/>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75"/>
      <c r="B402" s="69"/>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75"/>
      <c r="B403" s="69"/>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75"/>
      <c r="B404" s="69"/>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75"/>
      <c r="B405" s="69"/>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75"/>
      <c r="B406" s="69"/>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75"/>
      <c r="B407" s="69"/>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75"/>
      <c r="B408" s="69"/>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75"/>
      <c r="B409" s="69"/>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75"/>
      <c r="B410" s="69"/>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75"/>
      <c r="B411" s="69"/>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75"/>
      <c r="B412" s="69"/>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75"/>
      <c r="B413" s="69"/>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75"/>
      <c r="B414" s="69"/>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75"/>
      <c r="B415" s="69"/>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75"/>
      <c r="B416" s="69"/>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75"/>
      <c r="B417" s="69"/>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75"/>
      <c r="B418" s="69"/>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75"/>
      <c r="B419" s="69"/>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75"/>
      <c r="B420" s="69"/>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75"/>
      <c r="B421" s="69"/>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75"/>
      <c r="B422" s="69"/>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75"/>
      <c r="B423" s="69"/>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75"/>
      <c r="B424" s="69"/>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75"/>
      <c r="B425" s="69"/>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75"/>
      <c r="B426" s="69"/>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75"/>
      <c r="B427" s="69"/>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75"/>
      <c r="B428" s="69"/>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75"/>
      <c r="B429" s="69"/>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75"/>
      <c r="B430" s="69"/>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75"/>
      <c r="B431" s="69"/>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75"/>
      <c r="B432" s="69"/>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75"/>
      <c r="B433" s="69"/>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75"/>
      <c r="B434" s="69"/>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75"/>
      <c r="B435" s="69"/>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75"/>
      <c r="B436" s="69"/>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75"/>
      <c r="B437" s="69"/>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75"/>
      <c r="B438" s="69"/>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75"/>
      <c r="B439" s="69"/>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75"/>
      <c r="B440" s="69"/>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75"/>
      <c r="B441" s="69"/>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75"/>
      <c r="B442" s="69"/>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75"/>
      <c r="B443" s="69"/>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75"/>
      <c r="B444" s="69"/>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75"/>
      <c r="B445" s="69"/>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75"/>
      <c r="B446" s="69"/>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75"/>
      <c r="B447" s="69"/>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75"/>
      <c r="B448" s="69"/>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75"/>
      <c r="B449" s="69"/>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75"/>
      <c r="B450" s="69"/>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75"/>
      <c r="B451" s="69"/>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75"/>
      <c r="B452" s="69"/>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75"/>
      <c r="B453" s="69"/>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75"/>
      <c r="B454" s="69"/>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75"/>
      <c r="B455" s="69"/>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75"/>
      <c r="B456" s="69"/>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75"/>
      <c r="B457" s="69"/>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75"/>
      <c r="B458" s="69"/>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75"/>
      <c r="B459" s="69"/>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75"/>
      <c r="B460" s="69"/>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75"/>
      <c r="B461" s="69"/>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75"/>
      <c r="B462" s="69"/>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75"/>
      <c r="B463" s="69"/>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75"/>
      <c r="B464" s="69"/>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75"/>
      <c r="B465" s="69"/>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75"/>
      <c r="B466" s="69"/>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75"/>
      <c r="B467" s="69"/>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75"/>
      <c r="B468" s="69"/>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75"/>
      <c r="B469" s="69"/>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75"/>
      <c r="B470" s="69"/>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75"/>
      <c r="B471" s="69"/>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75"/>
      <c r="B472" s="69"/>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75"/>
      <c r="B473" s="69"/>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75"/>
      <c r="B474" s="69"/>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75"/>
      <c r="B475" s="69"/>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75"/>
      <c r="B476" s="69"/>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75"/>
      <c r="B477" s="69"/>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75"/>
      <c r="B478" s="69"/>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75"/>
      <c r="B479" s="69"/>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75"/>
      <c r="B480" s="69"/>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75"/>
      <c r="B481" s="69"/>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75"/>
      <c r="B482" s="69"/>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75"/>
      <c r="B483" s="69"/>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75"/>
      <c r="B484" s="69"/>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75"/>
      <c r="B485" s="69"/>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75"/>
      <c r="B486" s="69"/>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75"/>
      <c r="B487" s="69"/>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75"/>
      <c r="B488" s="69"/>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75"/>
      <c r="B489" s="69"/>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75"/>
      <c r="B490" s="69"/>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75"/>
      <c r="B491" s="69"/>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75"/>
      <c r="B492" s="69"/>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75"/>
      <c r="B493" s="69"/>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75"/>
      <c r="B494" s="69"/>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75"/>
      <c r="B495" s="69"/>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75"/>
      <c r="B496" s="69"/>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75"/>
      <c r="B497" s="69"/>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75"/>
      <c r="B498" s="69"/>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75"/>
      <c r="B499" s="69"/>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75"/>
      <c r="B500" s="69"/>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75"/>
      <c r="B501" s="69"/>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75"/>
      <c r="B502" s="69"/>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75"/>
      <c r="B503" s="69"/>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75"/>
      <c r="B504" s="69"/>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75"/>
      <c r="B505" s="69"/>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75"/>
      <c r="B506" s="69"/>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75"/>
      <c r="B507" s="69"/>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75"/>
      <c r="B508" s="69"/>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75"/>
      <c r="B509" s="69"/>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75"/>
      <c r="B510" s="69"/>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75"/>
      <c r="B511" s="69"/>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75"/>
      <c r="B512" s="69"/>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75"/>
      <c r="B513" s="69"/>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75"/>
      <c r="B514" s="69"/>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75"/>
      <c r="B515" s="69"/>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75"/>
      <c r="B516" s="69"/>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75"/>
      <c r="B517" s="69"/>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75"/>
      <c r="B518" s="69"/>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75"/>
      <c r="B519" s="69"/>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75"/>
      <c r="B520" s="69"/>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75"/>
      <c r="B521" s="69"/>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75"/>
      <c r="B522" s="69"/>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75"/>
      <c r="B523" s="69"/>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75"/>
      <c r="B524" s="69"/>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75"/>
      <c r="B525" s="69"/>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75"/>
      <c r="B526" s="69"/>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75"/>
      <c r="B527" s="69"/>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75"/>
      <c r="B528" s="69"/>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75"/>
      <c r="B529" s="69"/>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75"/>
      <c r="B530" s="69"/>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75"/>
      <c r="B531" s="69"/>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75"/>
      <c r="B532" s="69"/>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75"/>
      <c r="B533" s="69"/>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75"/>
      <c r="B534" s="69"/>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75"/>
      <c r="B535" s="69"/>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75"/>
      <c r="B536" s="69"/>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75"/>
      <c r="B537" s="69"/>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75"/>
      <c r="B538" s="69"/>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75"/>
      <c r="B539" s="69"/>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75"/>
      <c r="B540" s="69"/>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75"/>
      <c r="B541" s="69"/>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75"/>
      <c r="B542" s="69"/>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75"/>
      <c r="B543" s="69"/>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75"/>
      <c r="B544" s="69"/>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75"/>
      <c r="B545" s="69"/>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75"/>
      <c r="B546" s="69"/>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75"/>
      <c r="B547" s="69"/>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75"/>
      <c r="B548" s="69"/>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75"/>
      <c r="B549" s="69"/>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75"/>
      <c r="B550" s="69"/>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75"/>
      <c r="B551" s="69"/>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75"/>
      <c r="B552" s="69"/>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75"/>
      <c r="B553" s="69"/>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75"/>
      <c r="B554" s="69"/>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75"/>
      <c r="B555" s="69"/>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75"/>
      <c r="B556" s="69"/>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75"/>
      <c r="B557" s="69"/>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75"/>
      <c r="B558" s="69"/>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75"/>
      <c r="B559" s="69"/>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75"/>
      <c r="B560" s="69"/>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75"/>
      <c r="B561" s="69"/>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75"/>
      <c r="B562" s="69"/>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75"/>
      <c r="B563" s="69"/>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75"/>
      <c r="B564" s="69"/>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75"/>
      <c r="B565" s="69"/>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75"/>
      <c r="B566" s="69"/>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75"/>
      <c r="B567" s="69"/>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75"/>
      <c r="B568" s="69"/>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75"/>
      <c r="B569" s="69"/>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75"/>
      <c r="B570" s="69"/>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75"/>
      <c r="B571" s="69"/>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75"/>
      <c r="B572" s="69"/>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75"/>
      <c r="B573" s="69"/>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75"/>
      <c r="B574" s="69"/>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75"/>
      <c r="B575" s="69"/>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75"/>
      <c r="B576" s="69"/>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75"/>
      <c r="B577" s="69"/>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75"/>
      <c r="B578" s="69"/>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75"/>
      <c r="B579" s="69"/>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75"/>
      <c r="B580" s="69"/>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75"/>
      <c r="B581" s="69"/>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75"/>
      <c r="B582" s="69"/>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75"/>
      <c r="B583" s="69"/>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75"/>
      <c r="B584" s="69"/>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75"/>
      <c r="B585" s="69"/>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75"/>
      <c r="B586" s="69"/>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75"/>
      <c r="B587" s="69"/>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75"/>
      <c r="B588" s="69"/>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75"/>
      <c r="B589" s="69"/>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75"/>
      <c r="B590" s="69"/>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75"/>
      <c r="B591" s="69"/>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75"/>
      <c r="B592" s="69"/>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75"/>
      <c r="B593" s="69"/>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75"/>
      <c r="B594" s="69"/>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75"/>
      <c r="B595" s="69"/>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75"/>
      <c r="B596" s="69"/>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75"/>
      <c r="B597" s="69"/>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75"/>
      <c r="B598" s="69"/>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75"/>
      <c r="B599" s="69"/>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75"/>
      <c r="B600" s="69"/>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75"/>
      <c r="B601" s="69"/>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75"/>
      <c r="B602" s="69"/>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75"/>
      <c r="B603" s="69"/>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75"/>
      <c r="B604" s="69"/>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75"/>
      <c r="B605" s="69"/>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75"/>
      <c r="B606" s="69"/>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75"/>
      <c r="B607" s="69"/>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75"/>
      <c r="B608" s="69"/>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75"/>
      <c r="B609" s="69"/>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75"/>
      <c r="B610" s="69"/>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75"/>
      <c r="B611" s="69"/>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75"/>
      <c r="B612" s="69"/>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75"/>
      <c r="B613" s="69"/>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75"/>
      <c r="B614" s="69"/>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75"/>
      <c r="B615" s="69"/>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75"/>
      <c r="B616" s="69"/>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75"/>
      <c r="B617" s="69"/>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75"/>
      <c r="B618" s="69"/>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75"/>
      <c r="B619" s="69"/>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75"/>
      <c r="B620" s="69"/>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75"/>
      <c r="B621" s="69"/>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75"/>
      <c r="B622" s="69"/>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75"/>
      <c r="B623" s="69"/>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75"/>
      <c r="B624" s="69"/>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75"/>
      <c r="B625" s="69"/>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75"/>
      <c r="B626" s="69"/>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75"/>
      <c r="B627" s="69"/>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75"/>
      <c r="B628" s="69"/>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75"/>
      <c r="B629" s="69"/>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75"/>
      <c r="B630" s="69"/>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75"/>
      <c r="B631" s="69"/>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75"/>
      <c r="B632" s="69"/>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75"/>
      <c r="B633" s="69"/>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75"/>
      <c r="B634" s="69"/>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75"/>
      <c r="B635" s="69"/>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75"/>
      <c r="B636" s="69"/>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75"/>
      <c r="B637" s="69"/>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75"/>
      <c r="B638" s="69"/>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75"/>
      <c r="B639" s="69"/>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75"/>
      <c r="B640" s="69"/>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75"/>
      <c r="B641" s="69"/>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75"/>
      <c r="B642" s="69"/>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75"/>
      <c r="B643" s="69"/>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75"/>
      <c r="B644" s="69"/>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75"/>
      <c r="B645" s="69"/>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75"/>
      <c r="B646" s="69"/>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75"/>
      <c r="B647" s="69"/>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75"/>
      <c r="B648" s="69"/>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75"/>
      <c r="B649" s="69"/>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75"/>
      <c r="B650" s="69"/>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75"/>
      <c r="B651" s="69"/>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75"/>
      <c r="B652" s="69"/>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75"/>
      <c r="B653" s="69"/>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75"/>
      <c r="B654" s="69"/>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75"/>
      <c r="B655" s="69"/>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75"/>
      <c r="B656" s="69"/>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75"/>
      <c r="B657" s="69"/>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75"/>
      <c r="B658" s="69"/>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75"/>
      <c r="B659" s="69"/>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75"/>
      <c r="B660" s="69"/>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75"/>
      <c r="B661" s="69"/>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75"/>
      <c r="B662" s="69"/>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75"/>
      <c r="B663" s="69"/>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75"/>
      <c r="B664" s="69"/>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75"/>
      <c r="B665" s="69"/>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75"/>
      <c r="B666" s="69"/>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75"/>
      <c r="B667" s="69"/>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75"/>
      <c r="B668" s="69"/>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75"/>
      <c r="B669" s="69"/>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75"/>
      <c r="B670" s="69"/>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75"/>
      <c r="B671" s="69"/>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75"/>
      <c r="B672" s="69"/>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75"/>
      <c r="B673" s="69"/>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75"/>
      <c r="B674" s="69"/>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75"/>
      <c r="B675" s="69"/>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75"/>
      <c r="B676" s="69"/>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75"/>
      <c r="B677" s="69"/>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75"/>
      <c r="B678" s="69"/>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75"/>
      <c r="B679" s="69"/>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75"/>
      <c r="B680" s="69"/>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75"/>
      <c r="B681" s="69"/>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75"/>
      <c r="B682" s="69"/>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75"/>
      <c r="B683" s="69"/>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75"/>
      <c r="B684" s="69"/>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75"/>
      <c r="B685" s="69"/>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75"/>
      <c r="B686" s="69"/>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75"/>
      <c r="B687" s="69"/>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75"/>
      <c r="B688" s="69"/>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75"/>
      <c r="B689" s="69"/>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75"/>
      <c r="B690" s="69"/>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75"/>
      <c r="B691" s="69"/>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75"/>
      <c r="B692" s="69"/>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75"/>
      <c r="B693" s="69"/>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75"/>
      <c r="B694" s="69"/>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75"/>
      <c r="B695" s="69"/>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75"/>
      <c r="B696" s="69"/>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75"/>
      <c r="B697" s="69"/>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75"/>
      <c r="B698" s="69"/>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75"/>
      <c r="B699" s="69"/>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75"/>
      <c r="B700" s="69"/>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75"/>
      <c r="B701" s="69"/>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75"/>
      <c r="B702" s="69"/>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75"/>
      <c r="B703" s="69"/>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75"/>
      <c r="B704" s="69"/>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75"/>
      <c r="B705" s="69"/>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75"/>
      <c r="B706" s="69"/>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75"/>
      <c r="B707" s="69"/>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75"/>
      <c r="B708" s="69"/>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75"/>
      <c r="B709" s="69"/>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75"/>
      <c r="B710" s="69"/>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75"/>
      <c r="B711" s="69"/>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75"/>
      <c r="B712" s="69"/>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75"/>
      <c r="B713" s="69"/>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75"/>
      <c r="B714" s="69"/>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75"/>
      <c r="B715" s="69"/>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75"/>
      <c r="B716" s="69"/>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75"/>
      <c r="B717" s="69"/>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75"/>
      <c r="B718" s="69"/>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75"/>
      <c r="B719" s="69"/>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75"/>
      <c r="B720" s="69"/>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75"/>
      <c r="B721" s="69"/>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75"/>
      <c r="B722" s="69"/>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75"/>
      <c r="B723" s="69"/>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75"/>
      <c r="B724" s="69"/>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75"/>
      <c r="B725" s="69"/>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75"/>
      <c r="B726" s="69"/>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75"/>
      <c r="B727" s="69"/>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75"/>
      <c r="B728" s="69"/>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75"/>
      <c r="B729" s="69"/>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75"/>
      <c r="B730" s="69"/>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75"/>
      <c r="B731" s="69"/>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75"/>
      <c r="B732" s="69"/>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75"/>
      <c r="B733" s="69"/>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75"/>
      <c r="B734" s="69"/>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75"/>
      <c r="B735" s="69"/>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75"/>
      <c r="B736" s="69"/>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75"/>
      <c r="B737" s="69"/>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75"/>
      <c r="B738" s="69"/>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75"/>
      <c r="B739" s="69"/>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75"/>
      <c r="B740" s="69"/>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75"/>
      <c r="B741" s="69"/>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75"/>
      <c r="B742" s="69"/>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75"/>
      <c r="B743" s="69"/>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75"/>
      <c r="B744" s="69"/>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75"/>
      <c r="B745" s="69"/>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75"/>
      <c r="B746" s="69"/>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75"/>
      <c r="B747" s="69"/>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75"/>
      <c r="B748" s="69"/>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75"/>
      <c r="B749" s="69"/>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75"/>
      <c r="B750" s="69"/>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75"/>
      <c r="B751" s="69"/>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75"/>
      <c r="B752" s="69"/>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75"/>
      <c r="B753" s="69"/>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75"/>
      <c r="B754" s="69"/>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75"/>
      <c r="B755" s="69"/>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75"/>
      <c r="B756" s="69"/>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75"/>
      <c r="B757" s="69"/>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75"/>
      <c r="B758" s="69"/>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75"/>
      <c r="B759" s="69"/>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75"/>
      <c r="B760" s="69"/>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75"/>
      <c r="B761" s="69"/>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75"/>
      <c r="B762" s="69"/>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75"/>
      <c r="B763" s="69"/>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75"/>
      <c r="B764" s="69"/>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75"/>
      <c r="B765" s="69"/>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75"/>
      <c r="B766" s="69"/>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75"/>
      <c r="B767" s="69"/>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75"/>
      <c r="B768" s="69"/>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75"/>
      <c r="B769" s="69"/>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75"/>
      <c r="B770" s="69"/>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75"/>
      <c r="B771" s="69"/>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75"/>
      <c r="B772" s="69"/>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75"/>
      <c r="B773" s="69"/>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75"/>
      <c r="B774" s="69"/>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75"/>
      <c r="B775" s="69"/>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75"/>
      <c r="B776" s="69"/>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75"/>
      <c r="B777" s="69"/>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75"/>
      <c r="B778" s="69"/>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75"/>
      <c r="B779" s="69"/>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75"/>
      <c r="B780" s="69"/>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75"/>
      <c r="B781" s="69"/>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75"/>
      <c r="B782" s="69"/>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75"/>
      <c r="B783" s="69"/>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75"/>
      <c r="B784" s="69"/>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75"/>
      <c r="B785" s="69"/>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75"/>
      <c r="B786" s="69"/>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75"/>
      <c r="B787" s="69"/>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75"/>
      <c r="B788" s="69"/>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75"/>
      <c r="B789" s="69"/>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75"/>
      <c r="B790" s="69"/>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75"/>
      <c r="B791" s="69"/>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75"/>
      <c r="B792" s="69"/>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75"/>
      <c r="B793" s="69"/>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75"/>
      <c r="B794" s="69"/>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75"/>
      <c r="B795" s="69"/>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75"/>
      <c r="B796" s="69"/>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75"/>
      <c r="B797" s="69"/>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75"/>
      <c r="B798" s="69"/>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75"/>
      <c r="B799" s="69"/>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75"/>
      <c r="B800" s="69"/>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75"/>
      <c r="B801" s="69"/>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75"/>
      <c r="B802" s="69"/>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75"/>
      <c r="B803" s="69"/>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75"/>
      <c r="B804" s="69"/>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75"/>
      <c r="B805" s="69"/>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75"/>
      <c r="B806" s="69"/>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75"/>
      <c r="B807" s="69"/>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75"/>
      <c r="B808" s="69"/>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75"/>
      <c r="B809" s="69"/>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75"/>
      <c r="B810" s="69"/>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75"/>
      <c r="B811" s="69"/>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75"/>
      <c r="B812" s="69"/>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75"/>
      <c r="B813" s="69"/>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75"/>
      <c r="B814" s="69"/>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75"/>
      <c r="B815" s="69"/>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75"/>
      <c r="B816" s="69"/>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75"/>
      <c r="B817" s="69"/>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75"/>
      <c r="B818" s="69"/>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75"/>
      <c r="B819" s="69"/>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75"/>
      <c r="B820" s="69"/>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75"/>
      <c r="B821" s="69"/>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75"/>
      <c r="B822" s="69"/>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75"/>
      <c r="B823" s="69"/>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75"/>
      <c r="B824" s="69"/>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75"/>
      <c r="B825" s="69"/>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75"/>
      <c r="B826" s="69"/>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75"/>
      <c r="B827" s="69"/>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75"/>
      <c r="B828" s="69"/>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75"/>
      <c r="B829" s="69"/>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75"/>
      <c r="B830" s="69"/>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75"/>
      <c r="B831" s="69"/>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75"/>
      <c r="B832" s="69"/>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75"/>
      <c r="B833" s="69"/>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75"/>
      <c r="B834" s="69"/>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75"/>
      <c r="B835" s="69"/>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75"/>
      <c r="B836" s="69"/>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75"/>
      <c r="B837" s="69"/>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75"/>
      <c r="B838" s="69"/>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75"/>
      <c r="B839" s="69"/>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75"/>
      <c r="B840" s="69"/>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75"/>
      <c r="B841" s="69"/>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75"/>
      <c r="B842" s="69"/>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75"/>
      <c r="B843" s="69"/>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75"/>
      <c r="B844" s="69"/>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75"/>
      <c r="B845" s="69"/>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75"/>
      <c r="B846" s="69"/>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75"/>
      <c r="B847" s="69"/>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75"/>
      <c r="B848" s="69"/>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75"/>
      <c r="B849" s="69"/>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75"/>
      <c r="B850" s="69"/>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75"/>
      <c r="B851" s="69"/>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75"/>
      <c r="B852" s="69"/>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75"/>
      <c r="B853" s="69"/>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75"/>
      <c r="B854" s="69"/>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75"/>
      <c r="B855" s="69"/>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75"/>
      <c r="B856" s="69"/>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75"/>
      <c r="B857" s="69"/>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75"/>
      <c r="B858" s="69"/>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75"/>
      <c r="B859" s="69"/>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75"/>
      <c r="B860" s="69"/>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75"/>
      <c r="B861" s="69"/>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75"/>
      <c r="B862" s="69"/>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75"/>
      <c r="B863" s="69"/>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75"/>
      <c r="B864" s="69"/>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75"/>
      <c r="B865" s="69"/>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75"/>
      <c r="B866" s="69"/>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75"/>
      <c r="B867" s="69"/>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75"/>
      <c r="B868" s="69"/>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75"/>
      <c r="B869" s="69"/>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75"/>
      <c r="B870" s="69"/>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75"/>
      <c r="B871" s="69"/>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75"/>
      <c r="B872" s="69"/>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75"/>
      <c r="B873" s="69"/>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75"/>
      <c r="B874" s="69"/>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75"/>
      <c r="B875" s="69"/>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75"/>
      <c r="B876" s="69"/>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75"/>
      <c r="B877" s="69"/>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75"/>
      <c r="B878" s="69"/>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75"/>
      <c r="B879" s="69"/>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75"/>
      <c r="B880" s="69"/>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75"/>
      <c r="B881" s="69"/>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75"/>
      <c r="B882" s="69"/>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75"/>
      <c r="B883" s="69"/>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75"/>
      <c r="B884" s="69"/>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75"/>
      <c r="B885" s="69"/>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75"/>
      <c r="B886" s="69"/>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75"/>
      <c r="B887" s="69"/>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75"/>
      <c r="B888" s="69"/>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75"/>
      <c r="B889" s="69"/>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75"/>
      <c r="B890" s="69"/>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75"/>
      <c r="B891" s="69"/>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75"/>
      <c r="B892" s="69"/>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75"/>
      <c r="B893" s="69"/>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75"/>
      <c r="B894" s="69"/>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75"/>
      <c r="B895" s="69"/>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75"/>
      <c r="B896" s="69"/>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75"/>
      <c r="B897" s="69"/>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75"/>
      <c r="B898" s="69"/>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75"/>
      <c r="B899" s="69"/>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75"/>
      <c r="B900" s="69"/>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75"/>
      <c r="B901" s="69"/>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75"/>
      <c r="B902" s="69"/>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75"/>
      <c r="B903" s="69"/>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75"/>
      <c r="B904" s="69"/>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75"/>
      <c r="B905" s="69"/>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75"/>
      <c r="B906" s="69"/>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75"/>
      <c r="B907" s="69"/>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75"/>
      <c r="B908" s="69"/>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75"/>
      <c r="B909" s="69"/>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75"/>
      <c r="B910" s="69"/>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75"/>
      <c r="B911" s="69"/>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75"/>
      <c r="B912" s="69"/>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75"/>
      <c r="B913" s="69"/>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75"/>
      <c r="B914" s="69"/>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75"/>
      <c r="B915" s="69"/>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75"/>
      <c r="B916" s="69"/>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75"/>
      <c r="B917" s="69"/>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75"/>
      <c r="B918" s="69"/>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75"/>
      <c r="B919" s="69"/>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75"/>
      <c r="B920" s="69"/>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75"/>
      <c r="B921" s="69"/>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75"/>
      <c r="B922" s="69"/>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75"/>
      <c r="B923" s="69"/>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75"/>
      <c r="B924" s="69"/>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75"/>
      <c r="B925" s="69"/>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75"/>
      <c r="B926" s="69"/>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75"/>
      <c r="B927" s="69"/>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75"/>
      <c r="B928" s="69"/>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75"/>
      <c r="B929" s="69"/>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75"/>
      <c r="B930" s="69"/>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75"/>
      <c r="B931" s="69"/>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75"/>
      <c r="B932" s="69"/>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75"/>
      <c r="B933" s="69"/>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75"/>
      <c r="B934" s="69"/>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75"/>
      <c r="B935" s="69"/>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75"/>
      <c r="B936" s="69"/>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75"/>
      <c r="B937" s="69"/>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75"/>
      <c r="B938" s="69"/>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75"/>
      <c r="B939" s="69"/>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75"/>
      <c r="B940" s="69"/>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75"/>
      <c r="B941" s="69"/>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75"/>
      <c r="B942" s="69"/>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75"/>
      <c r="B943" s="69"/>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75"/>
      <c r="B944" s="69"/>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75"/>
      <c r="B945" s="69"/>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75"/>
      <c r="B946" s="69"/>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75"/>
      <c r="B947" s="69"/>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75"/>
      <c r="B948" s="69"/>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75"/>
      <c r="B949" s="69"/>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75"/>
      <c r="B950" s="69"/>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75"/>
      <c r="B951" s="69"/>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75"/>
      <c r="B952" s="69"/>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75"/>
      <c r="B953" s="69"/>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75"/>
      <c r="B954" s="69"/>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75"/>
      <c r="B955" s="69"/>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75"/>
      <c r="B956" s="69"/>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75"/>
      <c r="B957" s="69"/>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75"/>
      <c r="B958" s="69"/>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75"/>
      <c r="B959" s="69"/>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75"/>
      <c r="B960" s="69"/>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75"/>
      <c r="B961" s="69"/>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75"/>
      <c r="B962" s="69"/>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75"/>
      <c r="B963" s="69"/>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75"/>
      <c r="B964" s="69"/>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75"/>
      <c r="B965" s="69"/>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75"/>
      <c r="B966" s="69"/>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75"/>
      <c r="B967" s="69"/>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75"/>
      <c r="B968" s="69"/>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75"/>
      <c r="B969" s="69"/>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75"/>
      <c r="B970" s="69"/>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75"/>
      <c r="B971" s="69"/>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75"/>
      <c r="B972" s="69"/>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75"/>
      <c r="B973" s="69"/>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75"/>
      <c r="B974" s="69"/>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75"/>
      <c r="B975" s="69"/>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75"/>
      <c r="B976" s="69"/>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75"/>
      <c r="B977" s="69"/>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75"/>
      <c r="B978" s="69"/>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25">
    <cfRule type="colorScale" priority="1">
      <colorScale>
        <cfvo type="formula" val="0"/>
        <cfvo type="formula" val="0.5"/>
        <cfvo type="formula" val="1"/>
        <color rgb="FFFFFFFF"/>
        <color rgb="FFF3BEB9"/>
        <color rgb="FFE67C73"/>
      </colorScale>
    </cfRule>
  </conditionalFormatting>
  <conditionalFormatting sqref="E2:E978">
    <cfRule type="colorScale" priority="2">
      <colorScale>
        <cfvo type="formula" val="0"/>
        <cfvo type="formula" val="1"/>
        <color rgb="FFFFFFFF"/>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70" t="s">
        <v>0</v>
      </c>
      <c r="B1" s="71"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c r="A2" s="72" t="s">
        <v>33</v>
      </c>
      <c r="B2" s="73" t="s">
        <v>34</v>
      </c>
      <c r="C2" s="7" t="s">
        <v>21</v>
      </c>
      <c r="D2" s="54" t="s">
        <v>113</v>
      </c>
      <c r="E2" s="74">
        <f>IFERROR(__xludf.DUMMYFUNCTION("COUNTA(SPLIT(D2,"" ""))/COUNTA(SPLIT($B$2,"" ""))"),0.2937142857142857)</f>
        <v>0.2937142857</v>
      </c>
      <c r="F2" s="7">
        <v>4.0</v>
      </c>
      <c r="G2" s="7">
        <v>5.0</v>
      </c>
      <c r="H2" s="7">
        <v>5.0</v>
      </c>
      <c r="I2" s="7">
        <v>4.0</v>
      </c>
      <c r="J2" s="7">
        <v>5.0</v>
      </c>
      <c r="K2" s="56"/>
      <c r="L2" s="56"/>
      <c r="M2" s="56"/>
      <c r="N2" s="56"/>
      <c r="O2" s="56"/>
      <c r="P2" s="56"/>
      <c r="Q2" s="56"/>
      <c r="R2" s="56"/>
      <c r="S2" s="56"/>
      <c r="T2" s="56"/>
      <c r="U2" s="56"/>
      <c r="V2" s="56"/>
      <c r="W2" s="56"/>
      <c r="X2" s="56"/>
      <c r="Y2" s="56"/>
      <c r="Z2" s="56"/>
      <c r="AA2" s="56"/>
      <c r="AB2" s="56"/>
    </row>
    <row r="3">
      <c r="C3" s="7" t="s">
        <v>22</v>
      </c>
      <c r="D3" s="54" t="s">
        <v>114</v>
      </c>
      <c r="E3" s="74">
        <f>IFERROR(__xludf.DUMMYFUNCTION("COUNTA(SPLIT(D3,"" ""))/COUNTA(SPLIT($B$2,"" ""))"),0.12914285714285714)</f>
        <v>0.1291428571</v>
      </c>
      <c r="F3" s="67">
        <v>4.0</v>
      </c>
      <c r="G3" s="67">
        <v>5.0</v>
      </c>
      <c r="H3" s="67">
        <v>5.0</v>
      </c>
      <c r="I3" s="67">
        <v>5.0</v>
      </c>
      <c r="J3" s="67">
        <v>4.0</v>
      </c>
      <c r="K3" s="56"/>
      <c r="L3" s="56"/>
      <c r="M3" s="56"/>
      <c r="N3" s="56"/>
      <c r="O3" s="56"/>
      <c r="P3" s="56"/>
      <c r="Q3" s="56"/>
      <c r="R3" s="56"/>
      <c r="S3" s="56"/>
      <c r="T3" s="56"/>
      <c r="U3" s="56"/>
      <c r="V3" s="56"/>
      <c r="W3" s="56"/>
      <c r="X3" s="56"/>
      <c r="Y3" s="56"/>
      <c r="Z3" s="56"/>
      <c r="AA3" s="56"/>
      <c r="AB3" s="56"/>
    </row>
    <row r="4">
      <c r="C4" s="7" t="s">
        <v>8</v>
      </c>
      <c r="D4" s="54" t="s">
        <v>115</v>
      </c>
      <c r="E4" s="74">
        <f>IFERROR(__xludf.DUMMYFUNCTION("COUNTA(SPLIT(D4,"" ""))/COUNTA(SPLIT($B$2,"" ""))"),0.224)</f>
        <v>0.224</v>
      </c>
      <c r="F4" s="7">
        <v>3.0</v>
      </c>
      <c r="G4" s="7">
        <v>5.0</v>
      </c>
      <c r="H4" s="7">
        <v>5.0</v>
      </c>
      <c r="I4" s="7">
        <v>4.0</v>
      </c>
      <c r="J4" s="7">
        <v>4.0</v>
      </c>
      <c r="K4" s="56"/>
      <c r="L4" s="56"/>
      <c r="M4" s="56"/>
      <c r="N4" s="56"/>
      <c r="O4" s="56"/>
      <c r="P4" s="56"/>
      <c r="Q4" s="56"/>
      <c r="R4" s="56"/>
      <c r="S4" s="56"/>
      <c r="T4" s="56"/>
      <c r="U4" s="56"/>
      <c r="V4" s="56"/>
      <c r="W4" s="56"/>
      <c r="X4" s="56"/>
      <c r="Y4" s="56"/>
      <c r="Z4" s="56"/>
      <c r="AA4" s="56"/>
      <c r="AB4" s="56"/>
    </row>
    <row r="5" ht="150.0" customHeight="1">
      <c r="C5" s="7" t="s">
        <v>23</v>
      </c>
      <c r="D5" s="91" t="s">
        <v>116</v>
      </c>
      <c r="E5" s="74">
        <f>IFERROR(__xludf.DUMMYFUNCTION("COUNTA(SPLIT(D5,"" ""))/COUNTA(SPLIT($B$2,"" ""))"),0.184)</f>
        <v>0.184</v>
      </c>
      <c r="F5" s="67">
        <v>4.0</v>
      </c>
      <c r="G5" s="67">
        <v>5.0</v>
      </c>
      <c r="H5" s="67">
        <v>5.0</v>
      </c>
      <c r="I5" s="67">
        <v>4.0</v>
      </c>
      <c r="J5" s="67">
        <v>4.0</v>
      </c>
      <c r="K5" s="56"/>
      <c r="L5" s="56"/>
      <c r="M5" s="56"/>
      <c r="N5" s="56"/>
      <c r="O5" s="56"/>
      <c r="P5" s="56"/>
      <c r="Q5" s="56"/>
      <c r="R5" s="56"/>
      <c r="S5" s="56"/>
      <c r="T5" s="56"/>
      <c r="U5" s="56"/>
      <c r="V5" s="56"/>
      <c r="W5" s="56"/>
      <c r="X5" s="56"/>
      <c r="Y5" s="56"/>
      <c r="Z5" s="56"/>
      <c r="AA5" s="56"/>
      <c r="AB5" s="56"/>
    </row>
    <row r="6">
      <c r="A6" s="75"/>
      <c r="B6" s="69"/>
      <c r="C6" s="60"/>
      <c r="D6" s="61"/>
      <c r="E6" s="74"/>
      <c r="F6" s="60"/>
      <c r="G6" s="60"/>
      <c r="H6" s="60"/>
      <c r="I6" s="60"/>
      <c r="J6" s="60"/>
      <c r="K6" s="56"/>
      <c r="L6" s="56"/>
      <c r="M6" s="56"/>
      <c r="N6" s="56"/>
      <c r="O6" s="56"/>
      <c r="P6" s="56"/>
      <c r="Q6" s="56"/>
      <c r="R6" s="56"/>
      <c r="S6" s="56"/>
      <c r="T6" s="56"/>
      <c r="U6" s="56"/>
      <c r="V6" s="56"/>
      <c r="W6" s="56"/>
      <c r="X6" s="56"/>
      <c r="Y6" s="56"/>
      <c r="Z6" s="56"/>
      <c r="AA6" s="56"/>
      <c r="AB6" s="56"/>
    </row>
    <row r="7">
      <c r="A7" s="76" t="s">
        <v>37</v>
      </c>
      <c r="B7" s="77" t="s">
        <v>38</v>
      </c>
      <c r="C7" s="64" t="s">
        <v>21</v>
      </c>
      <c r="D7" s="65" t="s">
        <v>117</v>
      </c>
      <c r="E7" s="78">
        <f>IFERROR(__xludf.DUMMYFUNCTION("COUNTA(SPLIT(D7,"" ""))/COUNTA(SPLIT($B$7,"" ""))"),0.18961352657004832)</f>
        <v>0.1896135266</v>
      </c>
      <c r="F7" s="67">
        <v>5.0</v>
      </c>
      <c r="G7" s="67">
        <v>5.0</v>
      </c>
      <c r="H7" s="67">
        <v>5.0</v>
      </c>
      <c r="I7" s="67">
        <v>4.0</v>
      </c>
      <c r="J7" s="67">
        <v>4.0</v>
      </c>
      <c r="K7" s="68"/>
      <c r="L7" s="68"/>
      <c r="M7" s="68"/>
      <c r="N7" s="68"/>
      <c r="O7" s="68"/>
      <c r="P7" s="68"/>
      <c r="Q7" s="68"/>
      <c r="R7" s="68"/>
      <c r="S7" s="68"/>
      <c r="T7" s="68"/>
      <c r="U7" s="68"/>
      <c r="V7" s="68"/>
      <c r="W7" s="68"/>
      <c r="X7" s="68"/>
      <c r="Y7" s="68"/>
      <c r="Z7" s="68"/>
      <c r="AA7" s="68"/>
      <c r="AB7" s="68"/>
    </row>
    <row r="8">
      <c r="C8" s="7" t="s">
        <v>22</v>
      </c>
      <c r="D8" s="54" t="s">
        <v>118</v>
      </c>
      <c r="E8" s="74">
        <f>IFERROR(__xludf.DUMMYFUNCTION("COUNTA(SPLIT(D8,"" ""))/COUNTA(SPLIT($B$7,"" ""))"),0.09782608695652174)</f>
        <v>0.09782608696</v>
      </c>
      <c r="F8" s="7">
        <v>5.0</v>
      </c>
      <c r="G8" s="7">
        <v>5.0</v>
      </c>
      <c r="H8" s="7">
        <v>5.0</v>
      </c>
      <c r="I8" s="7">
        <v>5.0</v>
      </c>
      <c r="J8" s="7">
        <v>3.0</v>
      </c>
      <c r="K8" s="56"/>
      <c r="L8" s="56"/>
      <c r="M8" s="56"/>
      <c r="N8" s="56"/>
      <c r="O8" s="56"/>
      <c r="P8" s="56"/>
      <c r="Q8" s="56"/>
      <c r="R8" s="56"/>
      <c r="S8" s="56"/>
      <c r="T8" s="56"/>
      <c r="U8" s="56"/>
      <c r="V8" s="56"/>
      <c r="W8" s="56"/>
      <c r="X8" s="56"/>
      <c r="Y8" s="56"/>
      <c r="Z8" s="56"/>
      <c r="AA8" s="56"/>
      <c r="AB8" s="56"/>
    </row>
    <row r="9">
      <c r="C9" s="7" t="s">
        <v>8</v>
      </c>
      <c r="D9" s="54" t="s">
        <v>119</v>
      </c>
      <c r="E9" s="74">
        <f>IFERROR(__xludf.DUMMYFUNCTION("COUNTA(SPLIT(D9,"" ""))/COUNTA(SPLIT($B$7,"" ""))"),0.1316425120772947)</f>
        <v>0.1316425121</v>
      </c>
      <c r="F9" s="7">
        <v>3.0</v>
      </c>
      <c r="G9" s="7">
        <v>4.0</v>
      </c>
      <c r="H9" s="7">
        <v>5.0</v>
      </c>
      <c r="I9" s="7">
        <v>4.0</v>
      </c>
      <c r="J9" s="7">
        <v>3.0</v>
      </c>
      <c r="K9" s="56"/>
      <c r="L9" s="56"/>
      <c r="M9" s="56"/>
      <c r="N9" s="56"/>
      <c r="O9" s="56"/>
      <c r="P9" s="56"/>
      <c r="Q9" s="56"/>
      <c r="R9" s="56"/>
      <c r="S9" s="56"/>
      <c r="T9" s="56"/>
      <c r="U9" s="56"/>
      <c r="V9" s="56"/>
      <c r="W9" s="56"/>
      <c r="X9" s="56"/>
      <c r="Y9" s="56"/>
      <c r="Z9" s="56"/>
      <c r="AA9" s="56"/>
      <c r="AB9" s="56"/>
    </row>
    <row r="10">
      <c r="C10" s="7" t="s">
        <v>23</v>
      </c>
      <c r="D10" s="54" t="s">
        <v>120</v>
      </c>
      <c r="E10" s="74">
        <f>IFERROR(__xludf.DUMMYFUNCTION("COUNTA(SPLIT(D10,"" ""))/COUNTA(SPLIT($B$7,"" ""))"),0.23309178743961353)</f>
        <v>0.2330917874</v>
      </c>
      <c r="F10" s="67">
        <v>4.0</v>
      </c>
      <c r="G10" s="67">
        <v>5.0</v>
      </c>
      <c r="H10" s="67">
        <v>5.0</v>
      </c>
      <c r="I10" s="67">
        <v>3.0</v>
      </c>
      <c r="J10" s="67">
        <v>4.0</v>
      </c>
      <c r="K10" s="56"/>
      <c r="L10" s="56"/>
      <c r="M10" s="56"/>
      <c r="N10" s="56"/>
      <c r="O10" s="56"/>
      <c r="P10" s="56"/>
      <c r="Q10" s="56"/>
      <c r="R10" s="56"/>
      <c r="S10" s="56"/>
      <c r="T10" s="56"/>
      <c r="U10" s="56"/>
      <c r="V10" s="56"/>
      <c r="W10" s="56"/>
      <c r="X10" s="56"/>
      <c r="Y10" s="56"/>
      <c r="Z10" s="56"/>
      <c r="AA10" s="56"/>
      <c r="AB10" s="56"/>
    </row>
    <row r="11">
      <c r="A11" s="75"/>
      <c r="B11" s="69"/>
      <c r="C11" s="60"/>
      <c r="D11" s="61"/>
      <c r="E11" s="74"/>
      <c r="F11" s="60"/>
      <c r="G11" s="60"/>
      <c r="H11" s="60"/>
      <c r="I11" s="60"/>
      <c r="J11" s="60"/>
      <c r="K11" s="56"/>
      <c r="L11" s="56"/>
      <c r="M11" s="56"/>
      <c r="N11" s="56"/>
      <c r="O11" s="56"/>
      <c r="P11" s="56"/>
      <c r="Q11" s="56"/>
      <c r="R11" s="56"/>
      <c r="S11" s="56"/>
      <c r="T11" s="56"/>
      <c r="U11" s="56"/>
      <c r="V11" s="56"/>
      <c r="W11" s="56"/>
      <c r="X11" s="56"/>
      <c r="Y11" s="56"/>
      <c r="Z11" s="56"/>
      <c r="AA11" s="56"/>
      <c r="AB11" s="56"/>
    </row>
    <row r="12">
      <c r="A12" s="76" t="s">
        <v>41</v>
      </c>
      <c r="B12" s="77" t="s">
        <v>42</v>
      </c>
      <c r="C12" s="64" t="s">
        <v>21</v>
      </c>
      <c r="D12" s="65" t="s">
        <v>121</v>
      </c>
      <c r="E12" s="78">
        <f>IFERROR(__xludf.DUMMYFUNCTION("COUNTA(SPLIT(D12,"" ""))/COUNTA(SPLIT($B$12,"" ""))"),0.23234624145785876)</f>
        <v>0.2323462415</v>
      </c>
      <c r="F12" s="67">
        <v>5.0</v>
      </c>
      <c r="G12" s="67">
        <v>5.0</v>
      </c>
      <c r="H12" s="67">
        <v>5.0</v>
      </c>
      <c r="I12" s="67">
        <v>5.0</v>
      </c>
      <c r="J12" s="67">
        <v>4.0</v>
      </c>
      <c r="K12" s="68"/>
      <c r="L12" s="68"/>
      <c r="M12" s="68"/>
      <c r="N12" s="68"/>
      <c r="O12" s="68"/>
      <c r="P12" s="68"/>
      <c r="Q12" s="68"/>
      <c r="R12" s="68"/>
      <c r="S12" s="68"/>
      <c r="T12" s="68"/>
      <c r="U12" s="68"/>
      <c r="V12" s="68"/>
      <c r="W12" s="68"/>
      <c r="X12" s="68"/>
      <c r="Y12" s="68"/>
      <c r="Z12" s="68"/>
      <c r="AA12" s="68"/>
      <c r="AB12" s="68"/>
    </row>
    <row r="13">
      <c r="C13" s="7" t="s">
        <v>22</v>
      </c>
      <c r="D13" s="54" t="s">
        <v>122</v>
      </c>
      <c r="E13" s="74">
        <f>IFERROR(__xludf.DUMMYFUNCTION("COUNTA(SPLIT(D13,"" ""))/COUNTA(SPLIT($B$12,"" ""))"),0.17312072892938496)</f>
        <v>0.1731207289</v>
      </c>
      <c r="F13" s="67">
        <v>5.0</v>
      </c>
      <c r="G13" s="67">
        <v>4.0</v>
      </c>
      <c r="H13" s="67">
        <v>5.0</v>
      </c>
      <c r="I13" s="67">
        <v>5.0</v>
      </c>
      <c r="J13" s="67">
        <v>3.0</v>
      </c>
      <c r="K13" s="56"/>
      <c r="L13" s="56"/>
      <c r="M13" s="56"/>
      <c r="N13" s="56"/>
      <c r="O13" s="56"/>
      <c r="P13" s="56"/>
      <c r="Q13" s="56"/>
      <c r="R13" s="56"/>
      <c r="S13" s="56"/>
      <c r="T13" s="56"/>
      <c r="U13" s="56"/>
      <c r="V13" s="56"/>
      <c r="W13" s="56"/>
      <c r="X13" s="56"/>
      <c r="Y13" s="56"/>
      <c r="Z13" s="56"/>
      <c r="AA13" s="56"/>
      <c r="AB13" s="56"/>
    </row>
    <row r="14">
      <c r="C14" s="7" t="s">
        <v>8</v>
      </c>
      <c r="D14" s="54" t="s">
        <v>123</v>
      </c>
      <c r="E14" s="74">
        <f>IFERROR(__xludf.DUMMYFUNCTION("COUNTA(SPLIT(D14,"" ""))/COUNTA(SPLIT($B$12,"" ""))"),0.18792710706150342)</f>
        <v>0.1879271071</v>
      </c>
      <c r="F14" s="7">
        <v>3.0</v>
      </c>
      <c r="G14" s="7">
        <v>4.0</v>
      </c>
      <c r="H14" s="7">
        <v>5.0</v>
      </c>
      <c r="I14" s="7">
        <v>5.0</v>
      </c>
      <c r="J14" s="7">
        <v>5.0</v>
      </c>
      <c r="K14" s="56"/>
      <c r="L14" s="56"/>
      <c r="M14" s="56"/>
      <c r="N14" s="56"/>
      <c r="O14" s="56"/>
      <c r="P14" s="56"/>
      <c r="Q14" s="56"/>
      <c r="R14" s="56"/>
      <c r="S14" s="56"/>
      <c r="T14" s="56"/>
      <c r="U14" s="56"/>
      <c r="V14" s="56"/>
      <c r="W14" s="56"/>
      <c r="X14" s="56"/>
      <c r="Y14" s="56"/>
      <c r="Z14" s="56"/>
      <c r="AA14" s="56"/>
      <c r="AB14" s="56"/>
    </row>
    <row r="15">
      <c r="C15" s="7" t="s">
        <v>23</v>
      </c>
      <c r="D15" s="54" t="s">
        <v>124</v>
      </c>
      <c r="E15" s="74">
        <f>IFERROR(__xludf.DUMMYFUNCTION("COUNTA(SPLIT(D15,"" ""))/COUNTA(SPLIT($B$12,"" ""))"),0.23690205011389523)</f>
        <v>0.2369020501</v>
      </c>
      <c r="F15" s="67">
        <v>3.0</v>
      </c>
      <c r="G15" s="67">
        <v>5.0</v>
      </c>
      <c r="H15" s="67">
        <v>5.0</v>
      </c>
      <c r="I15" s="67">
        <v>5.0</v>
      </c>
      <c r="J15" s="67">
        <v>3.0</v>
      </c>
      <c r="K15" s="56"/>
      <c r="L15" s="56"/>
      <c r="M15" s="56"/>
      <c r="N15" s="56"/>
      <c r="O15" s="56"/>
      <c r="P15" s="56"/>
      <c r="Q15" s="56"/>
      <c r="R15" s="56"/>
      <c r="S15" s="56"/>
      <c r="T15" s="56"/>
      <c r="U15" s="56"/>
      <c r="V15" s="56"/>
      <c r="W15" s="56"/>
      <c r="X15" s="56"/>
      <c r="Y15" s="56"/>
      <c r="Z15" s="56"/>
      <c r="AA15" s="56"/>
      <c r="AB15" s="56"/>
    </row>
    <row r="16">
      <c r="A16" s="75"/>
      <c r="B16" s="69"/>
      <c r="C16" s="60"/>
      <c r="D16" s="61"/>
      <c r="E16" s="74"/>
      <c r="F16" s="60"/>
      <c r="G16" s="60"/>
      <c r="H16" s="60"/>
      <c r="I16" s="60"/>
      <c r="J16" s="60"/>
      <c r="K16" s="56"/>
      <c r="L16" s="56"/>
      <c r="M16" s="56"/>
      <c r="N16" s="56"/>
      <c r="O16" s="56"/>
      <c r="P16" s="56"/>
      <c r="Q16" s="56"/>
      <c r="R16" s="56"/>
      <c r="S16" s="56"/>
      <c r="T16" s="56"/>
      <c r="U16" s="56"/>
      <c r="V16" s="56"/>
      <c r="W16" s="56"/>
      <c r="X16" s="56"/>
      <c r="Y16" s="56"/>
      <c r="Z16" s="56"/>
      <c r="AA16" s="56"/>
      <c r="AB16" s="56"/>
    </row>
    <row r="17">
      <c r="A17" s="76" t="s">
        <v>45</v>
      </c>
      <c r="B17" s="77" t="s">
        <v>46</v>
      </c>
      <c r="C17" s="64" t="s">
        <v>21</v>
      </c>
      <c r="D17" s="65" t="s">
        <v>125</v>
      </c>
      <c r="E17" s="78">
        <f>IFERROR(__xludf.DUMMYFUNCTION("COUNTA(SPLIT(D17,"" ""))/COUNTA(SPLIT($B$17,"" ""))"),0.1698595146871009)</f>
        <v>0.1698595147</v>
      </c>
      <c r="F17" s="67">
        <v>4.0</v>
      </c>
      <c r="G17" s="67">
        <v>5.0</v>
      </c>
      <c r="H17" s="67">
        <v>5.0</v>
      </c>
      <c r="I17" s="67">
        <v>5.0</v>
      </c>
      <c r="J17" s="67">
        <v>4.0</v>
      </c>
      <c r="K17" s="68"/>
      <c r="L17" s="68"/>
      <c r="M17" s="68"/>
      <c r="N17" s="68"/>
      <c r="O17" s="68"/>
      <c r="P17" s="68"/>
      <c r="Q17" s="68"/>
      <c r="R17" s="68"/>
      <c r="S17" s="68"/>
      <c r="T17" s="68"/>
      <c r="U17" s="68"/>
      <c r="V17" s="68"/>
      <c r="W17" s="68"/>
      <c r="X17" s="68"/>
      <c r="Y17" s="68"/>
      <c r="Z17" s="68"/>
      <c r="AA17" s="68"/>
      <c r="AB17" s="68"/>
    </row>
    <row r="18">
      <c r="C18" s="7" t="s">
        <v>22</v>
      </c>
      <c r="D18" s="54" t="s">
        <v>126</v>
      </c>
      <c r="E18" s="74">
        <f>IFERROR(__xludf.DUMMYFUNCTION("COUNTA(SPLIT(D18,"" ""))/COUNTA(SPLIT($B$17,"" ""))"),0.08173690932311622)</f>
        <v>0.08173690932</v>
      </c>
      <c r="F18" s="67">
        <v>4.0</v>
      </c>
      <c r="G18" s="67">
        <v>5.0</v>
      </c>
      <c r="H18" s="67">
        <v>5.0</v>
      </c>
      <c r="I18" s="67">
        <v>5.0</v>
      </c>
      <c r="J18" s="67">
        <v>3.0</v>
      </c>
      <c r="K18" s="56"/>
      <c r="L18" s="56"/>
      <c r="M18" s="56"/>
      <c r="N18" s="56"/>
      <c r="O18" s="56"/>
      <c r="P18" s="56"/>
      <c r="Q18" s="56"/>
      <c r="R18" s="56"/>
      <c r="S18" s="56"/>
      <c r="T18" s="56"/>
      <c r="U18" s="56"/>
      <c r="V18" s="56"/>
      <c r="W18" s="56"/>
      <c r="X18" s="56"/>
      <c r="Y18" s="56"/>
      <c r="Z18" s="56"/>
      <c r="AA18" s="56"/>
      <c r="AB18" s="56"/>
    </row>
    <row r="19">
      <c r="C19" s="7" t="s">
        <v>8</v>
      </c>
      <c r="D19" s="54" t="s">
        <v>127</v>
      </c>
      <c r="E19" s="74">
        <f>IFERROR(__xludf.DUMMYFUNCTION("COUNTA(SPLIT(D19,"" ""))/COUNTA(SPLIT($B$17,"" ""))"),0.23627075351213284)</f>
        <v>0.2362707535</v>
      </c>
      <c r="F19" s="7">
        <v>3.0</v>
      </c>
      <c r="G19" s="7">
        <v>5.0</v>
      </c>
      <c r="H19" s="7">
        <v>5.0</v>
      </c>
      <c r="I19" s="7">
        <v>5.0</v>
      </c>
      <c r="J19" s="7">
        <v>5.0</v>
      </c>
      <c r="K19" s="56"/>
      <c r="L19" s="56"/>
      <c r="M19" s="56"/>
      <c r="N19" s="56"/>
      <c r="O19" s="56"/>
      <c r="P19" s="56"/>
      <c r="Q19" s="56"/>
      <c r="R19" s="56"/>
      <c r="S19" s="56"/>
      <c r="T19" s="56"/>
      <c r="U19" s="56"/>
      <c r="V19" s="56"/>
      <c r="W19" s="56"/>
      <c r="X19" s="56"/>
      <c r="Y19" s="56"/>
      <c r="Z19" s="56"/>
      <c r="AA19" s="56"/>
      <c r="AB19" s="56"/>
    </row>
    <row r="20">
      <c r="C20" s="7" t="s">
        <v>23</v>
      </c>
      <c r="D20" s="54" t="s">
        <v>128</v>
      </c>
      <c r="E20" s="74">
        <f>IFERROR(__xludf.DUMMYFUNCTION("COUNTA(SPLIT(D20,"" ""))/COUNTA(SPLIT($B$17,"" ""))"),0.3384418901660281)</f>
        <v>0.3384418902</v>
      </c>
      <c r="F20" s="67">
        <v>5.0</v>
      </c>
      <c r="G20" s="67">
        <v>5.0</v>
      </c>
      <c r="H20" s="67">
        <v>5.0</v>
      </c>
      <c r="I20" s="67">
        <v>4.0</v>
      </c>
      <c r="J20" s="67">
        <v>4.0</v>
      </c>
      <c r="K20" s="56"/>
      <c r="L20" s="56"/>
      <c r="M20" s="56"/>
      <c r="N20" s="56"/>
      <c r="O20" s="56"/>
      <c r="P20" s="56"/>
      <c r="Q20" s="56"/>
      <c r="R20" s="56"/>
      <c r="S20" s="56"/>
      <c r="T20" s="56"/>
      <c r="U20" s="56"/>
      <c r="V20" s="56"/>
      <c r="W20" s="56"/>
      <c r="X20" s="56"/>
      <c r="Y20" s="56"/>
      <c r="Z20" s="56"/>
      <c r="AA20" s="56"/>
      <c r="AB20" s="56"/>
    </row>
    <row r="21">
      <c r="A21" s="75"/>
      <c r="B21" s="69"/>
      <c r="C21" s="60"/>
      <c r="D21" s="61"/>
      <c r="E21" s="74"/>
      <c r="F21" s="60"/>
      <c r="G21" s="60"/>
      <c r="H21" s="60"/>
      <c r="I21" s="60"/>
      <c r="J21" s="60"/>
      <c r="K21" s="56"/>
      <c r="L21" s="56"/>
      <c r="M21" s="56"/>
      <c r="N21" s="56"/>
      <c r="O21" s="56"/>
      <c r="P21" s="56"/>
      <c r="Q21" s="56"/>
      <c r="R21" s="56"/>
      <c r="S21" s="56"/>
      <c r="T21" s="56"/>
      <c r="U21" s="56"/>
      <c r="V21" s="56"/>
      <c r="W21" s="56"/>
      <c r="X21" s="56"/>
      <c r="Y21" s="56"/>
      <c r="Z21" s="56"/>
      <c r="AA21" s="56"/>
      <c r="AB21" s="56"/>
    </row>
    <row r="22">
      <c r="A22" s="76" t="s">
        <v>49</v>
      </c>
      <c r="B22" s="77" t="s">
        <v>50</v>
      </c>
      <c r="C22" s="64" t="s">
        <v>21</v>
      </c>
      <c r="D22" s="65" t="s">
        <v>129</v>
      </c>
      <c r="E22" s="78">
        <f>IFERROR(__xludf.DUMMYFUNCTION("COUNTA(SPLIT(D22,"" ""))/COUNTA(SPLIT($B$22,"" ""))"),0.28336755646817247)</f>
        <v>0.2833675565</v>
      </c>
      <c r="F22" s="67">
        <v>4.0</v>
      </c>
      <c r="G22" s="67">
        <v>5.0</v>
      </c>
      <c r="H22" s="67">
        <v>5.0</v>
      </c>
      <c r="I22" s="67">
        <v>5.0</v>
      </c>
      <c r="J22" s="67">
        <v>5.0</v>
      </c>
      <c r="K22" s="68"/>
      <c r="L22" s="68"/>
      <c r="M22" s="68"/>
      <c r="N22" s="68"/>
      <c r="O22" s="68"/>
      <c r="P22" s="68"/>
      <c r="Q22" s="68"/>
      <c r="R22" s="68"/>
      <c r="S22" s="68"/>
      <c r="T22" s="68"/>
      <c r="U22" s="68"/>
      <c r="V22" s="68"/>
      <c r="W22" s="68"/>
      <c r="X22" s="68"/>
      <c r="Y22" s="68"/>
      <c r="Z22" s="68"/>
      <c r="AA22" s="68"/>
      <c r="AB22" s="68"/>
    </row>
    <row r="23">
      <c r="C23" s="7" t="s">
        <v>22</v>
      </c>
      <c r="D23" s="54" t="s">
        <v>130</v>
      </c>
      <c r="E23" s="74">
        <f>IFERROR(__xludf.DUMMYFUNCTION("COUNTA(SPLIT(D23,"" ""))/COUNTA(SPLIT($B$22,"" ""))"),0.10882956878850103)</f>
        <v>0.1088295688</v>
      </c>
      <c r="F23" s="67">
        <v>4.0</v>
      </c>
      <c r="G23" s="67">
        <v>5.0</v>
      </c>
      <c r="H23" s="67">
        <v>5.0</v>
      </c>
      <c r="I23" s="67">
        <v>5.0</v>
      </c>
      <c r="J23" s="67">
        <v>3.0</v>
      </c>
      <c r="K23" s="56"/>
      <c r="L23" s="56"/>
      <c r="M23" s="56"/>
      <c r="N23" s="56"/>
      <c r="O23" s="56"/>
      <c r="P23" s="56"/>
      <c r="Q23" s="56"/>
      <c r="R23" s="56"/>
      <c r="S23" s="56"/>
      <c r="T23" s="56"/>
      <c r="U23" s="56"/>
      <c r="V23" s="56"/>
      <c r="W23" s="56"/>
      <c r="X23" s="56"/>
      <c r="Y23" s="56"/>
      <c r="Z23" s="56"/>
      <c r="AA23" s="56"/>
      <c r="AB23" s="56"/>
    </row>
    <row r="24">
      <c r="C24" s="7" t="s">
        <v>8</v>
      </c>
      <c r="D24" s="54" t="s">
        <v>131</v>
      </c>
      <c r="E24" s="74">
        <f>IFERROR(__xludf.DUMMYFUNCTION("COUNTA(SPLIT(D24,"" ""))/COUNTA(SPLIT($B$22,"" ""))"),0.2997946611909651)</f>
        <v>0.2997946612</v>
      </c>
      <c r="F24" s="7">
        <v>3.0</v>
      </c>
      <c r="G24" s="7">
        <v>5.0</v>
      </c>
      <c r="H24" s="7">
        <v>5.0</v>
      </c>
      <c r="I24" s="7">
        <v>4.0</v>
      </c>
      <c r="J24" s="7">
        <v>5.0</v>
      </c>
      <c r="K24" s="56"/>
      <c r="L24" s="56"/>
      <c r="M24" s="56"/>
      <c r="N24" s="56"/>
      <c r="O24" s="56"/>
      <c r="P24" s="56"/>
      <c r="Q24" s="56"/>
      <c r="R24" s="56"/>
      <c r="S24" s="56"/>
      <c r="T24" s="56"/>
      <c r="U24" s="56"/>
      <c r="V24" s="56"/>
      <c r="W24" s="56"/>
      <c r="X24" s="56"/>
      <c r="Y24" s="56"/>
      <c r="Z24" s="56"/>
      <c r="AA24" s="56"/>
      <c r="AB24" s="56"/>
    </row>
    <row r="25">
      <c r="C25" s="7" t="s">
        <v>23</v>
      </c>
      <c r="D25" s="54" t="s">
        <v>132</v>
      </c>
      <c r="E25" s="74">
        <f>IFERROR(__xludf.DUMMYFUNCTION("COUNTA(SPLIT(D25,"" ""))/COUNTA(SPLIT($B$22,"" ""))"),0.2731006160164271)</f>
        <v>0.273100616</v>
      </c>
      <c r="F25" s="67">
        <v>5.0</v>
      </c>
      <c r="G25" s="67">
        <v>5.0</v>
      </c>
      <c r="H25" s="67">
        <v>5.0</v>
      </c>
      <c r="I25" s="67">
        <v>4.0</v>
      </c>
      <c r="J25" s="67">
        <v>5.0</v>
      </c>
      <c r="K25" s="56"/>
      <c r="L25" s="56"/>
      <c r="M25" s="56"/>
      <c r="N25" s="56"/>
      <c r="O25" s="56"/>
      <c r="P25" s="56"/>
      <c r="Q25" s="56"/>
      <c r="R25" s="56"/>
      <c r="S25" s="56"/>
      <c r="T25" s="56"/>
      <c r="U25" s="56"/>
      <c r="V25" s="56"/>
      <c r="W25" s="56"/>
      <c r="X25" s="56"/>
      <c r="Y25" s="56"/>
      <c r="Z25" s="56"/>
      <c r="AA25" s="56"/>
      <c r="AB25" s="56"/>
    </row>
    <row r="26">
      <c r="A26" s="75"/>
      <c r="B26" s="69"/>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c r="A27" s="79" t="s">
        <v>53</v>
      </c>
      <c r="B27" s="80" t="s">
        <v>54</v>
      </c>
      <c r="C27" s="81" t="s">
        <v>21</v>
      </c>
      <c r="D27" s="82" t="s">
        <v>133</v>
      </c>
      <c r="E27" s="83">
        <f>IFERROR(__xludf.DUMMYFUNCTION("COUNTA(SPLIT(D27,"" ""))/COUNTA(SPLIT($B$27,"" ""))"),0.21806853582554517)</f>
        <v>0.2180685358</v>
      </c>
      <c r="F27" s="7">
        <v>4.0</v>
      </c>
      <c r="G27" s="7">
        <v>5.0</v>
      </c>
      <c r="H27" s="7">
        <v>5.0</v>
      </c>
      <c r="I27" s="7">
        <v>5.0</v>
      </c>
      <c r="J27" s="7">
        <v>4.0</v>
      </c>
      <c r="K27" s="56"/>
      <c r="L27" s="56"/>
      <c r="M27" s="56"/>
      <c r="N27" s="56"/>
      <c r="O27" s="56"/>
      <c r="P27" s="56"/>
      <c r="Q27" s="56"/>
      <c r="R27" s="56"/>
      <c r="S27" s="56"/>
      <c r="T27" s="56"/>
      <c r="U27" s="56"/>
      <c r="V27" s="56"/>
      <c r="W27" s="56"/>
      <c r="X27" s="56"/>
      <c r="Y27" s="56"/>
      <c r="Z27" s="56"/>
      <c r="AA27" s="56"/>
      <c r="AB27" s="56"/>
    </row>
    <row r="28">
      <c r="C28" s="85" t="s">
        <v>22</v>
      </c>
      <c r="D28" s="57" t="s">
        <v>134</v>
      </c>
      <c r="E28" s="86">
        <f>IFERROR(__xludf.DUMMYFUNCTION("COUNTA(SPLIT(D28,"" ""))/COUNTA(SPLIT($B$27,"" ""))"),0.12149532710280374)</f>
        <v>0.1214953271</v>
      </c>
      <c r="F28" s="7">
        <v>4.0</v>
      </c>
      <c r="G28" s="7">
        <v>4.0</v>
      </c>
      <c r="H28" s="7">
        <v>5.0</v>
      </c>
      <c r="I28" s="7">
        <v>5.0</v>
      </c>
      <c r="J28" s="7">
        <v>2.0</v>
      </c>
      <c r="K28" s="56"/>
      <c r="L28" s="56"/>
      <c r="M28" s="56"/>
      <c r="N28" s="56"/>
      <c r="O28" s="56"/>
      <c r="P28" s="56"/>
      <c r="Q28" s="56"/>
      <c r="R28" s="56"/>
      <c r="S28" s="56"/>
      <c r="T28" s="56"/>
      <c r="U28" s="56"/>
      <c r="V28" s="56"/>
      <c r="W28" s="56"/>
      <c r="X28" s="56"/>
      <c r="Y28" s="56"/>
      <c r="Z28" s="56"/>
      <c r="AA28" s="56"/>
      <c r="AB28" s="56"/>
    </row>
    <row r="29">
      <c r="C29" s="85" t="s">
        <v>8</v>
      </c>
      <c r="D29" s="57" t="s">
        <v>135</v>
      </c>
      <c r="E29" s="87">
        <f>IFERROR(__xludf.DUMMYFUNCTION("COUNTA(SPLIT(D29,"" ""))/COUNTA(SPLIT($B$27,"" ""))"),0.26791277258566976)</f>
        <v>0.2679127726</v>
      </c>
      <c r="F29" s="7">
        <v>3.0</v>
      </c>
      <c r="G29" s="7">
        <v>5.0</v>
      </c>
      <c r="H29" s="7">
        <v>5.0</v>
      </c>
      <c r="I29" s="7">
        <v>5.0</v>
      </c>
      <c r="J29" s="7">
        <v>5.0</v>
      </c>
      <c r="K29" s="56"/>
      <c r="L29" s="56"/>
      <c r="M29" s="56"/>
      <c r="N29" s="56"/>
      <c r="O29" s="56"/>
      <c r="P29" s="56"/>
      <c r="Q29" s="56"/>
      <c r="R29" s="56"/>
      <c r="S29" s="56"/>
      <c r="T29" s="56"/>
      <c r="U29" s="56"/>
      <c r="V29" s="56"/>
      <c r="W29" s="56"/>
      <c r="X29" s="56"/>
      <c r="Y29" s="56"/>
      <c r="Z29" s="56"/>
      <c r="AA29" s="56"/>
      <c r="AB29" s="56"/>
    </row>
    <row r="30">
      <c r="C30" s="85" t="s">
        <v>23</v>
      </c>
      <c r="D30" s="57" t="s">
        <v>136</v>
      </c>
      <c r="E30" s="88">
        <f>IFERROR(__xludf.DUMMYFUNCTION("COUNTA(SPLIT(D30,"" ""))/COUNTA(SPLIT($B$27,"" ""))"),0.17289719626168223)</f>
        <v>0.1728971963</v>
      </c>
      <c r="F30" s="7">
        <v>4.0</v>
      </c>
      <c r="G30" s="7">
        <v>5.0</v>
      </c>
      <c r="H30" s="7">
        <v>5.0</v>
      </c>
      <c r="I30" s="7">
        <v>5.0</v>
      </c>
      <c r="J30" s="7">
        <v>4.0</v>
      </c>
      <c r="K30" s="56"/>
      <c r="L30" s="56"/>
      <c r="M30" s="56"/>
      <c r="N30" s="56"/>
      <c r="O30" s="56"/>
      <c r="P30" s="56"/>
      <c r="Q30" s="56"/>
      <c r="R30" s="56"/>
      <c r="S30" s="56"/>
      <c r="T30" s="56"/>
      <c r="U30" s="56"/>
      <c r="V30" s="56"/>
      <c r="W30" s="56"/>
      <c r="X30" s="56"/>
      <c r="Y30" s="56"/>
      <c r="Z30" s="56"/>
      <c r="AA30" s="56"/>
      <c r="AB30" s="56"/>
    </row>
    <row r="31">
      <c r="A31" s="75"/>
      <c r="B31" s="69"/>
      <c r="C31" s="60"/>
      <c r="D31" s="61"/>
      <c r="E31" s="69"/>
      <c r="F31" s="60"/>
      <c r="G31" s="60"/>
      <c r="H31" s="60"/>
      <c r="I31" s="60"/>
      <c r="J31" s="60"/>
      <c r="K31" s="56"/>
      <c r="L31" s="56"/>
      <c r="M31" s="56"/>
      <c r="N31" s="56"/>
      <c r="O31" s="56"/>
      <c r="P31" s="56"/>
      <c r="Q31" s="56"/>
      <c r="R31" s="56"/>
      <c r="S31" s="56"/>
      <c r="T31" s="56"/>
      <c r="U31" s="56"/>
      <c r="V31" s="56"/>
      <c r="W31" s="56"/>
      <c r="X31" s="56"/>
      <c r="Y31" s="56"/>
      <c r="Z31" s="56"/>
      <c r="AA31" s="56"/>
      <c r="AB31" s="56"/>
    </row>
    <row r="32">
      <c r="A32" s="89" t="s">
        <v>57</v>
      </c>
      <c r="B32" s="90" t="s">
        <v>58</v>
      </c>
      <c r="C32" s="81" t="s">
        <v>21</v>
      </c>
      <c r="D32" s="82" t="s">
        <v>137</v>
      </c>
      <c r="E32" s="83">
        <f>IFERROR(__xludf.DUMMYFUNCTION("COUNTA(SPLIT(D32,"" ""))/COUNTA(SPLIT($B$32,"" ""))"),0.14118507681053402)</f>
        <v>0.1411850768</v>
      </c>
      <c r="F32" s="7">
        <v>4.0</v>
      </c>
      <c r="G32" s="7">
        <v>5.0</v>
      </c>
      <c r="H32" s="7">
        <v>5.0</v>
      </c>
      <c r="I32" s="7">
        <v>5.0</v>
      </c>
      <c r="J32" s="7">
        <v>4.0</v>
      </c>
      <c r="K32" s="56"/>
      <c r="L32" s="56"/>
      <c r="M32" s="56"/>
      <c r="N32" s="56"/>
      <c r="O32" s="56"/>
      <c r="P32" s="56"/>
      <c r="Q32" s="56"/>
      <c r="R32" s="56"/>
      <c r="S32" s="56"/>
      <c r="T32" s="56"/>
      <c r="U32" s="56"/>
      <c r="V32" s="56"/>
      <c r="W32" s="56"/>
      <c r="X32" s="56"/>
      <c r="Y32" s="56"/>
      <c r="Z32" s="56"/>
      <c r="AA32" s="56"/>
      <c r="AB32" s="56"/>
    </row>
    <row r="33">
      <c r="C33" s="85" t="s">
        <v>22</v>
      </c>
      <c r="D33" s="57" t="s">
        <v>98</v>
      </c>
      <c r="E33" s="86">
        <f>IFERROR(__xludf.DUMMYFUNCTION("COUNTA(SPLIT(D33,"" ""))/COUNTA(SPLIT($B$32,"" ""))"),0.12216532553035844)</f>
        <v>0.1221653255</v>
      </c>
      <c r="F33" s="7">
        <v>5.0</v>
      </c>
      <c r="G33" s="7">
        <v>5.0</v>
      </c>
      <c r="H33" s="7">
        <v>5.0</v>
      </c>
      <c r="I33" s="7">
        <v>4.0</v>
      </c>
      <c r="J33" s="7">
        <v>4.0</v>
      </c>
      <c r="K33" s="56"/>
      <c r="L33" s="56"/>
      <c r="M33" s="56"/>
      <c r="N33" s="56"/>
      <c r="O33" s="56"/>
      <c r="P33" s="56"/>
      <c r="Q33" s="56"/>
      <c r="R33" s="56"/>
      <c r="S33" s="56"/>
      <c r="T33" s="56"/>
      <c r="U33" s="56"/>
      <c r="V33" s="56"/>
      <c r="W33" s="56"/>
      <c r="X33" s="56"/>
      <c r="Y33" s="56"/>
      <c r="Z33" s="56"/>
      <c r="AA33" s="56"/>
      <c r="AB33" s="56"/>
    </row>
    <row r="34">
      <c r="C34" s="85" t="s">
        <v>8</v>
      </c>
      <c r="D34" s="57" t="s">
        <v>138</v>
      </c>
      <c r="E34" s="87">
        <f>IFERROR(__xludf.DUMMYFUNCTION("COUNTA(SPLIT(D34,"" ""))/COUNTA(SPLIT($B$32,"" ""))"),0.15947329919531822)</f>
        <v>0.1594732992</v>
      </c>
      <c r="F34" s="7">
        <v>3.0</v>
      </c>
      <c r="G34" s="7">
        <v>5.0</v>
      </c>
      <c r="H34" s="7">
        <v>5.0</v>
      </c>
      <c r="I34" s="7">
        <v>5.0</v>
      </c>
      <c r="J34" s="7">
        <v>4.0</v>
      </c>
      <c r="K34" s="56"/>
      <c r="L34" s="56"/>
      <c r="M34" s="56"/>
      <c r="N34" s="56"/>
      <c r="O34" s="56"/>
      <c r="P34" s="56"/>
      <c r="Q34" s="56"/>
      <c r="R34" s="56"/>
      <c r="S34" s="56"/>
      <c r="T34" s="56"/>
      <c r="U34" s="56"/>
      <c r="V34" s="56"/>
      <c r="W34" s="56"/>
      <c r="X34" s="56"/>
      <c r="Y34" s="56"/>
      <c r="Z34" s="56"/>
      <c r="AA34" s="56"/>
      <c r="AB34" s="56"/>
    </row>
    <row r="35">
      <c r="C35" s="85" t="s">
        <v>23</v>
      </c>
      <c r="D35" s="57" t="s">
        <v>139</v>
      </c>
      <c r="E35" s="88">
        <f>IFERROR(__xludf.DUMMYFUNCTION("COUNTA(SPLIT(D35,"" ""))/COUNTA(SPLIT($B$32,"" ""))"),0.17702999268471104)</f>
        <v>0.1770299927</v>
      </c>
      <c r="F35" s="7">
        <v>5.0</v>
      </c>
      <c r="G35" s="7">
        <v>5.0</v>
      </c>
      <c r="H35" s="7">
        <v>5.0</v>
      </c>
      <c r="I35" s="7">
        <v>5.0</v>
      </c>
      <c r="J35" s="7">
        <v>5.0</v>
      </c>
      <c r="K35" s="56"/>
      <c r="L35" s="56"/>
      <c r="M35" s="56"/>
      <c r="N35" s="56"/>
      <c r="O35" s="56"/>
      <c r="P35" s="56"/>
      <c r="Q35" s="56"/>
      <c r="R35" s="56"/>
      <c r="S35" s="56"/>
      <c r="T35" s="56"/>
      <c r="U35" s="56"/>
      <c r="V35" s="56"/>
      <c r="W35" s="56"/>
      <c r="X35" s="56"/>
      <c r="Y35" s="56"/>
      <c r="Z35" s="56"/>
      <c r="AA35" s="56"/>
      <c r="AB35" s="56"/>
    </row>
    <row r="36">
      <c r="A36" s="75"/>
      <c r="B36" s="69"/>
      <c r="C36" s="60"/>
      <c r="D36" s="61"/>
      <c r="E36" s="69"/>
      <c r="F36" s="60"/>
      <c r="G36" s="60"/>
      <c r="H36" s="60"/>
      <c r="I36" s="60"/>
      <c r="J36" s="60"/>
      <c r="K36" s="56"/>
      <c r="L36" s="56"/>
      <c r="M36" s="56"/>
      <c r="N36" s="56"/>
      <c r="O36" s="56"/>
      <c r="P36" s="56"/>
      <c r="Q36" s="56"/>
      <c r="R36" s="56"/>
      <c r="S36" s="56"/>
      <c r="T36" s="56"/>
      <c r="U36" s="56"/>
      <c r="V36" s="56"/>
      <c r="W36" s="56"/>
      <c r="X36" s="56"/>
      <c r="Y36" s="56"/>
      <c r="Z36" s="56"/>
      <c r="AA36" s="56"/>
      <c r="AB36" s="56"/>
    </row>
    <row r="37">
      <c r="A37" s="89" t="s">
        <v>61</v>
      </c>
      <c r="B37" s="90" t="s">
        <v>62</v>
      </c>
      <c r="C37" s="81" t="s">
        <v>21</v>
      </c>
      <c r="D37" s="82" t="s">
        <v>140</v>
      </c>
      <c r="E37" s="83">
        <f>IFERROR(__xludf.DUMMYFUNCTION("COUNTA(SPLIT(D37,"" ""))/COUNTA(SPLIT($B$37,"" ""))"),0.12096774193548387)</f>
        <v>0.1209677419</v>
      </c>
      <c r="F37" s="7">
        <v>5.0</v>
      </c>
      <c r="G37" s="7">
        <v>5.0</v>
      </c>
      <c r="H37" s="7">
        <v>5.0</v>
      </c>
      <c r="I37" s="7">
        <v>5.0</v>
      </c>
      <c r="J37" s="7">
        <v>4.0</v>
      </c>
      <c r="K37" s="56"/>
      <c r="L37" s="56"/>
      <c r="M37" s="56"/>
      <c r="N37" s="56"/>
      <c r="O37" s="56"/>
      <c r="P37" s="56"/>
      <c r="Q37" s="56"/>
      <c r="R37" s="56"/>
      <c r="S37" s="56"/>
      <c r="T37" s="56"/>
      <c r="U37" s="56"/>
      <c r="V37" s="56"/>
      <c r="W37" s="56"/>
      <c r="X37" s="56"/>
      <c r="Y37" s="56"/>
      <c r="Z37" s="56"/>
      <c r="AA37" s="56"/>
      <c r="AB37" s="56"/>
    </row>
    <row r="38">
      <c r="C38" s="85" t="s">
        <v>22</v>
      </c>
      <c r="D38" s="57" t="s">
        <v>141</v>
      </c>
      <c r="E38" s="86">
        <f>IFERROR(__xludf.DUMMYFUNCTION("COUNTA(SPLIT(D38,"" ""))/COUNTA(SPLIT($B$37,"" ""))"),0.05459057071960298)</f>
        <v>0.05459057072</v>
      </c>
      <c r="F38" s="7">
        <v>4.0</v>
      </c>
      <c r="G38" s="7">
        <v>5.0</v>
      </c>
      <c r="H38" s="7">
        <v>5.0</v>
      </c>
      <c r="I38" s="7">
        <v>5.0</v>
      </c>
      <c r="J38" s="7">
        <v>2.0</v>
      </c>
      <c r="K38" s="56"/>
      <c r="L38" s="56"/>
      <c r="M38" s="56"/>
      <c r="N38" s="56"/>
      <c r="O38" s="56"/>
      <c r="P38" s="56"/>
      <c r="Q38" s="56"/>
      <c r="R38" s="56"/>
      <c r="S38" s="56"/>
      <c r="T38" s="56"/>
      <c r="U38" s="56"/>
      <c r="V38" s="56"/>
      <c r="W38" s="56"/>
      <c r="X38" s="56"/>
      <c r="Y38" s="56"/>
      <c r="Z38" s="56"/>
      <c r="AA38" s="56"/>
      <c r="AB38" s="56"/>
    </row>
    <row r="39">
      <c r="C39" s="85" t="s">
        <v>8</v>
      </c>
      <c r="D39" s="57" t="s">
        <v>142</v>
      </c>
      <c r="E39" s="87">
        <f>IFERROR(__xludf.DUMMYFUNCTION("COUNTA(SPLIT(D39,"" ""))/COUNTA(SPLIT($B$37,"" ""))"),0.09367245657568238)</f>
        <v>0.09367245658</v>
      </c>
      <c r="F39" s="7">
        <v>3.0</v>
      </c>
      <c r="G39" s="7">
        <v>5.0</v>
      </c>
      <c r="H39" s="7">
        <v>5.0</v>
      </c>
      <c r="I39" s="7">
        <v>5.0</v>
      </c>
      <c r="J39" s="7">
        <v>3.0</v>
      </c>
      <c r="K39" s="56"/>
      <c r="L39" s="56"/>
      <c r="M39" s="56"/>
      <c r="N39" s="56"/>
      <c r="O39" s="56"/>
      <c r="P39" s="56"/>
      <c r="Q39" s="56"/>
      <c r="R39" s="56"/>
      <c r="S39" s="56"/>
      <c r="T39" s="56"/>
      <c r="U39" s="56"/>
      <c r="V39" s="56"/>
      <c r="W39" s="56"/>
      <c r="X39" s="56"/>
      <c r="Y39" s="56"/>
      <c r="Z39" s="56"/>
      <c r="AA39" s="56"/>
      <c r="AB39" s="56"/>
    </row>
    <row r="40">
      <c r="C40" s="85" t="s">
        <v>23</v>
      </c>
      <c r="D40" s="57" t="s">
        <v>143</v>
      </c>
      <c r="E40" s="88">
        <f>IFERROR(__xludf.DUMMYFUNCTION("COUNTA(SPLIT(D40,"" ""))/COUNTA(SPLIT($B$37,"" ""))"),0.06699751861042183)</f>
        <v>0.06699751861</v>
      </c>
      <c r="F40" s="7">
        <v>5.0</v>
      </c>
      <c r="G40" s="7">
        <v>5.0</v>
      </c>
      <c r="H40" s="7">
        <v>5.0</v>
      </c>
      <c r="I40" s="7">
        <v>5.0</v>
      </c>
      <c r="J40" s="7">
        <v>3.0</v>
      </c>
      <c r="K40" s="56"/>
      <c r="L40" s="56"/>
      <c r="M40" s="56"/>
      <c r="N40" s="56"/>
      <c r="O40" s="56"/>
      <c r="P40" s="56"/>
      <c r="Q40" s="56"/>
      <c r="R40" s="56"/>
      <c r="S40" s="56"/>
      <c r="T40" s="56"/>
      <c r="U40" s="56"/>
      <c r="V40" s="56"/>
      <c r="W40" s="56"/>
      <c r="X40" s="56"/>
      <c r="Y40" s="56"/>
      <c r="Z40" s="56"/>
      <c r="AA40" s="56"/>
      <c r="AB40" s="56"/>
    </row>
    <row r="41">
      <c r="A41" s="75"/>
      <c r="B41" s="69"/>
      <c r="C41" s="60"/>
      <c r="D41" s="61"/>
      <c r="E41" s="69"/>
      <c r="F41" s="60"/>
      <c r="G41" s="60"/>
      <c r="H41" s="60"/>
      <c r="I41" s="60"/>
      <c r="J41" s="60"/>
      <c r="K41" s="56"/>
      <c r="L41" s="56"/>
      <c r="M41" s="56"/>
      <c r="N41" s="56"/>
      <c r="O41" s="56"/>
      <c r="P41" s="56"/>
      <c r="Q41" s="56"/>
      <c r="R41" s="56"/>
      <c r="S41" s="56"/>
      <c r="T41" s="56"/>
      <c r="U41" s="56"/>
      <c r="V41" s="56"/>
      <c r="W41" s="56"/>
      <c r="X41" s="56"/>
      <c r="Y41" s="56"/>
      <c r="Z41" s="56"/>
      <c r="AA41" s="56"/>
      <c r="AB41" s="56"/>
    </row>
    <row r="42">
      <c r="A42" s="89" t="s">
        <v>65</v>
      </c>
      <c r="B42" s="90" t="s">
        <v>66</v>
      </c>
      <c r="C42" s="81" t="s">
        <v>21</v>
      </c>
      <c r="D42" s="82" t="s">
        <v>144</v>
      </c>
      <c r="E42" s="83">
        <f>IFERROR(__xludf.DUMMYFUNCTION("COUNTA(SPLIT(D42,"" ""))/COUNTA(SPLIT($B$42,"" ""))"),0.21096654275092938)</f>
        <v>0.2109665428</v>
      </c>
      <c r="F42" s="7">
        <v>5.0</v>
      </c>
      <c r="G42" s="7">
        <v>4.0</v>
      </c>
      <c r="H42" s="7">
        <v>5.0</v>
      </c>
      <c r="I42" s="7">
        <v>3.0</v>
      </c>
      <c r="J42" s="7">
        <v>5.0</v>
      </c>
      <c r="K42" s="56"/>
      <c r="L42" s="56"/>
      <c r="M42" s="56"/>
      <c r="N42" s="56"/>
      <c r="O42" s="56"/>
      <c r="P42" s="56"/>
      <c r="Q42" s="56"/>
      <c r="R42" s="56"/>
      <c r="S42" s="56"/>
      <c r="T42" s="56"/>
      <c r="U42" s="56"/>
      <c r="V42" s="56"/>
      <c r="W42" s="56"/>
      <c r="X42" s="56"/>
      <c r="Y42" s="56"/>
      <c r="Z42" s="56"/>
      <c r="AA42" s="56"/>
      <c r="AB42" s="56"/>
    </row>
    <row r="43">
      <c r="C43" s="85" t="s">
        <v>22</v>
      </c>
      <c r="D43" s="57" t="s">
        <v>145</v>
      </c>
      <c r="E43" s="86">
        <f>IFERROR(__xludf.DUMMYFUNCTION("COUNTA(SPLIT(D43,"" ""))/COUNTA(SPLIT($B$42,"" ""))"),0.09572490706319703)</f>
        <v>0.09572490706</v>
      </c>
      <c r="F43" s="7">
        <v>4.0</v>
      </c>
      <c r="G43" s="7">
        <v>5.0</v>
      </c>
      <c r="H43" s="7">
        <v>5.0</v>
      </c>
      <c r="I43" s="7">
        <v>5.0</v>
      </c>
      <c r="J43" s="7">
        <v>4.0</v>
      </c>
      <c r="K43" s="56"/>
      <c r="L43" s="56"/>
      <c r="M43" s="56"/>
      <c r="N43" s="56"/>
      <c r="O43" s="56"/>
      <c r="P43" s="56"/>
      <c r="Q43" s="56"/>
      <c r="R43" s="56"/>
      <c r="S43" s="56"/>
      <c r="T43" s="56"/>
      <c r="U43" s="56"/>
      <c r="V43" s="56"/>
      <c r="W43" s="56"/>
      <c r="X43" s="56"/>
      <c r="Y43" s="56"/>
      <c r="Z43" s="56"/>
      <c r="AA43" s="56"/>
      <c r="AB43" s="56"/>
    </row>
    <row r="44">
      <c r="C44" s="85" t="s">
        <v>8</v>
      </c>
      <c r="D44" s="57" t="s">
        <v>146</v>
      </c>
      <c r="E44" s="87">
        <f>IFERROR(__xludf.DUMMYFUNCTION("COUNTA(SPLIT(D44,"" ""))/COUNTA(SPLIT($B$42,"" ""))"),0.17472118959107807)</f>
        <v>0.1747211896</v>
      </c>
      <c r="F44" s="7">
        <v>3.0</v>
      </c>
      <c r="G44" s="7">
        <v>5.0</v>
      </c>
      <c r="H44" s="7">
        <v>5.0</v>
      </c>
      <c r="I44" s="7">
        <v>4.0</v>
      </c>
      <c r="J44" s="7">
        <v>5.0</v>
      </c>
      <c r="K44" s="56"/>
      <c r="L44" s="56"/>
      <c r="M44" s="56"/>
      <c r="N44" s="56"/>
      <c r="O44" s="56"/>
      <c r="P44" s="56"/>
      <c r="Q44" s="56"/>
      <c r="R44" s="56"/>
      <c r="S44" s="56"/>
      <c r="T44" s="56"/>
      <c r="U44" s="56"/>
      <c r="V44" s="56"/>
      <c r="W44" s="56"/>
      <c r="X44" s="56"/>
      <c r="Y44" s="56"/>
      <c r="Z44" s="56"/>
      <c r="AA44" s="56"/>
      <c r="AB44" s="56"/>
    </row>
    <row r="45">
      <c r="C45" s="85" t="s">
        <v>23</v>
      </c>
      <c r="D45" s="57" t="s">
        <v>147</v>
      </c>
      <c r="E45" s="88">
        <f>IFERROR(__xludf.DUMMYFUNCTION("COUNTA(SPLIT(D45,"" ""))/COUNTA(SPLIT($B$42,"" ""))"),0.08271375464684015)</f>
        <v>0.08271375465</v>
      </c>
      <c r="F45" s="7">
        <v>5.0</v>
      </c>
      <c r="G45" s="7">
        <v>5.0</v>
      </c>
      <c r="H45" s="7">
        <v>5.0</v>
      </c>
      <c r="I45" s="7">
        <v>5.0</v>
      </c>
      <c r="J45" s="7">
        <v>4.0</v>
      </c>
      <c r="K45" s="56"/>
      <c r="L45" s="56"/>
      <c r="M45" s="56"/>
      <c r="N45" s="56"/>
      <c r="O45" s="56"/>
      <c r="P45" s="56"/>
      <c r="Q45" s="56"/>
      <c r="R45" s="56"/>
      <c r="S45" s="56"/>
      <c r="T45" s="56"/>
      <c r="U45" s="56"/>
      <c r="V45" s="56"/>
      <c r="W45" s="56"/>
      <c r="X45" s="56"/>
      <c r="Y45" s="56"/>
      <c r="Z45" s="56"/>
      <c r="AA45" s="56"/>
      <c r="AB45" s="56"/>
    </row>
    <row r="46">
      <c r="A46" s="75"/>
      <c r="B46" s="69"/>
      <c r="C46" s="60"/>
      <c r="D46" s="61"/>
      <c r="E46" s="69"/>
      <c r="F46" s="60"/>
      <c r="G46" s="60"/>
      <c r="H46" s="60"/>
      <c r="I46" s="60"/>
      <c r="J46" s="60"/>
      <c r="K46" s="56"/>
      <c r="L46" s="56"/>
      <c r="M46" s="56"/>
      <c r="N46" s="56"/>
      <c r="O46" s="56"/>
      <c r="P46" s="56"/>
      <c r="Q46" s="56"/>
      <c r="R46" s="56"/>
      <c r="S46" s="56"/>
      <c r="T46" s="56"/>
      <c r="U46" s="56"/>
      <c r="V46" s="56"/>
      <c r="W46" s="56"/>
      <c r="X46" s="56"/>
      <c r="Y46" s="56"/>
      <c r="Z46" s="56"/>
      <c r="AA46" s="56"/>
      <c r="AB46" s="56"/>
    </row>
    <row r="47">
      <c r="A47" s="89" t="s">
        <v>69</v>
      </c>
      <c r="B47" s="90" t="s">
        <v>70</v>
      </c>
      <c r="C47" s="81" t="s">
        <v>21</v>
      </c>
      <c r="D47" s="82" t="s">
        <v>148</v>
      </c>
      <c r="E47" s="83">
        <f>IFERROR(__xludf.DUMMYFUNCTION("COUNTA(SPLIT(D47,"" ""))/COUNTA(SPLIT($B$47,"" ""))"),0.22549019607843138)</f>
        <v>0.2254901961</v>
      </c>
      <c r="F47" s="7">
        <v>4.0</v>
      </c>
      <c r="G47" s="7">
        <v>5.0</v>
      </c>
      <c r="H47" s="7">
        <v>5.0</v>
      </c>
      <c r="I47" s="7">
        <v>5.0</v>
      </c>
      <c r="J47" s="7">
        <v>4.0</v>
      </c>
      <c r="K47" s="56"/>
      <c r="L47" s="56"/>
      <c r="M47" s="56"/>
      <c r="N47" s="56"/>
      <c r="O47" s="56"/>
      <c r="P47" s="56"/>
      <c r="Q47" s="56"/>
      <c r="R47" s="56"/>
      <c r="S47" s="56"/>
      <c r="T47" s="56"/>
      <c r="U47" s="56"/>
      <c r="V47" s="56"/>
      <c r="W47" s="56"/>
      <c r="X47" s="56"/>
      <c r="Y47" s="56"/>
      <c r="Z47" s="56"/>
      <c r="AA47" s="56"/>
      <c r="AB47" s="56"/>
    </row>
    <row r="48">
      <c r="C48" s="85" t="s">
        <v>22</v>
      </c>
      <c r="D48" s="57" t="s">
        <v>149</v>
      </c>
      <c r="E48" s="86">
        <f>IFERROR(__xludf.DUMMYFUNCTION("COUNTA(SPLIT(D48,"" ""))/COUNTA(SPLIT($B$47,"" ""))"),0.06274509803921569)</f>
        <v>0.06274509804</v>
      </c>
      <c r="F48" s="7">
        <v>5.0</v>
      </c>
      <c r="G48" s="7">
        <v>5.0</v>
      </c>
      <c r="H48" s="7">
        <v>5.0</v>
      </c>
      <c r="I48" s="7">
        <v>5.0</v>
      </c>
      <c r="J48" s="7">
        <v>2.0</v>
      </c>
      <c r="K48" s="56"/>
      <c r="L48" s="56"/>
      <c r="M48" s="56"/>
      <c r="N48" s="56"/>
      <c r="O48" s="56"/>
      <c r="P48" s="56"/>
      <c r="Q48" s="56"/>
      <c r="R48" s="56"/>
      <c r="S48" s="56"/>
      <c r="T48" s="56"/>
      <c r="U48" s="56"/>
      <c r="V48" s="56"/>
      <c r="W48" s="56"/>
      <c r="X48" s="56"/>
      <c r="Y48" s="56"/>
      <c r="Z48" s="56"/>
      <c r="AA48" s="56"/>
      <c r="AB48" s="56"/>
    </row>
    <row r="49">
      <c r="C49" s="85" t="s">
        <v>8</v>
      </c>
      <c r="D49" s="57" t="s">
        <v>150</v>
      </c>
      <c r="E49" s="87">
        <f>IFERROR(__xludf.DUMMYFUNCTION("COUNTA(SPLIT(D49,"" ""))/COUNTA(SPLIT($B$47,"" ""))"),0.24509803921568626)</f>
        <v>0.2450980392</v>
      </c>
      <c r="F49" s="7">
        <v>3.0</v>
      </c>
      <c r="G49" s="7">
        <v>5.0</v>
      </c>
      <c r="H49" s="7">
        <v>5.0</v>
      </c>
      <c r="I49" s="7">
        <v>2.0</v>
      </c>
      <c r="J49" s="7">
        <v>3.0</v>
      </c>
      <c r="K49" s="56"/>
      <c r="L49" s="56"/>
      <c r="M49" s="56"/>
      <c r="N49" s="56"/>
      <c r="O49" s="56"/>
      <c r="P49" s="56"/>
      <c r="Q49" s="56"/>
      <c r="R49" s="56"/>
      <c r="S49" s="56"/>
      <c r="T49" s="56"/>
      <c r="U49" s="56"/>
      <c r="V49" s="56"/>
      <c r="W49" s="56"/>
      <c r="X49" s="56"/>
      <c r="Y49" s="56"/>
      <c r="Z49" s="56"/>
      <c r="AA49" s="56"/>
      <c r="AB49" s="56"/>
    </row>
    <row r="50">
      <c r="C50" s="85" t="s">
        <v>23</v>
      </c>
      <c r="D50" s="57" t="s">
        <v>151</v>
      </c>
      <c r="E50" s="88">
        <f>IFERROR(__xludf.DUMMYFUNCTION("COUNTA(SPLIT(D50,"" ""))/COUNTA(SPLIT($B$47,"" ""))"),0.19607843137254902)</f>
        <v>0.1960784314</v>
      </c>
      <c r="F50" s="7">
        <v>3.0</v>
      </c>
      <c r="G50" s="7">
        <v>5.0</v>
      </c>
      <c r="H50" s="7">
        <v>5.0</v>
      </c>
      <c r="I50" s="7">
        <v>5.0</v>
      </c>
      <c r="J50" s="7">
        <v>4.0</v>
      </c>
      <c r="K50" s="56"/>
      <c r="L50" s="56"/>
      <c r="M50" s="56"/>
      <c r="N50" s="56"/>
      <c r="O50" s="56"/>
      <c r="P50" s="56"/>
      <c r="Q50" s="56"/>
      <c r="R50" s="56"/>
      <c r="S50" s="56"/>
      <c r="T50" s="56"/>
      <c r="U50" s="56"/>
      <c r="V50" s="56"/>
      <c r="W50" s="56"/>
      <c r="X50" s="56"/>
      <c r="Y50" s="56"/>
      <c r="Z50" s="56"/>
      <c r="AA50" s="56"/>
      <c r="AB50" s="56"/>
    </row>
    <row r="51">
      <c r="A51" s="75"/>
      <c r="B51" s="69"/>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75"/>
      <c r="B52" s="69"/>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75"/>
      <c r="B53" s="69"/>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75"/>
      <c r="B54" s="69"/>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75"/>
      <c r="B55" s="69"/>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75"/>
      <c r="B56" s="69"/>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75"/>
      <c r="B57" s="69"/>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75"/>
      <c r="B58" s="69"/>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75"/>
      <c r="B59" s="69"/>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75"/>
      <c r="B60" s="69"/>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75"/>
      <c r="B61" s="69"/>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75"/>
      <c r="B62" s="69"/>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75"/>
      <c r="B63" s="69"/>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75"/>
      <c r="B64" s="69"/>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75"/>
      <c r="B65" s="69"/>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75"/>
      <c r="B66" s="69"/>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75"/>
      <c r="B67" s="69"/>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75"/>
      <c r="B68" s="69"/>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75"/>
      <c r="B69" s="69"/>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75"/>
      <c r="B70" s="69"/>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75"/>
      <c r="B71" s="69"/>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75"/>
      <c r="B72" s="69"/>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75"/>
      <c r="B73" s="69"/>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75"/>
      <c r="B74" s="69"/>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75"/>
      <c r="B75" s="69"/>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75"/>
      <c r="B76" s="69"/>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75"/>
      <c r="B77" s="69"/>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75"/>
      <c r="B78" s="69"/>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75"/>
      <c r="B79" s="69"/>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75"/>
      <c r="B80" s="69"/>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75"/>
      <c r="B81" s="69"/>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75"/>
      <c r="B82" s="69"/>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75"/>
      <c r="B83" s="69"/>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75"/>
      <c r="B84" s="69"/>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75"/>
      <c r="B85" s="69"/>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75"/>
      <c r="B86" s="69"/>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75"/>
      <c r="B87" s="69"/>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75"/>
      <c r="B88" s="69"/>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75"/>
      <c r="B89" s="69"/>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75"/>
      <c r="B90" s="69"/>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75"/>
      <c r="B91" s="69"/>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75"/>
      <c r="B92" s="69"/>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75"/>
      <c r="B93" s="69"/>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75"/>
      <c r="B94" s="69"/>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75"/>
      <c r="B95" s="69"/>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75"/>
      <c r="B96" s="69"/>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75"/>
      <c r="B97" s="69"/>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75"/>
      <c r="B98" s="69"/>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75"/>
      <c r="B99" s="69"/>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75"/>
      <c r="B100" s="69"/>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75"/>
      <c r="B101" s="69"/>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75"/>
      <c r="B102" s="69"/>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75"/>
      <c r="B103" s="69"/>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75"/>
      <c r="B104" s="69"/>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75"/>
      <c r="B105" s="69"/>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75"/>
      <c r="B106" s="69"/>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75"/>
      <c r="B107" s="69"/>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75"/>
      <c r="B108" s="69"/>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75"/>
      <c r="B109" s="69"/>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75"/>
      <c r="B110" s="69"/>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75"/>
      <c r="B111" s="69"/>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75"/>
      <c r="B112" s="69"/>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75"/>
      <c r="B113" s="69"/>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75"/>
      <c r="B114" s="69"/>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75"/>
      <c r="B115" s="69"/>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75"/>
      <c r="B116" s="69"/>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75"/>
      <c r="B117" s="69"/>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75"/>
      <c r="B118" s="69"/>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75"/>
      <c r="B119" s="69"/>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75"/>
      <c r="B120" s="69"/>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75"/>
      <c r="B121" s="69"/>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75"/>
      <c r="B122" s="69"/>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75"/>
      <c r="B123" s="69"/>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75"/>
      <c r="B124" s="69"/>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75"/>
      <c r="B125" s="69"/>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75"/>
      <c r="B126" s="69"/>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75"/>
      <c r="B127" s="69"/>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75"/>
      <c r="B128" s="69"/>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75"/>
      <c r="B129" s="69"/>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75"/>
      <c r="B130" s="69"/>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75"/>
      <c r="B131" s="69"/>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75"/>
      <c r="B132" s="69"/>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75"/>
      <c r="B133" s="69"/>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75"/>
      <c r="B134" s="69"/>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75"/>
      <c r="B135" s="69"/>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75"/>
      <c r="B136" s="69"/>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75"/>
      <c r="B137" s="69"/>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75"/>
      <c r="B138" s="69"/>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75"/>
      <c r="B139" s="69"/>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75"/>
      <c r="B140" s="69"/>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75"/>
      <c r="B141" s="69"/>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75"/>
      <c r="B142" s="69"/>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75"/>
      <c r="B143" s="69"/>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75"/>
      <c r="B144" s="69"/>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75"/>
      <c r="B145" s="69"/>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75"/>
      <c r="B146" s="69"/>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75"/>
      <c r="B147" s="69"/>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75"/>
      <c r="B148" s="69"/>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75"/>
      <c r="B149" s="69"/>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75"/>
      <c r="B150" s="69"/>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75"/>
      <c r="B151" s="69"/>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75"/>
      <c r="B152" s="69"/>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75"/>
      <c r="B153" s="69"/>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75"/>
      <c r="B154" s="69"/>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75"/>
      <c r="B155" s="69"/>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75"/>
      <c r="B156" s="69"/>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75"/>
      <c r="B157" s="69"/>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75"/>
      <c r="B158" s="69"/>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75"/>
      <c r="B159" s="69"/>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75"/>
      <c r="B160" s="69"/>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75"/>
      <c r="B161" s="69"/>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75"/>
      <c r="B162" s="69"/>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75"/>
      <c r="B163" s="69"/>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75"/>
      <c r="B164" s="69"/>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75"/>
      <c r="B165" s="69"/>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75"/>
      <c r="B166" s="69"/>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75"/>
      <c r="B167" s="69"/>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75"/>
      <c r="B168" s="69"/>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75"/>
      <c r="B169" s="69"/>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75"/>
      <c r="B170" s="69"/>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75"/>
      <c r="B171" s="69"/>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75"/>
      <c r="B172" s="69"/>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75"/>
      <c r="B173" s="69"/>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75"/>
      <c r="B174" s="69"/>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75"/>
      <c r="B175" s="69"/>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75"/>
      <c r="B176" s="69"/>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75"/>
      <c r="B177" s="69"/>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75"/>
      <c r="B178" s="69"/>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75"/>
      <c r="B179" s="69"/>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75"/>
      <c r="B180" s="69"/>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75"/>
      <c r="B181" s="69"/>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75"/>
      <c r="B182" s="69"/>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75"/>
      <c r="B183" s="69"/>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75"/>
      <c r="B184" s="69"/>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75"/>
      <c r="B185" s="69"/>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75"/>
      <c r="B186" s="69"/>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75"/>
      <c r="B187" s="69"/>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75"/>
      <c r="B188" s="69"/>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75"/>
      <c r="B189" s="69"/>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75"/>
      <c r="B190" s="69"/>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75"/>
      <c r="B191" s="69"/>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75"/>
      <c r="B192" s="69"/>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75"/>
      <c r="B193" s="69"/>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75"/>
      <c r="B194" s="69"/>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75"/>
      <c r="B195" s="69"/>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75"/>
      <c r="B196" s="69"/>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75"/>
      <c r="B197" s="69"/>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75"/>
      <c r="B198" s="69"/>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75"/>
      <c r="B199" s="69"/>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75"/>
      <c r="B200" s="69"/>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75"/>
      <c r="B201" s="69"/>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75"/>
      <c r="B202" s="69"/>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75"/>
      <c r="B203" s="69"/>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75"/>
      <c r="B204" s="69"/>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75"/>
      <c r="B205" s="69"/>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75"/>
      <c r="B206" s="69"/>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75"/>
      <c r="B207" s="69"/>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75"/>
      <c r="B208" s="69"/>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75"/>
      <c r="B209" s="69"/>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75"/>
      <c r="B210" s="69"/>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75"/>
      <c r="B211" s="69"/>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75"/>
      <c r="B212" s="69"/>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75"/>
      <c r="B213" s="69"/>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75"/>
      <c r="B214" s="69"/>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75"/>
      <c r="B215" s="69"/>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75"/>
      <c r="B216" s="69"/>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75"/>
      <c r="B217" s="69"/>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75"/>
      <c r="B218" s="69"/>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75"/>
      <c r="B219" s="69"/>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75"/>
      <c r="B220" s="69"/>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75"/>
      <c r="B221" s="69"/>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75"/>
      <c r="B222" s="69"/>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75"/>
      <c r="B223" s="69"/>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75"/>
      <c r="B224" s="69"/>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75"/>
      <c r="B225" s="69"/>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75"/>
      <c r="B226" s="69"/>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75"/>
      <c r="B227" s="69"/>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75"/>
      <c r="B228" s="69"/>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75"/>
      <c r="B229" s="69"/>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75"/>
      <c r="B230" s="69"/>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75"/>
      <c r="B231" s="69"/>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75"/>
      <c r="B232" s="69"/>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75"/>
      <c r="B233" s="69"/>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75"/>
      <c r="B234" s="69"/>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75"/>
      <c r="B235" s="69"/>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75"/>
      <c r="B236" s="69"/>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75"/>
      <c r="B237" s="69"/>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75"/>
      <c r="B238" s="69"/>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75"/>
      <c r="B239" s="69"/>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75"/>
      <c r="B240" s="69"/>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75"/>
      <c r="B241" s="69"/>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75"/>
      <c r="B242" s="69"/>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75"/>
      <c r="B243" s="69"/>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75"/>
      <c r="B244" s="69"/>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75"/>
      <c r="B245" s="69"/>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75"/>
      <c r="B246" s="69"/>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75"/>
      <c r="B247" s="69"/>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75"/>
      <c r="B248" s="69"/>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75"/>
      <c r="B249" s="69"/>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75"/>
      <c r="B250" s="69"/>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75"/>
      <c r="B251" s="69"/>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75"/>
      <c r="B252" s="69"/>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75"/>
      <c r="B253" s="69"/>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75"/>
      <c r="B254" s="69"/>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75"/>
      <c r="B255" s="69"/>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75"/>
      <c r="B256" s="69"/>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75"/>
      <c r="B257" s="69"/>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75"/>
      <c r="B258" s="69"/>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75"/>
      <c r="B259" s="69"/>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75"/>
      <c r="B260" s="69"/>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75"/>
      <c r="B261" s="69"/>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75"/>
      <c r="B262" s="69"/>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75"/>
      <c r="B263" s="69"/>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75"/>
      <c r="B264" s="69"/>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75"/>
      <c r="B265" s="69"/>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75"/>
      <c r="B266" s="69"/>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75"/>
      <c r="B267" s="69"/>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75"/>
      <c r="B268" s="69"/>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75"/>
      <c r="B269" s="69"/>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75"/>
      <c r="B270" s="69"/>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75"/>
      <c r="B271" s="69"/>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75"/>
      <c r="B272" s="69"/>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75"/>
      <c r="B273" s="69"/>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75"/>
      <c r="B274" s="69"/>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75"/>
      <c r="B275" s="69"/>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75"/>
      <c r="B276" s="69"/>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75"/>
      <c r="B277" s="69"/>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75"/>
      <c r="B278" s="69"/>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75"/>
      <c r="B279" s="69"/>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75"/>
      <c r="B280" s="69"/>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75"/>
      <c r="B281" s="69"/>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75"/>
      <c r="B282" s="69"/>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75"/>
      <c r="B283" s="69"/>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75"/>
      <c r="B284" s="69"/>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75"/>
      <c r="B285" s="69"/>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75"/>
      <c r="B286" s="69"/>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75"/>
      <c r="B287" s="69"/>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75"/>
      <c r="B288" s="69"/>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75"/>
      <c r="B289" s="69"/>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75"/>
      <c r="B290" s="69"/>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75"/>
      <c r="B291" s="69"/>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75"/>
      <c r="B292" s="69"/>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75"/>
      <c r="B293" s="69"/>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75"/>
      <c r="B294" s="69"/>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75"/>
      <c r="B295" s="69"/>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75"/>
      <c r="B296" s="69"/>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75"/>
      <c r="B297" s="69"/>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75"/>
      <c r="B298" s="69"/>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75"/>
      <c r="B299" s="69"/>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75"/>
      <c r="B300" s="69"/>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75"/>
      <c r="B301" s="69"/>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75"/>
      <c r="B302" s="69"/>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75"/>
      <c r="B303" s="69"/>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75"/>
      <c r="B304" s="69"/>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75"/>
      <c r="B305" s="69"/>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75"/>
      <c r="B306" s="69"/>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75"/>
      <c r="B307" s="69"/>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75"/>
      <c r="B308" s="69"/>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75"/>
      <c r="B309" s="69"/>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75"/>
      <c r="B310" s="69"/>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75"/>
      <c r="B311" s="69"/>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75"/>
      <c r="B312" s="69"/>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75"/>
      <c r="B313" s="69"/>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75"/>
      <c r="B314" s="69"/>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75"/>
      <c r="B315" s="69"/>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75"/>
      <c r="B316" s="69"/>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75"/>
      <c r="B317" s="69"/>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75"/>
      <c r="B318" s="69"/>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75"/>
      <c r="B319" s="69"/>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75"/>
      <c r="B320" s="69"/>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75"/>
      <c r="B321" s="69"/>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75"/>
      <c r="B322" s="69"/>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75"/>
      <c r="B323" s="69"/>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75"/>
      <c r="B324" s="69"/>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75"/>
      <c r="B325" s="69"/>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75"/>
      <c r="B326" s="69"/>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75"/>
      <c r="B327" s="69"/>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75"/>
      <c r="B328" s="69"/>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75"/>
      <c r="B329" s="69"/>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75"/>
      <c r="B330" s="69"/>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75"/>
      <c r="B331" s="69"/>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75"/>
      <c r="B332" s="69"/>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75"/>
      <c r="B333" s="69"/>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75"/>
      <c r="B334" s="69"/>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75"/>
      <c r="B335" s="69"/>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75"/>
      <c r="B336" s="69"/>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75"/>
      <c r="B337" s="69"/>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75"/>
      <c r="B338" s="69"/>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75"/>
      <c r="B339" s="69"/>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75"/>
      <c r="B340" s="69"/>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75"/>
      <c r="B341" s="69"/>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75"/>
      <c r="B342" s="69"/>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75"/>
      <c r="B343" s="69"/>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75"/>
      <c r="B344" s="69"/>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75"/>
      <c r="B345" s="69"/>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75"/>
      <c r="B346" s="69"/>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75"/>
      <c r="B347" s="69"/>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75"/>
      <c r="B348" s="69"/>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75"/>
      <c r="B349" s="69"/>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75"/>
      <c r="B350" s="69"/>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75"/>
      <c r="B351" s="69"/>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75"/>
      <c r="B352" s="69"/>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75"/>
      <c r="B353" s="69"/>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75"/>
      <c r="B354" s="69"/>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75"/>
      <c r="B355" s="69"/>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75"/>
      <c r="B356" s="69"/>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75"/>
      <c r="B357" s="69"/>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75"/>
      <c r="B358" s="69"/>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75"/>
      <c r="B359" s="69"/>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75"/>
      <c r="B360" s="69"/>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75"/>
      <c r="B361" s="69"/>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75"/>
      <c r="B362" s="69"/>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75"/>
      <c r="B363" s="69"/>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75"/>
      <c r="B364" s="69"/>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75"/>
      <c r="B365" s="69"/>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75"/>
      <c r="B366" s="69"/>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75"/>
      <c r="B367" s="69"/>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75"/>
      <c r="B368" s="69"/>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75"/>
      <c r="B369" s="69"/>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75"/>
      <c r="B370" s="69"/>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75"/>
      <c r="B371" s="69"/>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75"/>
      <c r="B372" s="69"/>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75"/>
      <c r="B373" s="69"/>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75"/>
      <c r="B374" s="69"/>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75"/>
      <c r="B375" s="69"/>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75"/>
      <c r="B376" s="69"/>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75"/>
      <c r="B377" s="69"/>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75"/>
      <c r="B378" s="69"/>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75"/>
      <c r="B379" s="69"/>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75"/>
      <c r="B380" s="69"/>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75"/>
      <c r="B381" s="69"/>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75"/>
      <c r="B382" s="69"/>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75"/>
      <c r="B383" s="69"/>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75"/>
      <c r="B384" s="69"/>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75"/>
      <c r="B385" s="69"/>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75"/>
      <c r="B386" s="69"/>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75"/>
      <c r="B387" s="69"/>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75"/>
      <c r="B388" s="69"/>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75"/>
      <c r="B389" s="69"/>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75"/>
      <c r="B390" s="69"/>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75"/>
      <c r="B391" s="69"/>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75"/>
      <c r="B392" s="69"/>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75"/>
      <c r="B393" s="69"/>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75"/>
      <c r="B394" s="69"/>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75"/>
      <c r="B395" s="69"/>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75"/>
      <c r="B396" s="69"/>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75"/>
      <c r="B397" s="69"/>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75"/>
      <c r="B398" s="69"/>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75"/>
      <c r="B399" s="69"/>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75"/>
      <c r="B400" s="69"/>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75"/>
      <c r="B401" s="69"/>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75"/>
      <c r="B402" s="69"/>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75"/>
      <c r="B403" s="69"/>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75"/>
      <c r="B404" s="69"/>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75"/>
      <c r="B405" s="69"/>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75"/>
      <c r="B406" s="69"/>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75"/>
      <c r="B407" s="69"/>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75"/>
      <c r="B408" s="69"/>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75"/>
      <c r="B409" s="69"/>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75"/>
      <c r="B410" s="69"/>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75"/>
      <c r="B411" s="69"/>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75"/>
      <c r="B412" s="69"/>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75"/>
      <c r="B413" s="69"/>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75"/>
      <c r="B414" s="69"/>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75"/>
      <c r="B415" s="69"/>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75"/>
      <c r="B416" s="69"/>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75"/>
      <c r="B417" s="69"/>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75"/>
      <c r="B418" s="69"/>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75"/>
      <c r="B419" s="69"/>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75"/>
      <c r="B420" s="69"/>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75"/>
      <c r="B421" s="69"/>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75"/>
      <c r="B422" s="69"/>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75"/>
      <c r="B423" s="69"/>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75"/>
      <c r="B424" s="69"/>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75"/>
      <c r="B425" s="69"/>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75"/>
      <c r="B426" s="69"/>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75"/>
      <c r="B427" s="69"/>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75"/>
      <c r="B428" s="69"/>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75"/>
      <c r="B429" s="69"/>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75"/>
      <c r="B430" s="69"/>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75"/>
      <c r="B431" s="69"/>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75"/>
      <c r="B432" s="69"/>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75"/>
      <c r="B433" s="69"/>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75"/>
      <c r="B434" s="69"/>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75"/>
      <c r="B435" s="69"/>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75"/>
      <c r="B436" s="69"/>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75"/>
      <c r="B437" s="69"/>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75"/>
      <c r="B438" s="69"/>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75"/>
      <c r="B439" s="69"/>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75"/>
      <c r="B440" s="69"/>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75"/>
      <c r="B441" s="69"/>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75"/>
      <c r="B442" s="69"/>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75"/>
      <c r="B443" s="69"/>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75"/>
      <c r="B444" s="69"/>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75"/>
      <c r="B445" s="69"/>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75"/>
      <c r="B446" s="69"/>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75"/>
      <c r="B447" s="69"/>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75"/>
      <c r="B448" s="69"/>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75"/>
      <c r="B449" s="69"/>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75"/>
      <c r="B450" s="69"/>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75"/>
      <c r="B451" s="69"/>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75"/>
      <c r="B452" s="69"/>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75"/>
      <c r="B453" s="69"/>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75"/>
      <c r="B454" s="69"/>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75"/>
      <c r="B455" s="69"/>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75"/>
      <c r="B456" s="69"/>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75"/>
      <c r="B457" s="69"/>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75"/>
      <c r="B458" s="69"/>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75"/>
      <c r="B459" s="69"/>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75"/>
      <c r="B460" s="69"/>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75"/>
      <c r="B461" s="69"/>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75"/>
      <c r="B462" s="69"/>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75"/>
      <c r="B463" s="69"/>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75"/>
      <c r="B464" s="69"/>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75"/>
      <c r="B465" s="69"/>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75"/>
      <c r="B466" s="69"/>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75"/>
      <c r="B467" s="69"/>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75"/>
      <c r="B468" s="69"/>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75"/>
      <c r="B469" s="69"/>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75"/>
      <c r="B470" s="69"/>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75"/>
      <c r="B471" s="69"/>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75"/>
      <c r="B472" s="69"/>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75"/>
      <c r="B473" s="69"/>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75"/>
      <c r="B474" s="69"/>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75"/>
      <c r="B475" s="69"/>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75"/>
      <c r="B476" s="69"/>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75"/>
      <c r="B477" s="69"/>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75"/>
      <c r="B478" s="69"/>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75"/>
      <c r="B479" s="69"/>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75"/>
      <c r="B480" s="69"/>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75"/>
      <c r="B481" s="69"/>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75"/>
      <c r="B482" s="69"/>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75"/>
      <c r="B483" s="69"/>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75"/>
      <c r="B484" s="69"/>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75"/>
      <c r="B485" s="69"/>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75"/>
      <c r="B486" s="69"/>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75"/>
      <c r="B487" s="69"/>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75"/>
      <c r="B488" s="69"/>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75"/>
      <c r="B489" s="69"/>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75"/>
      <c r="B490" s="69"/>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75"/>
      <c r="B491" s="69"/>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75"/>
      <c r="B492" s="69"/>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75"/>
      <c r="B493" s="69"/>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75"/>
      <c r="B494" s="69"/>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75"/>
      <c r="B495" s="69"/>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75"/>
      <c r="B496" s="69"/>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75"/>
      <c r="B497" s="69"/>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75"/>
      <c r="B498" s="69"/>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75"/>
      <c r="B499" s="69"/>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75"/>
      <c r="B500" s="69"/>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75"/>
      <c r="B501" s="69"/>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75"/>
      <c r="B502" s="69"/>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75"/>
      <c r="B503" s="69"/>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75"/>
      <c r="B504" s="69"/>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75"/>
      <c r="B505" s="69"/>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75"/>
      <c r="B506" s="69"/>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75"/>
      <c r="B507" s="69"/>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75"/>
      <c r="B508" s="69"/>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75"/>
      <c r="B509" s="69"/>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75"/>
      <c r="B510" s="69"/>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75"/>
      <c r="B511" s="69"/>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75"/>
      <c r="B512" s="69"/>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75"/>
      <c r="B513" s="69"/>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75"/>
      <c r="B514" s="69"/>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75"/>
      <c r="B515" s="69"/>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75"/>
      <c r="B516" s="69"/>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75"/>
      <c r="B517" s="69"/>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75"/>
      <c r="B518" s="69"/>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75"/>
      <c r="B519" s="69"/>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75"/>
      <c r="B520" s="69"/>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75"/>
      <c r="B521" s="69"/>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75"/>
      <c r="B522" s="69"/>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75"/>
      <c r="B523" s="69"/>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75"/>
      <c r="B524" s="69"/>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75"/>
      <c r="B525" s="69"/>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75"/>
      <c r="B526" s="69"/>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75"/>
      <c r="B527" s="69"/>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75"/>
      <c r="B528" s="69"/>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75"/>
      <c r="B529" s="69"/>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75"/>
      <c r="B530" s="69"/>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75"/>
      <c r="B531" s="69"/>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75"/>
      <c r="B532" s="69"/>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75"/>
      <c r="B533" s="69"/>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75"/>
      <c r="B534" s="69"/>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75"/>
      <c r="B535" s="69"/>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75"/>
      <c r="B536" s="69"/>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75"/>
      <c r="B537" s="69"/>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75"/>
      <c r="B538" s="69"/>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75"/>
      <c r="B539" s="69"/>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75"/>
      <c r="B540" s="69"/>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75"/>
      <c r="B541" s="69"/>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75"/>
      <c r="B542" s="69"/>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75"/>
      <c r="B543" s="69"/>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75"/>
      <c r="B544" s="69"/>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75"/>
      <c r="B545" s="69"/>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75"/>
      <c r="B546" s="69"/>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75"/>
      <c r="B547" s="69"/>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75"/>
      <c r="B548" s="69"/>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75"/>
      <c r="B549" s="69"/>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75"/>
      <c r="B550" s="69"/>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75"/>
      <c r="B551" s="69"/>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75"/>
      <c r="B552" s="69"/>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75"/>
      <c r="B553" s="69"/>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75"/>
      <c r="B554" s="69"/>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75"/>
      <c r="B555" s="69"/>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75"/>
      <c r="B556" s="69"/>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75"/>
      <c r="B557" s="69"/>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75"/>
      <c r="B558" s="69"/>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75"/>
      <c r="B559" s="69"/>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75"/>
      <c r="B560" s="69"/>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75"/>
      <c r="B561" s="69"/>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75"/>
      <c r="B562" s="69"/>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75"/>
      <c r="B563" s="69"/>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75"/>
      <c r="B564" s="69"/>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75"/>
      <c r="B565" s="69"/>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75"/>
      <c r="B566" s="69"/>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75"/>
      <c r="B567" s="69"/>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75"/>
      <c r="B568" s="69"/>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75"/>
      <c r="B569" s="69"/>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75"/>
      <c r="B570" s="69"/>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75"/>
      <c r="B571" s="69"/>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75"/>
      <c r="B572" s="69"/>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75"/>
      <c r="B573" s="69"/>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75"/>
      <c r="B574" s="69"/>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75"/>
      <c r="B575" s="69"/>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75"/>
      <c r="B576" s="69"/>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75"/>
      <c r="B577" s="69"/>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75"/>
      <c r="B578" s="69"/>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75"/>
      <c r="B579" s="69"/>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75"/>
      <c r="B580" s="69"/>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75"/>
      <c r="B581" s="69"/>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75"/>
      <c r="B582" s="69"/>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75"/>
      <c r="B583" s="69"/>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75"/>
      <c r="B584" s="69"/>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75"/>
      <c r="B585" s="69"/>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75"/>
      <c r="B586" s="69"/>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75"/>
      <c r="B587" s="69"/>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75"/>
      <c r="B588" s="69"/>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75"/>
      <c r="B589" s="69"/>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75"/>
      <c r="B590" s="69"/>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75"/>
      <c r="B591" s="69"/>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75"/>
      <c r="B592" s="69"/>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75"/>
      <c r="B593" s="69"/>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75"/>
      <c r="B594" s="69"/>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75"/>
      <c r="B595" s="69"/>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75"/>
      <c r="B596" s="69"/>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75"/>
      <c r="B597" s="69"/>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75"/>
      <c r="B598" s="69"/>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75"/>
      <c r="B599" s="69"/>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75"/>
      <c r="B600" s="69"/>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75"/>
      <c r="B601" s="69"/>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75"/>
      <c r="B602" s="69"/>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75"/>
      <c r="B603" s="69"/>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75"/>
      <c r="B604" s="69"/>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75"/>
      <c r="B605" s="69"/>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75"/>
      <c r="B606" s="69"/>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75"/>
      <c r="B607" s="69"/>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75"/>
      <c r="B608" s="69"/>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75"/>
      <c r="B609" s="69"/>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75"/>
      <c r="B610" s="69"/>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75"/>
      <c r="B611" s="69"/>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75"/>
      <c r="B612" s="69"/>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75"/>
      <c r="B613" s="69"/>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75"/>
      <c r="B614" s="69"/>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75"/>
      <c r="B615" s="69"/>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75"/>
      <c r="B616" s="69"/>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75"/>
      <c r="B617" s="69"/>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75"/>
      <c r="B618" s="69"/>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75"/>
      <c r="B619" s="69"/>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75"/>
      <c r="B620" s="69"/>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75"/>
      <c r="B621" s="69"/>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75"/>
      <c r="B622" s="69"/>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75"/>
      <c r="B623" s="69"/>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75"/>
      <c r="B624" s="69"/>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75"/>
      <c r="B625" s="69"/>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75"/>
      <c r="B626" s="69"/>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75"/>
      <c r="B627" s="69"/>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75"/>
      <c r="B628" s="69"/>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75"/>
      <c r="B629" s="69"/>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75"/>
      <c r="B630" s="69"/>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75"/>
      <c r="B631" s="69"/>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75"/>
      <c r="B632" s="69"/>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75"/>
      <c r="B633" s="69"/>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75"/>
      <c r="B634" s="69"/>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75"/>
      <c r="B635" s="69"/>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75"/>
      <c r="B636" s="69"/>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75"/>
      <c r="B637" s="69"/>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75"/>
      <c r="B638" s="69"/>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75"/>
      <c r="B639" s="69"/>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75"/>
      <c r="B640" s="69"/>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75"/>
      <c r="B641" s="69"/>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75"/>
      <c r="B642" s="69"/>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75"/>
      <c r="B643" s="69"/>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75"/>
      <c r="B644" s="69"/>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75"/>
      <c r="B645" s="69"/>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75"/>
      <c r="B646" s="69"/>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75"/>
      <c r="B647" s="69"/>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75"/>
      <c r="B648" s="69"/>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75"/>
      <c r="B649" s="69"/>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75"/>
      <c r="B650" s="69"/>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75"/>
      <c r="B651" s="69"/>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75"/>
      <c r="B652" s="69"/>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75"/>
      <c r="B653" s="69"/>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75"/>
      <c r="B654" s="69"/>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75"/>
      <c r="B655" s="69"/>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75"/>
      <c r="B656" s="69"/>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75"/>
      <c r="B657" s="69"/>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75"/>
      <c r="B658" s="69"/>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75"/>
      <c r="B659" s="69"/>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75"/>
      <c r="B660" s="69"/>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75"/>
      <c r="B661" s="69"/>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75"/>
      <c r="B662" s="69"/>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75"/>
      <c r="B663" s="69"/>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75"/>
      <c r="B664" s="69"/>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75"/>
      <c r="B665" s="69"/>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75"/>
      <c r="B666" s="69"/>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75"/>
      <c r="B667" s="69"/>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75"/>
      <c r="B668" s="69"/>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75"/>
      <c r="B669" s="69"/>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75"/>
      <c r="B670" s="69"/>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75"/>
      <c r="B671" s="69"/>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75"/>
      <c r="B672" s="69"/>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75"/>
      <c r="B673" s="69"/>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75"/>
      <c r="B674" s="69"/>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75"/>
      <c r="B675" s="69"/>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75"/>
      <c r="B676" s="69"/>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75"/>
      <c r="B677" s="69"/>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75"/>
      <c r="B678" s="69"/>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75"/>
      <c r="B679" s="69"/>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75"/>
      <c r="B680" s="69"/>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75"/>
      <c r="B681" s="69"/>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75"/>
      <c r="B682" s="69"/>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75"/>
      <c r="B683" s="69"/>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75"/>
      <c r="B684" s="69"/>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75"/>
      <c r="B685" s="69"/>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75"/>
      <c r="B686" s="69"/>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75"/>
      <c r="B687" s="69"/>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75"/>
      <c r="B688" s="69"/>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75"/>
      <c r="B689" s="69"/>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75"/>
      <c r="B690" s="69"/>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75"/>
      <c r="B691" s="69"/>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75"/>
      <c r="B692" s="69"/>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75"/>
      <c r="B693" s="69"/>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75"/>
      <c r="B694" s="69"/>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75"/>
      <c r="B695" s="69"/>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75"/>
      <c r="B696" s="69"/>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75"/>
      <c r="B697" s="69"/>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75"/>
      <c r="B698" s="69"/>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75"/>
      <c r="B699" s="69"/>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75"/>
      <c r="B700" s="69"/>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75"/>
      <c r="B701" s="69"/>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75"/>
      <c r="B702" s="69"/>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75"/>
      <c r="B703" s="69"/>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75"/>
      <c r="B704" s="69"/>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75"/>
      <c r="B705" s="69"/>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75"/>
      <c r="B706" s="69"/>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75"/>
      <c r="B707" s="69"/>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75"/>
      <c r="B708" s="69"/>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75"/>
      <c r="B709" s="69"/>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75"/>
      <c r="B710" s="69"/>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75"/>
      <c r="B711" s="69"/>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75"/>
      <c r="B712" s="69"/>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75"/>
      <c r="B713" s="69"/>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75"/>
      <c r="B714" s="69"/>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75"/>
      <c r="B715" s="69"/>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75"/>
      <c r="B716" s="69"/>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75"/>
      <c r="B717" s="69"/>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75"/>
      <c r="B718" s="69"/>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75"/>
      <c r="B719" s="69"/>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75"/>
      <c r="B720" s="69"/>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75"/>
      <c r="B721" s="69"/>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75"/>
      <c r="B722" s="69"/>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75"/>
      <c r="B723" s="69"/>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75"/>
      <c r="B724" s="69"/>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75"/>
      <c r="B725" s="69"/>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75"/>
      <c r="B726" s="69"/>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75"/>
      <c r="B727" s="69"/>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75"/>
      <c r="B728" s="69"/>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75"/>
      <c r="B729" s="69"/>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75"/>
      <c r="B730" s="69"/>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75"/>
      <c r="B731" s="69"/>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75"/>
      <c r="B732" s="69"/>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75"/>
      <c r="B733" s="69"/>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75"/>
      <c r="B734" s="69"/>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75"/>
      <c r="B735" s="69"/>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75"/>
      <c r="B736" s="69"/>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75"/>
      <c r="B737" s="69"/>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75"/>
      <c r="B738" s="69"/>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75"/>
      <c r="B739" s="69"/>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75"/>
      <c r="B740" s="69"/>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75"/>
      <c r="B741" s="69"/>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75"/>
      <c r="B742" s="69"/>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75"/>
      <c r="B743" s="69"/>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75"/>
      <c r="B744" s="69"/>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75"/>
      <c r="B745" s="69"/>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75"/>
      <c r="B746" s="69"/>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75"/>
      <c r="B747" s="69"/>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75"/>
      <c r="B748" s="69"/>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75"/>
      <c r="B749" s="69"/>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75"/>
      <c r="B750" s="69"/>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75"/>
      <c r="B751" s="69"/>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75"/>
      <c r="B752" s="69"/>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75"/>
      <c r="B753" s="69"/>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75"/>
      <c r="B754" s="69"/>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75"/>
      <c r="B755" s="69"/>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75"/>
      <c r="B756" s="69"/>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75"/>
      <c r="B757" s="69"/>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75"/>
      <c r="B758" s="69"/>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75"/>
      <c r="B759" s="69"/>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75"/>
      <c r="B760" s="69"/>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75"/>
      <c r="B761" s="69"/>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75"/>
      <c r="B762" s="69"/>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75"/>
      <c r="B763" s="69"/>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75"/>
      <c r="B764" s="69"/>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75"/>
      <c r="B765" s="69"/>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75"/>
      <c r="B766" s="69"/>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75"/>
      <c r="B767" s="69"/>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75"/>
      <c r="B768" s="69"/>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75"/>
      <c r="B769" s="69"/>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75"/>
      <c r="B770" s="69"/>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75"/>
      <c r="B771" s="69"/>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75"/>
      <c r="B772" s="69"/>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75"/>
      <c r="B773" s="69"/>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75"/>
      <c r="B774" s="69"/>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75"/>
      <c r="B775" s="69"/>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75"/>
      <c r="B776" s="69"/>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75"/>
      <c r="B777" s="69"/>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75"/>
      <c r="B778" s="69"/>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75"/>
      <c r="B779" s="69"/>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75"/>
      <c r="B780" s="69"/>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75"/>
      <c r="B781" s="69"/>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75"/>
      <c r="B782" s="69"/>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75"/>
      <c r="B783" s="69"/>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75"/>
      <c r="B784" s="69"/>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75"/>
      <c r="B785" s="69"/>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75"/>
      <c r="B786" s="69"/>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75"/>
      <c r="B787" s="69"/>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75"/>
      <c r="B788" s="69"/>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75"/>
      <c r="B789" s="69"/>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75"/>
      <c r="B790" s="69"/>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75"/>
      <c r="B791" s="69"/>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75"/>
      <c r="B792" s="69"/>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75"/>
      <c r="B793" s="69"/>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75"/>
      <c r="B794" s="69"/>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75"/>
      <c r="B795" s="69"/>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75"/>
      <c r="B796" s="69"/>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75"/>
      <c r="B797" s="69"/>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75"/>
      <c r="B798" s="69"/>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75"/>
      <c r="B799" s="69"/>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75"/>
      <c r="B800" s="69"/>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75"/>
      <c r="B801" s="69"/>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75"/>
      <c r="B802" s="69"/>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75"/>
      <c r="B803" s="69"/>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75"/>
      <c r="B804" s="69"/>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75"/>
      <c r="B805" s="69"/>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75"/>
      <c r="B806" s="69"/>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75"/>
      <c r="B807" s="69"/>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75"/>
      <c r="B808" s="69"/>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75"/>
      <c r="B809" s="69"/>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75"/>
      <c r="B810" s="69"/>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75"/>
      <c r="B811" s="69"/>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75"/>
      <c r="B812" s="69"/>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75"/>
      <c r="B813" s="69"/>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75"/>
      <c r="B814" s="69"/>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75"/>
      <c r="B815" s="69"/>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75"/>
      <c r="B816" s="69"/>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75"/>
      <c r="B817" s="69"/>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75"/>
      <c r="B818" s="69"/>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75"/>
      <c r="B819" s="69"/>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75"/>
      <c r="B820" s="69"/>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75"/>
      <c r="B821" s="69"/>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75"/>
      <c r="B822" s="69"/>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75"/>
      <c r="B823" s="69"/>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75"/>
      <c r="B824" s="69"/>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75"/>
      <c r="B825" s="69"/>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75"/>
      <c r="B826" s="69"/>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75"/>
      <c r="B827" s="69"/>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75"/>
      <c r="B828" s="69"/>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75"/>
      <c r="B829" s="69"/>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75"/>
      <c r="B830" s="69"/>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75"/>
      <c r="B831" s="69"/>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75"/>
      <c r="B832" s="69"/>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75"/>
      <c r="B833" s="69"/>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75"/>
      <c r="B834" s="69"/>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75"/>
      <c r="B835" s="69"/>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75"/>
      <c r="B836" s="69"/>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75"/>
      <c r="B837" s="69"/>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75"/>
      <c r="B838" s="69"/>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75"/>
      <c r="B839" s="69"/>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75"/>
      <c r="B840" s="69"/>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75"/>
      <c r="B841" s="69"/>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75"/>
      <c r="B842" s="69"/>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75"/>
      <c r="B843" s="69"/>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75"/>
      <c r="B844" s="69"/>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75"/>
      <c r="B845" s="69"/>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75"/>
      <c r="B846" s="69"/>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75"/>
      <c r="B847" s="69"/>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75"/>
      <c r="B848" s="69"/>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75"/>
      <c r="B849" s="69"/>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75"/>
      <c r="B850" s="69"/>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75"/>
      <c r="B851" s="69"/>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75"/>
      <c r="B852" s="69"/>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75"/>
      <c r="B853" s="69"/>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75"/>
      <c r="B854" s="69"/>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75"/>
      <c r="B855" s="69"/>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75"/>
      <c r="B856" s="69"/>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75"/>
      <c r="B857" s="69"/>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75"/>
      <c r="B858" s="69"/>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75"/>
      <c r="B859" s="69"/>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75"/>
      <c r="B860" s="69"/>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75"/>
      <c r="B861" s="69"/>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75"/>
      <c r="B862" s="69"/>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75"/>
      <c r="B863" s="69"/>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75"/>
      <c r="B864" s="69"/>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75"/>
      <c r="B865" s="69"/>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75"/>
      <c r="B866" s="69"/>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75"/>
      <c r="B867" s="69"/>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75"/>
      <c r="B868" s="69"/>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75"/>
      <c r="B869" s="69"/>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75"/>
      <c r="B870" s="69"/>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75"/>
      <c r="B871" s="69"/>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75"/>
      <c r="B872" s="69"/>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75"/>
      <c r="B873" s="69"/>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75"/>
      <c r="B874" s="69"/>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75"/>
      <c r="B875" s="69"/>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75"/>
      <c r="B876" s="69"/>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75"/>
      <c r="B877" s="69"/>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75"/>
      <c r="B878" s="69"/>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75"/>
      <c r="B879" s="69"/>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75"/>
      <c r="B880" s="69"/>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75"/>
      <c r="B881" s="69"/>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75"/>
      <c r="B882" s="69"/>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75"/>
      <c r="B883" s="69"/>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75"/>
      <c r="B884" s="69"/>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75"/>
      <c r="B885" s="69"/>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75"/>
      <c r="B886" s="69"/>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75"/>
      <c r="B887" s="69"/>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75"/>
      <c r="B888" s="69"/>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75"/>
      <c r="B889" s="69"/>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75"/>
      <c r="B890" s="69"/>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75"/>
      <c r="B891" s="69"/>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75"/>
      <c r="B892" s="69"/>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75"/>
      <c r="B893" s="69"/>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75"/>
      <c r="B894" s="69"/>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75"/>
      <c r="B895" s="69"/>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75"/>
      <c r="B896" s="69"/>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75"/>
      <c r="B897" s="69"/>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75"/>
      <c r="B898" s="69"/>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75"/>
      <c r="B899" s="69"/>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75"/>
      <c r="B900" s="69"/>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75"/>
      <c r="B901" s="69"/>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75"/>
      <c r="B902" s="69"/>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75"/>
      <c r="B903" s="69"/>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75"/>
      <c r="B904" s="69"/>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75"/>
      <c r="B905" s="69"/>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75"/>
      <c r="B906" s="69"/>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75"/>
      <c r="B907" s="69"/>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75"/>
      <c r="B908" s="69"/>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75"/>
      <c r="B909" s="69"/>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75"/>
      <c r="B910" s="69"/>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75"/>
      <c r="B911" s="69"/>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75"/>
      <c r="B912" s="69"/>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75"/>
      <c r="B913" s="69"/>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75"/>
      <c r="B914" s="69"/>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75"/>
      <c r="B915" s="69"/>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75"/>
      <c r="B916" s="69"/>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75"/>
      <c r="B917" s="69"/>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75"/>
      <c r="B918" s="69"/>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75"/>
      <c r="B919" s="69"/>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75"/>
      <c r="B920" s="69"/>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75"/>
      <c r="B921" s="69"/>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75"/>
      <c r="B922" s="69"/>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75"/>
      <c r="B923" s="69"/>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75"/>
      <c r="B924" s="69"/>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75"/>
      <c r="B925" s="69"/>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75"/>
      <c r="B926" s="69"/>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75"/>
      <c r="B927" s="69"/>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75"/>
      <c r="B928" s="69"/>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75"/>
      <c r="B929" s="69"/>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75"/>
      <c r="B930" s="69"/>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75"/>
      <c r="B931" s="69"/>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75"/>
      <c r="B932" s="69"/>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75"/>
      <c r="B933" s="69"/>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75"/>
      <c r="B934" s="69"/>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75"/>
      <c r="B935" s="69"/>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75"/>
      <c r="B936" s="69"/>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75"/>
      <c r="B937" s="69"/>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75"/>
      <c r="B938" s="69"/>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75"/>
      <c r="B939" s="69"/>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75"/>
      <c r="B940" s="69"/>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75"/>
      <c r="B941" s="69"/>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75"/>
      <c r="B942" s="69"/>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75"/>
      <c r="B943" s="69"/>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75"/>
      <c r="B944" s="69"/>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75"/>
      <c r="B945" s="69"/>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75"/>
      <c r="B946" s="69"/>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75"/>
      <c r="B947" s="69"/>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75"/>
      <c r="B948" s="69"/>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75"/>
      <c r="B949" s="69"/>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75"/>
      <c r="B950" s="69"/>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75"/>
      <c r="B951" s="69"/>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75"/>
      <c r="B952" s="69"/>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75"/>
      <c r="B953" s="69"/>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75"/>
      <c r="B954" s="69"/>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75"/>
      <c r="B955" s="69"/>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75"/>
      <c r="B956" s="69"/>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75"/>
      <c r="B957" s="69"/>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75"/>
      <c r="B958" s="69"/>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75"/>
      <c r="B959" s="69"/>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75"/>
      <c r="B960" s="69"/>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75"/>
      <c r="B961" s="69"/>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75"/>
      <c r="B962" s="69"/>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75"/>
      <c r="B963" s="69"/>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75"/>
      <c r="B964" s="69"/>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75"/>
      <c r="B965" s="69"/>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75"/>
      <c r="B966" s="69"/>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75"/>
      <c r="B967" s="69"/>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75"/>
      <c r="B968" s="69"/>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75"/>
      <c r="B969" s="69"/>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75"/>
      <c r="B970" s="69"/>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75"/>
      <c r="B971" s="69"/>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75"/>
      <c r="B972" s="69"/>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75"/>
      <c r="B973" s="69"/>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75"/>
      <c r="B974" s="69"/>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75"/>
      <c r="B975" s="69"/>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75"/>
      <c r="B976" s="69"/>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75"/>
      <c r="B977" s="69"/>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75"/>
      <c r="B978" s="69"/>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978">
    <cfRule type="colorScale" priority="1">
      <colorScale>
        <cfvo type="formula" val="0"/>
        <cfvo type="formula" val="1"/>
        <color rgb="FFFFFFFF"/>
        <color rgb="FFE67C73"/>
      </colorScale>
    </cfRule>
  </conditionalFormatting>
  <conditionalFormatting sqref="E2:E978">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70" t="s">
        <v>0</v>
      </c>
      <c r="B1" s="71"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c r="A2" s="72" t="s">
        <v>33</v>
      </c>
      <c r="B2" s="73" t="s">
        <v>34</v>
      </c>
      <c r="C2" s="7" t="s">
        <v>21</v>
      </c>
      <c r="D2" s="54" t="s">
        <v>152</v>
      </c>
      <c r="E2" s="74">
        <f>IFERROR(__xludf.DUMMYFUNCTION("COUNTA(SPLIT(D2,"" ""))/COUNTA(SPLIT($B$2,"" ""))"),0.14857142857142858)</f>
        <v>0.1485714286</v>
      </c>
      <c r="F2" s="7">
        <v>5.0</v>
      </c>
      <c r="G2" s="7">
        <v>5.0</v>
      </c>
      <c r="H2" s="7">
        <v>5.0</v>
      </c>
      <c r="I2" s="7">
        <v>5.0</v>
      </c>
      <c r="J2" s="7">
        <v>5.0</v>
      </c>
      <c r="K2" s="56"/>
      <c r="L2" s="56"/>
      <c r="M2" s="56"/>
      <c r="N2" s="56"/>
      <c r="O2" s="56"/>
      <c r="P2" s="56"/>
      <c r="Q2" s="56"/>
      <c r="R2" s="56"/>
      <c r="S2" s="56"/>
      <c r="T2" s="56"/>
      <c r="U2" s="56"/>
      <c r="V2" s="56"/>
      <c r="W2" s="56"/>
      <c r="X2" s="56"/>
      <c r="Y2" s="56"/>
      <c r="Z2" s="56"/>
      <c r="AA2" s="56"/>
      <c r="AB2" s="56"/>
    </row>
    <row r="3">
      <c r="C3" s="7" t="s">
        <v>22</v>
      </c>
      <c r="D3" s="54" t="s">
        <v>153</v>
      </c>
      <c r="E3" s="74">
        <f>IFERROR(__xludf.DUMMYFUNCTION("COUNTA(SPLIT(D3,"" ""))/COUNTA(SPLIT($B$2,"" ""))"),0.17714285714285713)</f>
        <v>0.1771428571</v>
      </c>
      <c r="F3" s="67">
        <v>5.0</v>
      </c>
      <c r="G3" s="67">
        <v>5.0</v>
      </c>
      <c r="H3" s="67">
        <v>5.0</v>
      </c>
      <c r="I3" s="67">
        <v>5.0</v>
      </c>
      <c r="J3" s="67">
        <v>5.0</v>
      </c>
      <c r="K3" s="56"/>
      <c r="L3" s="56"/>
      <c r="M3" s="56"/>
      <c r="N3" s="56"/>
      <c r="O3" s="56"/>
      <c r="P3" s="56"/>
      <c r="Q3" s="56"/>
      <c r="R3" s="56"/>
      <c r="S3" s="56"/>
      <c r="T3" s="56"/>
      <c r="U3" s="56"/>
      <c r="V3" s="56"/>
      <c r="W3" s="56"/>
      <c r="X3" s="56"/>
      <c r="Y3" s="56"/>
      <c r="Z3" s="56"/>
      <c r="AA3" s="56"/>
      <c r="AB3" s="56"/>
    </row>
    <row r="4">
      <c r="C4" s="7" t="s">
        <v>8</v>
      </c>
      <c r="D4" s="54" t="s">
        <v>154</v>
      </c>
      <c r="E4" s="74">
        <f>IFERROR(__xludf.DUMMYFUNCTION("COUNTA(SPLIT(D4,"" ""))/COUNTA(SPLIT($B$2,"" ""))"),0.22857142857142856)</f>
        <v>0.2285714286</v>
      </c>
      <c r="F4" s="7">
        <v>3.0</v>
      </c>
      <c r="G4" s="7">
        <v>5.0</v>
      </c>
      <c r="H4" s="7">
        <v>5.0</v>
      </c>
      <c r="I4" s="7">
        <v>4.0</v>
      </c>
      <c r="J4" s="7">
        <v>5.0</v>
      </c>
      <c r="K4" s="56"/>
      <c r="L4" s="56"/>
      <c r="M4" s="56"/>
      <c r="N4" s="56"/>
      <c r="O4" s="56"/>
      <c r="P4" s="56"/>
      <c r="Q4" s="56"/>
      <c r="R4" s="56"/>
      <c r="S4" s="56"/>
      <c r="T4" s="56"/>
      <c r="U4" s="56"/>
      <c r="V4" s="56"/>
      <c r="W4" s="56"/>
      <c r="X4" s="56"/>
      <c r="Y4" s="56"/>
      <c r="Z4" s="56"/>
      <c r="AA4" s="56"/>
      <c r="AB4" s="56"/>
    </row>
    <row r="5">
      <c r="C5" s="7" t="s">
        <v>23</v>
      </c>
      <c r="D5" s="91" t="s">
        <v>155</v>
      </c>
      <c r="E5" s="74">
        <f>IFERROR(__xludf.DUMMYFUNCTION("COUNTA(SPLIT(D5,"" ""))/COUNTA(SPLIT($B$2,"" ""))"),0.1462857142857143)</f>
        <v>0.1462857143</v>
      </c>
      <c r="F5" s="67">
        <v>4.0</v>
      </c>
      <c r="G5" s="67">
        <v>5.0</v>
      </c>
      <c r="H5" s="67">
        <v>5.0</v>
      </c>
      <c r="I5" s="67">
        <v>5.0</v>
      </c>
      <c r="J5" s="67">
        <v>4.0</v>
      </c>
      <c r="K5" s="56"/>
      <c r="L5" s="56"/>
      <c r="M5" s="56"/>
      <c r="N5" s="56"/>
      <c r="O5" s="56"/>
      <c r="P5" s="56"/>
      <c r="Q5" s="56"/>
      <c r="R5" s="56"/>
      <c r="S5" s="56"/>
      <c r="T5" s="56"/>
      <c r="U5" s="56"/>
      <c r="V5" s="56"/>
      <c r="W5" s="56"/>
      <c r="X5" s="56"/>
      <c r="Y5" s="56"/>
      <c r="Z5" s="56"/>
      <c r="AA5" s="56"/>
      <c r="AB5" s="56"/>
    </row>
    <row r="6">
      <c r="A6" s="75"/>
      <c r="B6" s="69"/>
      <c r="C6" s="60"/>
      <c r="D6" s="61"/>
      <c r="E6" s="74"/>
      <c r="F6" s="60"/>
      <c r="G6" s="60"/>
      <c r="H6" s="60"/>
      <c r="I6" s="60"/>
      <c r="J6" s="60"/>
      <c r="K6" s="56"/>
      <c r="L6" s="56"/>
      <c r="M6" s="56"/>
      <c r="N6" s="56"/>
      <c r="O6" s="56"/>
      <c r="P6" s="56"/>
      <c r="Q6" s="56"/>
      <c r="R6" s="56"/>
      <c r="S6" s="56"/>
      <c r="T6" s="56"/>
      <c r="U6" s="56"/>
      <c r="V6" s="56"/>
      <c r="W6" s="56"/>
      <c r="X6" s="56"/>
      <c r="Y6" s="56"/>
      <c r="Z6" s="56"/>
      <c r="AA6" s="56"/>
      <c r="AB6" s="56"/>
    </row>
    <row r="7">
      <c r="A7" s="76" t="s">
        <v>37</v>
      </c>
      <c r="B7" s="77" t="s">
        <v>38</v>
      </c>
      <c r="C7" s="64" t="s">
        <v>21</v>
      </c>
      <c r="D7" s="65" t="s">
        <v>156</v>
      </c>
      <c r="E7" s="78">
        <f>IFERROR(__xludf.DUMMYFUNCTION("COUNTA(SPLIT(D7,"" ""))/COUNTA(SPLIT($B$7,"" ""))"),0.16304347826086957)</f>
        <v>0.1630434783</v>
      </c>
      <c r="F7" s="67">
        <v>5.0</v>
      </c>
      <c r="G7" s="67">
        <v>5.0</v>
      </c>
      <c r="H7" s="67">
        <v>5.0</v>
      </c>
      <c r="I7" s="67">
        <v>5.0</v>
      </c>
      <c r="J7" s="67">
        <v>3.0</v>
      </c>
      <c r="K7" s="68"/>
      <c r="L7" s="68"/>
      <c r="M7" s="68"/>
      <c r="N7" s="68"/>
      <c r="O7" s="68"/>
      <c r="P7" s="68"/>
      <c r="Q7" s="68"/>
      <c r="R7" s="68"/>
      <c r="S7" s="68"/>
      <c r="T7" s="68"/>
      <c r="U7" s="68"/>
      <c r="V7" s="68"/>
      <c r="W7" s="68"/>
      <c r="X7" s="68"/>
      <c r="Y7" s="68"/>
      <c r="Z7" s="68"/>
      <c r="AA7" s="68"/>
      <c r="AB7" s="68"/>
    </row>
    <row r="8">
      <c r="C8" s="7" t="s">
        <v>22</v>
      </c>
      <c r="D8" s="54" t="s">
        <v>157</v>
      </c>
      <c r="E8" s="74">
        <f>IFERROR(__xludf.DUMMYFUNCTION("COUNTA(SPLIT(D8,"" ""))/COUNTA(SPLIT($B$7,"" ""))"),0.2041062801932367)</f>
        <v>0.2041062802</v>
      </c>
      <c r="F8" s="7">
        <v>5.0</v>
      </c>
      <c r="G8" s="7">
        <v>5.0</v>
      </c>
      <c r="H8" s="7">
        <v>5.0</v>
      </c>
      <c r="I8" s="7">
        <v>4.0</v>
      </c>
      <c r="J8" s="7">
        <v>4.0</v>
      </c>
      <c r="K8" s="56"/>
      <c r="L8" s="56"/>
      <c r="M8" s="56"/>
      <c r="N8" s="56"/>
      <c r="O8" s="56"/>
      <c r="P8" s="56"/>
      <c r="Q8" s="56"/>
      <c r="R8" s="56"/>
      <c r="S8" s="56"/>
      <c r="T8" s="56"/>
      <c r="U8" s="56"/>
      <c r="V8" s="56"/>
      <c r="W8" s="56"/>
      <c r="X8" s="56"/>
      <c r="Y8" s="56"/>
      <c r="Z8" s="56"/>
      <c r="AA8" s="56"/>
      <c r="AB8" s="56"/>
    </row>
    <row r="9">
      <c r="C9" s="7" t="s">
        <v>8</v>
      </c>
      <c r="D9" s="54" t="s">
        <v>158</v>
      </c>
      <c r="E9" s="74">
        <f>IFERROR(__xludf.DUMMYFUNCTION("COUNTA(SPLIT(D9,"" ""))/COUNTA(SPLIT($B$7,"" ""))"),0.2536231884057971)</f>
        <v>0.2536231884</v>
      </c>
      <c r="F9" s="7">
        <v>3.0</v>
      </c>
      <c r="G9" s="7">
        <v>5.0</v>
      </c>
      <c r="H9" s="7">
        <v>5.0</v>
      </c>
      <c r="I9" s="7">
        <v>4.0</v>
      </c>
      <c r="J9" s="7">
        <v>4.0</v>
      </c>
      <c r="K9" s="56"/>
      <c r="L9" s="56"/>
      <c r="M9" s="56"/>
      <c r="N9" s="56"/>
      <c r="O9" s="56"/>
      <c r="P9" s="56"/>
      <c r="Q9" s="56"/>
      <c r="R9" s="56"/>
      <c r="S9" s="56"/>
      <c r="T9" s="56"/>
      <c r="U9" s="56"/>
      <c r="V9" s="56"/>
      <c r="W9" s="56"/>
      <c r="X9" s="56"/>
      <c r="Y9" s="56"/>
      <c r="Z9" s="56"/>
      <c r="AA9" s="56"/>
      <c r="AB9" s="56"/>
    </row>
    <row r="10">
      <c r="C10" s="7" t="s">
        <v>23</v>
      </c>
      <c r="D10" s="54" t="s">
        <v>159</v>
      </c>
      <c r="E10" s="74">
        <f>IFERROR(__xludf.DUMMYFUNCTION("COUNTA(SPLIT(D10,"" ""))/COUNTA(SPLIT($B$7,"" ""))"),0.14009661835748793)</f>
        <v>0.1400966184</v>
      </c>
      <c r="F10" s="67">
        <v>4.0</v>
      </c>
      <c r="G10" s="67">
        <v>4.0</v>
      </c>
      <c r="H10" s="67">
        <v>5.0</v>
      </c>
      <c r="I10" s="67">
        <v>4.0</v>
      </c>
      <c r="J10" s="67">
        <v>3.0</v>
      </c>
      <c r="K10" s="56"/>
      <c r="L10" s="56"/>
      <c r="M10" s="56"/>
      <c r="N10" s="56"/>
      <c r="O10" s="56"/>
      <c r="P10" s="56"/>
      <c r="Q10" s="56"/>
      <c r="R10" s="56"/>
      <c r="S10" s="56"/>
      <c r="T10" s="56"/>
      <c r="U10" s="56"/>
      <c r="V10" s="56"/>
      <c r="W10" s="56"/>
      <c r="X10" s="56"/>
      <c r="Y10" s="56"/>
      <c r="Z10" s="56"/>
      <c r="AA10" s="56"/>
      <c r="AB10" s="56"/>
    </row>
    <row r="11">
      <c r="A11" s="75"/>
      <c r="B11" s="69"/>
      <c r="C11" s="60"/>
      <c r="D11" s="61"/>
      <c r="E11" s="74"/>
      <c r="F11" s="60"/>
      <c r="G11" s="60"/>
      <c r="H11" s="60"/>
      <c r="I11" s="60"/>
      <c r="J11" s="60"/>
      <c r="K11" s="56"/>
      <c r="L11" s="56"/>
      <c r="M11" s="56"/>
      <c r="N11" s="56"/>
      <c r="O11" s="56"/>
      <c r="P11" s="56"/>
      <c r="Q11" s="56"/>
      <c r="R11" s="56"/>
      <c r="S11" s="56"/>
      <c r="T11" s="56"/>
      <c r="U11" s="56"/>
      <c r="V11" s="56"/>
      <c r="W11" s="56"/>
      <c r="X11" s="56"/>
      <c r="Y11" s="56"/>
      <c r="Z11" s="56"/>
      <c r="AA11" s="56"/>
      <c r="AB11" s="56"/>
    </row>
    <row r="12">
      <c r="A12" s="76" t="s">
        <v>41</v>
      </c>
      <c r="B12" s="77" t="s">
        <v>42</v>
      </c>
      <c r="C12" s="64" t="s">
        <v>21</v>
      </c>
      <c r="D12" s="65" t="s">
        <v>160</v>
      </c>
      <c r="E12" s="78">
        <f>IFERROR(__xludf.DUMMYFUNCTION("COUNTA(SPLIT(D12,"" ""))/COUNTA(SPLIT($B$12,"" ""))"),0.17425968109339407)</f>
        <v>0.1742596811</v>
      </c>
      <c r="F12" s="67">
        <v>5.0</v>
      </c>
      <c r="G12" s="67">
        <v>5.0</v>
      </c>
      <c r="H12" s="67">
        <v>5.0</v>
      </c>
      <c r="I12" s="67">
        <v>5.0</v>
      </c>
      <c r="J12" s="67">
        <v>4.0</v>
      </c>
      <c r="K12" s="68"/>
      <c r="L12" s="68"/>
      <c r="M12" s="68"/>
      <c r="N12" s="68"/>
      <c r="O12" s="68"/>
      <c r="P12" s="68"/>
      <c r="Q12" s="68"/>
      <c r="R12" s="68"/>
      <c r="S12" s="68"/>
      <c r="T12" s="68"/>
      <c r="U12" s="68"/>
      <c r="V12" s="68"/>
      <c r="W12" s="68"/>
      <c r="X12" s="68"/>
      <c r="Y12" s="68"/>
      <c r="Z12" s="68"/>
      <c r="AA12" s="68"/>
      <c r="AB12" s="68"/>
    </row>
    <row r="13">
      <c r="C13" s="7" t="s">
        <v>22</v>
      </c>
      <c r="D13" s="54" t="s">
        <v>161</v>
      </c>
      <c r="E13" s="74">
        <f>IFERROR(__xludf.DUMMYFUNCTION("COUNTA(SPLIT(D13,"" ""))/COUNTA(SPLIT($B$12,"" ""))"),0.21298405466970388)</f>
        <v>0.2129840547</v>
      </c>
      <c r="F13" s="67">
        <v>3.0</v>
      </c>
      <c r="G13" s="67">
        <v>5.0</v>
      </c>
      <c r="H13" s="67">
        <v>5.0</v>
      </c>
      <c r="I13" s="67">
        <v>4.0</v>
      </c>
      <c r="J13" s="67">
        <v>4.0</v>
      </c>
      <c r="K13" s="56"/>
      <c r="L13" s="56"/>
      <c r="M13" s="56"/>
      <c r="N13" s="56"/>
      <c r="O13" s="56"/>
      <c r="P13" s="56"/>
      <c r="Q13" s="56"/>
      <c r="R13" s="56"/>
      <c r="S13" s="56"/>
      <c r="T13" s="56"/>
      <c r="U13" s="56"/>
      <c r="V13" s="56"/>
      <c r="W13" s="56"/>
      <c r="X13" s="56"/>
      <c r="Y13" s="56"/>
      <c r="Z13" s="56"/>
      <c r="AA13" s="56"/>
      <c r="AB13" s="56"/>
    </row>
    <row r="14">
      <c r="C14" s="7" t="s">
        <v>8</v>
      </c>
      <c r="D14" s="54" t="s">
        <v>162</v>
      </c>
      <c r="E14" s="74">
        <f>IFERROR(__xludf.DUMMYFUNCTION("COUNTA(SPLIT(D14,"" ""))/COUNTA(SPLIT($B$12,"" ""))"),0.16856492027334852)</f>
        <v>0.1685649203</v>
      </c>
      <c r="F14" s="7">
        <v>3.0</v>
      </c>
      <c r="G14" s="7">
        <v>5.0</v>
      </c>
      <c r="H14" s="7">
        <v>5.0</v>
      </c>
      <c r="I14" s="7">
        <v>4.0</v>
      </c>
      <c r="J14" s="7">
        <v>3.0</v>
      </c>
      <c r="K14" s="56"/>
      <c r="L14" s="56"/>
      <c r="M14" s="56"/>
      <c r="N14" s="56"/>
      <c r="O14" s="56"/>
      <c r="P14" s="56"/>
      <c r="Q14" s="56"/>
      <c r="R14" s="56"/>
      <c r="S14" s="56"/>
      <c r="T14" s="56"/>
      <c r="U14" s="56"/>
      <c r="V14" s="56"/>
      <c r="W14" s="56"/>
      <c r="X14" s="56"/>
      <c r="Y14" s="56"/>
      <c r="Z14" s="56"/>
      <c r="AA14" s="56"/>
      <c r="AB14" s="56"/>
    </row>
    <row r="15">
      <c r="C15" s="7" t="s">
        <v>23</v>
      </c>
      <c r="D15" s="54" t="s">
        <v>163</v>
      </c>
      <c r="E15" s="74">
        <f>IFERROR(__xludf.DUMMYFUNCTION("COUNTA(SPLIT(D15,"" ""))/COUNTA(SPLIT($B$12,"" ""))"),0.1958997722095672)</f>
        <v>0.1958997722</v>
      </c>
      <c r="F15" s="67">
        <v>3.0</v>
      </c>
      <c r="G15" s="67">
        <v>5.0</v>
      </c>
      <c r="H15" s="67">
        <v>5.0</v>
      </c>
      <c r="I15" s="67">
        <v>5.0</v>
      </c>
      <c r="J15" s="67">
        <v>5.0</v>
      </c>
      <c r="K15" s="56"/>
      <c r="L15" s="56"/>
      <c r="M15" s="56"/>
      <c r="N15" s="56"/>
      <c r="O15" s="56"/>
      <c r="P15" s="56"/>
      <c r="Q15" s="56"/>
      <c r="R15" s="56"/>
      <c r="S15" s="56"/>
      <c r="T15" s="56"/>
      <c r="U15" s="56"/>
      <c r="V15" s="56"/>
      <c r="W15" s="56"/>
      <c r="X15" s="56"/>
      <c r="Y15" s="56"/>
      <c r="Z15" s="56"/>
      <c r="AA15" s="56"/>
      <c r="AB15" s="56"/>
    </row>
    <row r="16">
      <c r="A16" s="75"/>
      <c r="B16" s="69"/>
      <c r="C16" s="60"/>
      <c r="D16" s="61"/>
      <c r="E16" s="74"/>
      <c r="F16" s="60"/>
      <c r="G16" s="60"/>
      <c r="H16" s="60"/>
      <c r="I16" s="60"/>
      <c r="J16" s="60"/>
      <c r="K16" s="56"/>
      <c r="L16" s="56"/>
      <c r="M16" s="56"/>
      <c r="N16" s="56"/>
      <c r="O16" s="56"/>
      <c r="P16" s="56"/>
      <c r="Q16" s="56"/>
      <c r="R16" s="56"/>
      <c r="S16" s="56"/>
      <c r="T16" s="56"/>
      <c r="U16" s="56"/>
      <c r="V16" s="56"/>
      <c r="W16" s="56"/>
      <c r="X16" s="56"/>
      <c r="Y16" s="56"/>
      <c r="Z16" s="56"/>
      <c r="AA16" s="56"/>
      <c r="AB16" s="56"/>
    </row>
    <row r="17">
      <c r="A17" s="76" t="s">
        <v>45</v>
      </c>
      <c r="B17" s="77" t="s">
        <v>46</v>
      </c>
      <c r="C17" s="64" t="s">
        <v>21</v>
      </c>
      <c r="D17" s="65" t="s">
        <v>164</v>
      </c>
      <c r="E17" s="78">
        <f>IFERROR(__xludf.DUMMYFUNCTION("COUNTA(SPLIT(D17,"" ""))/COUNTA(SPLIT($B$17,"" ""))"),0.22860791826309068)</f>
        <v>0.2286079183</v>
      </c>
      <c r="F17" s="67">
        <v>4.0</v>
      </c>
      <c r="G17" s="67">
        <v>4.0</v>
      </c>
      <c r="H17" s="67">
        <v>5.0</v>
      </c>
      <c r="I17" s="67">
        <v>5.0</v>
      </c>
      <c r="J17" s="67">
        <v>5.0</v>
      </c>
      <c r="K17" s="68"/>
      <c r="L17" s="68"/>
      <c r="M17" s="68"/>
      <c r="N17" s="68"/>
      <c r="O17" s="68"/>
      <c r="P17" s="68"/>
      <c r="Q17" s="68"/>
      <c r="R17" s="68"/>
      <c r="S17" s="68"/>
      <c r="T17" s="68"/>
      <c r="U17" s="68"/>
      <c r="V17" s="68"/>
      <c r="W17" s="68"/>
      <c r="X17" s="68"/>
      <c r="Y17" s="68"/>
      <c r="Z17" s="68"/>
      <c r="AA17" s="68"/>
      <c r="AB17" s="68"/>
    </row>
    <row r="18">
      <c r="C18" s="7" t="s">
        <v>22</v>
      </c>
      <c r="D18" s="54" t="s">
        <v>165</v>
      </c>
      <c r="E18" s="74">
        <f>IFERROR(__xludf.DUMMYFUNCTION("COUNTA(SPLIT(D18,"" ""))/COUNTA(SPLIT($B$17,"" ""))"),0.18518518518518517)</f>
        <v>0.1851851852</v>
      </c>
      <c r="F18" s="67">
        <v>4.0</v>
      </c>
      <c r="G18" s="67">
        <v>5.0</v>
      </c>
      <c r="H18" s="67">
        <v>5.0</v>
      </c>
      <c r="I18" s="67">
        <v>5.0</v>
      </c>
      <c r="J18" s="67">
        <v>5.0</v>
      </c>
      <c r="K18" s="56"/>
      <c r="L18" s="56"/>
      <c r="M18" s="56"/>
      <c r="N18" s="56"/>
      <c r="O18" s="56"/>
      <c r="P18" s="56"/>
      <c r="Q18" s="56"/>
      <c r="R18" s="56"/>
      <c r="S18" s="56"/>
      <c r="T18" s="56"/>
      <c r="U18" s="56"/>
      <c r="V18" s="56"/>
      <c r="W18" s="56"/>
      <c r="X18" s="56"/>
      <c r="Y18" s="56"/>
      <c r="Z18" s="56"/>
      <c r="AA18" s="56"/>
      <c r="AB18" s="56"/>
    </row>
    <row r="19">
      <c r="C19" s="7" t="s">
        <v>8</v>
      </c>
      <c r="D19" s="54" t="s">
        <v>166</v>
      </c>
      <c r="E19" s="74">
        <f>IFERROR(__xludf.DUMMYFUNCTION("COUNTA(SPLIT(D19,"" ""))/COUNTA(SPLIT($B$17,"" ""))"),0.20689655172413793)</f>
        <v>0.2068965517</v>
      </c>
      <c r="F19" s="7">
        <v>3.0</v>
      </c>
      <c r="G19" s="7">
        <v>5.0</v>
      </c>
      <c r="H19" s="7">
        <v>5.0</v>
      </c>
      <c r="I19" s="7">
        <v>5.0</v>
      </c>
      <c r="J19" s="7">
        <v>5.0</v>
      </c>
      <c r="K19" s="56"/>
      <c r="L19" s="56"/>
      <c r="M19" s="56"/>
      <c r="N19" s="56"/>
      <c r="O19" s="56"/>
      <c r="P19" s="56"/>
      <c r="Q19" s="56"/>
      <c r="R19" s="56"/>
      <c r="S19" s="56"/>
      <c r="T19" s="56"/>
      <c r="U19" s="56"/>
      <c r="V19" s="56"/>
      <c r="W19" s="56"/>
      <c r="X19" s="56"/>
      <c r="Y19" s="56"/>
      <c r="Z19" s="56"/>
      <c r="AA19" s="56"/>
      <c r="AB19" s="56"/>
    </row>
    <row r="20">
      <c r="C20" s="7" t="s">
        <v>23</v>
      </c>
      <c r="D20" s="54" t="s">
        <v>167</v>
      </c>
      <c r="E20" s="74">
        <f>IFERROR(__xludf.DUMMYFUNCTION("COUNTA(SPLIT(D20,"" ""))/COUNTA(SPLIT($B$17,"" ""))"),0.1417624521072797)</f>
        <v>0.1417624521</v>
      </c>
      <c r="F20" s="67">
        <v>4.0</v>
      </c>
      <c r="G20" s="67">
        <v>5.0</v>
      </c>
      <c r="H20" s="67">
        <v>5.0</v>
      </c>
      <c r="I20" s="67">
        <v>5.0</v>
      </c>
      <c r="J20" s="67">
        <v>5.0</v>
      </c>
      <c r="K20" s="56"/>
      <c r="L20" s="56"/>
      <c r="M20" s="56"/>
      <c r="N20" s="56"/>
      <c r="O20" s="56"/>
      <c r="P20" s="56"/>
      <c r="Q20" s="56"/>
      <c r="R20" s="56"/>
      <c r="S20" s="56"/>
      <c r="T20" s="56"/>
      <c r="U20" s="56"/>
      <c r="V20" s="56"/>
      <c r="W20" s="56"/>
      <c r="X20" s="56"/>
      <c r="Y20" s="56"/>
      <c r="Z20" s="56"/>
      <c r="AA20" s="56"/>
      <c r="AB20" s="56"/>
    </row>
    <row r="21">
      <c r="A21" s="75"/>
      <c r="B21" s="69"/>
      <c r="C21" s="60"/>
      <c r="D21" s="61"/>
      <c r="E21" s="74"/>
      <c r="F21" s="60"/>
      <c r="G21" s="60"/>
      <c r="H21" s="60"/>
      <c r="I21" s="60"/>
      <c r="J21" s="60"/>
      <c r="K21" s="56"/>
      <c r="L21" s="56"/>
      <c r="M21" s="56"/>
      <c r="N21" s="56"/>
      <c r="O21" s="56"/>
      <c r="P21" s="56"/>
      <c r="Q21" s="56"/>
      <c r="R21" s="56"/>
      <c r="S21" s="56"/>
      <c r="T21" s="56"/>
      <c r="U21" s="56"/>
      <c r="V21" s="56"/>
      <c r="W21" s="56"/>
      <c r="X21" s="56"/>
      <c r="Y21" s="56"/>
      <c r="Z21" s="56"/>
      <c r="AA21" s="56"/>
      <c r="AB21" s="56"/>
    </row>
    <row r="22">
      <c r="A22" s="76" t="s">
        <v>49</v>
      </c>
      <c r="B22" s="77" t="s">
        <v>50</v>
      </c>
      <c r="C22" s="64" t="s">
        <v>21</v>
      </c>
      <c r="D22" s="65" t="s">
        <v>168</v>
      </c>
      <c r="E22" s="78">
        <f>IFERROR(__xludf.DUMMYFUNCTION("COUNTA(SPLIT(D22,"" ""))/COUNTA(SPLIT($B$22,"" ""))"),0.28952772073921973)</f>
        <v>0.2895277207</v>
      </c>
      <c r="F22" s="67">
        <v>4.0</v>
      </c>
      <c r="G22" s="67">
        <v>5.0</v>
      </c>
      <c r="H22" s="67">
        <v>5.0</v>
      </c>
      <c r="I22" s="67">
        <v>4.0</v>
      </c>
      <c r="J22" s="67">
        <v>5.0</v>
      </c>
      <c r="K22" s="68"/>
      <c r="L22" s="68"/>
      <c r="M22" s="68"/>
      <c r="N22" s="68"/>
      <c r="O22" s="68"/>
      <c r="P22" s="68"/>
      <c r="Q22" s="68"/>
      <c r="R22" s="68"/>
      <c r="S22" s="68"/>
      <c r="T22" s="68"/>
      <c r="U22" s="68"/>
      <c r="V22" s="68"/>
      <c r="W22" s="68"/>
      <c r="X22" s="68"/>
      <c r="Y22" s="68"/>
      <c r="Z22" s="68"/>
      <c r="AA22" s="68"/>
      <c r="AB22" s="68"/>
    </row>
    <row r="23">
      <c r="C23" s="7" t="s">
        <v>22</v>
      </c>
      <c r="D23" s="54" t="s">
        <v>169</v>
      </c>
      <c r="E23" s="74">
        <f>IFERROR(__xludf.DUMMYFUNCTION("COUNTA(SPLIT(D23,"" ""))/COUNTA(SPLIT($B$22,"" ""))"),0.1971252566735113)</f>
        <v>0.1971252567</v>
      </c>
      <c r="F23" s="67">
        <v>4.0</v>
      </c>
      <c r="G23" s="67">
        <v>5.0</v>
      </c>
      <c r="H23" s="67">
        <v>5.0</v>
      </c>
      <c r="I23" s="67">
        <v>4.0</v>
      </c>
      <c r="J23" s="67">
        <v>4.0</v>
      </c>
      <c r="K23" s="56"/>
      <c r="L23" s="56"/>
      <c r="M23" s="56"/>
      <c r="N23" s="56"/>
      <c r="O23" s="56"/>
      <c r="P23" s="56"/>
      <c r="Q23" s="56"/>
      <c r="R23" s="56"/>
      <c r="S23" s="56"/>
      <c r="T23" s="56"/>
      <c r="U23" s="56"/>
      <c r="V23" s="56"/>
      <c r="W23" s="56"/>
      <c r="X23" s="56"/>
      <c r="Y23" s="56"/>
      <c r="Z23" s="56"/>
      <c r="AA23" s="56"/>
      <c r="AB23" s="56"/>
    </row>
    <row r="24">
      <c r="C24" s="7" t="s">
        <v>8</v>
      </c>
      <c r="D24" s="54" t="s">
        <v>170</v>
      </c>
      <c r="E24" s="74">
        <f>IFERROR(__xludf.DUMMYFUNCTION("COUNTA(SPLIT(D24,"" ""))/COUNTA(SPLIT($B$22,"" ""))"),0.4004106776180698)</f>
        <v>0.4004106776</v>
      </c>
      <c r="F24" s="7">
        <v>3.0</v>
      </c>
      <c r="G24" s="7">
        <v>5.0</v>
      </c>
      <c r="H24" s="7">
        <v>5.0</v>
      </c>
      <c r="I24" s="7">
        <v>4.0</v>
      </c>
      <c r="J24" s="7">
        <v>5.0</v>
      </c>
      <c r="K24" s="56"/>
      <c r="L24" s="56"/>
      <c r="M24" s="56"/>
      <c r="N24" s="56"/>
      <c r="O24" s="56"/>
      <c r="P24" s="56"/>
      <c r="Q24" s="56"/>
      <c r="R24" s="56"/>
      <c r="S24" s="56"/>
      <c r="T24" s="56"/>
      <c r="U24" s="56"/>
      <c r="V24" s="56"/>
      <c r="W24" s="56"/>
      <c r="X24" s="56"/>
      <c r="Y24" s="56"/>
      <c r="Z24" s="56"/>
      <c r="AA24" s="56"/>
      <c r="AB24" s="56"/>
    </row>
    <row r="25">
      <c r="C25" s="7" t="s">
        <v>23</v>
      </c>
      <c r="D25" s="54" t="s">
        <v>171</v>
      </c>
      <c r="E25" s="74">
        <f>IFERROR(__xludf.DUMMYFUNCTION("COUNTA(SPLIT(D25,"" ""))/COUNTA(SPLIT($B$22,"" ""))"),0.22381930184804927)</f>
        <v>0.2238193018</v>
      </c>
      <c r="F25" s="67">
        <v>4.0</v>
      </c>
      <c r="G25" s="67">
        <v>5.0</v>
      </c>
      <c r="H25" s="67">
        <v>5.0</v>
      </c>
      <c r="I25" s="67">
        <v>5.0</v>
      </c>
      <c r="J25" s="67">
        <v>5.0</v>
      </c>
      <c r="K25" s="56"/>
      <c r="L25" s="56"/>
      <c r="M25" s="56"/>
      <c r="N25" s="56"/>
      <c r="O25" s="56"/>
      <c r="P25" s="56"/>
      <c r="Q25" s="56"/>
      <c r="R25" s="56"/>
      <c r="S25" s="56"/>
      <c r="T25" s="56"/>
      <c r="U25" s="56"/>
      <c r="V25" s="56"/>
      <c r="W25" s="56"/>
      <c r="X25" s="56"/>
      <c r="Y25" s="56"/>
      <c r="Z25" s="56"/>
      <c r="AA25" s="56"/>
      <c r="AB25" s="56"/>
    </row>
    <row r="26">
      <c r="A26" s="75"/>
      <c r="B26" s="69"/>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c r="A27" s="79" t="s">
        <v>53</v>
      </c>
      <c r="B27" s="80" t="s">
        <v>54</v>
      </c>
      <c r="C27" s="81" t="s">
        <v>21</v>
      </c>
      <c r="D27" s="82" t="s">
        <v>172</v>
      </c>
      <c r="E27" s="83">
        <f>IFERROR(__xludf.DUMMYFUNCTION("COUNTA(SPLIT(D27,"" ""))/COUNTA(SPLIT($B$27,"" ""))"),0.19314641744548286)</f>
        <v>0.1931464174</v>
      </c>
      <c r="F27" s="7">
        <v>5.0</v>
      </c>
      <c r="G27" s="7">
        <v>5.0</v>
      </c>
      <c r="H27" s="7">
        <v>5.0</v>
      </c>
      <c r="I27" s="7">
        <v>5.0</v>
      </c>
      <c r="J27" s="7">
        <v>4.0</v>
      </c>
      <c r="K27" s="56"/>
      <c r="L27" s="56"/>
      <c r="M27" s="56"/>
      <c r="N27" s="56"/>
      <c r="O27" s="56"/>
      <c r="P27" s="56"/>
      <c r="Q27" s="56"/>
      <c r="R27" s="56"/>
      <c r="S27" s="56"/>
      <c r="T27" s="56"/>
      <c r="U27" s="56"/>
      <c r="V27" s="56"/>
      <c r="W27" s="56"/>
      <c r="X27" s="56"/>
      <c r="Y27" s="56"/>
      <c r="Z27" s="56"/>
      <c r="AA27" s="56"/>
      <c r="AB27" s="56"/>
    </row>
    <row r="28">
      <c r="C28" s="85" t="s">
        <v>22</v>
      </c>
      <c r="D28" s="57" t="s">
        <v>173</v>
      </c>
      <c r="E28" s="86">
        <f>IFERROR(__xludf.DUMMYFUNCTION("COUNTA(SPLIT(D28,"" ""))/COUNTA(SPLIT($B$27,"" ""))"),0.17133956386292834)</f>
        <v>0.1713395639</v>
      </c>
      <c r="F28" s="7">
        <v>4.0</v>
      </c>
      <c r="G28" s="7">
        <v>5.0</v>
      </c>
      <c r="H28" s="7">
        <v>5.0</v>
      </c>
      <c r="I28" s="7">
        <v>5.0</v>
      </c>
      <c r="J28" s="7">
        <v>4.0</v>
      </c>
      <c r="K28" s="56"/>
      <c r="L28" s="56"/>
      <c r="M28" s="56"/>
      <c r="N28" s="56"/>
      <c r="O28" s="56"/>
      <c r="P28" s="56"/>
      <c r="Q28" s="56"/>
      <c r="R28" s="56"/>
      <c r="S28" s="56"/>
      <c r="T28" s="56"/>
      <c r="U28" s="56"/>
      <c r="V28" s="56"/>
      <c r="W28" s="56"/>
      <c r="X28" s="56"/>
      <c r="Y28" s="56"/>
      <c r="Z28" s="56"/>
      <c r="AA28" s="56"/>
      <c r="AB28" s="56"/>
    </row>
    <row r="29">
      <c r="C29" s="85" t="s">
        <v>8</v>
      </c>
      <c r="D29" s="57" t="s">
        <v>174</v>
      </c>
      <c r="E29" s="87">
        <f>IFERROR(__xludf.DUMMYFUNCTION("COUNTA(SPLIT(D29,"" ""))/COUNTA(SPLIT($B$27,"" ""))"),0.2538940809968847)</f>
        <v>0.253894081</v>
      </c>
      <c r="F29" s="7">
        <v>3.0</v>
      </c>
      <c r="G29" s="7">
        <v>5.0</v>
      </c>
      <c r="H29" s="7">
        <v>5.0</v>
      </c>
      <c r="I29" s="7">
        <v>4.0</v>
      </c>
      <c r="J29" s="7">
        <v>5.0</v>
      </c>
      <c r="K29" s="56"/>
      <c r="L29" s="56"/>
      <c r="M29" s="56"/>
      <c r="N29" s="56"/>
      <c r="O29" s="56"/>
      <c r="P29" s="56"/>
      <c r="Q29" s="56"/>
      <c r="R29" s="56"/>
      <c r="S29" s="56"/>
      <c r="T29" s="56"/>
      <c r="U29" s="56"/>
      <c r="V29" s="56"/>
      <c r="W29" s="56"/>
      <c r="X29" s="56"/>
      <c r="Y29" s="56"/>
      <c r="Z29" s="56"/>
      <c r="AA29" s="56"/>
      <c r="AB29" s="56"/>
    </row>
    <row r="30">
      <c r="C30" s="85" t="s">
        <v>23</v>
      </c>
      <c r="D30" s="57" t="s">
        <v>175</v>
      </c>
      <c r="E30" s="88">
        <f>IFERROR(__xludf.DUMMYFUNCTION("COUNTA(SPLIT(D30,"" ""))/COUNTA(SPLIT($B$27,"" ""))"),0.17601246105919002)</f>
        <v>0.1760124611</v>
      </c>
      <c r="F30" s="7">
        <v>5.0</v>
      </c>
      <c r="G30" s="7">
        <v>5.0</v>
      </c>
      <c r="H30" s="7">
        <v>4.0</v>
      </c>
      <c r="I30" s="7">
        <v>5.0</v>
      </c>
      <c r="J30" s="7">
        <v>4.0</v>
      </c>
      <c r="K30" s="56"/>
      <c r="L30" s="56"/>
      <c r="M30" s="56"/>
      <c r="N30" s="56"/>
      <c r="O30" s="56"/>
      <c r="P30" s="56"/>
      <c r="Q30" s="56"/>
      <c r="R30" s="56"/>
      <c r="S30" s="56"/>
      <c r="T30" s="56"/>
      <c r="U30" s="56"/>
      <c r="V30" s="56"/>
      <c r="W30" s="56"/>
      <c r="X30" s="56"/>
      <c r="Y30" s="56"/>
      <c r="Z30" s="56"/>
      <c r="AA30" s="56"/>
      <c r="AB30" s="56"/>
    </row>
    <row r="31">
      <c r="A31" s="75"/>
      <c r="B31" s="69"/>
      <c r="C31" s="60"/>
      <c r="D31" s="61"/>
      <c r="E31" s="69"/>
      <c r="F31" s="60"/>
      <c r="G31" s="60"/>
      <c r="H31" s="60"/>
      <c r="I31" s="60"/>
      <c r="J31" s="60"/>
      <c r="K31" s="56"/>
      <c r="L31" s="56"/>
      <c r="M31" s="56"/>
      <c r="N31" s="56"/>
      <c r="O31" s="56"/>
      <c r="P31" s="56"/>
      <c r="Q31" s="56"/>
      <c r="R31" s="56"/>
      <c r="S31" s="56"/>
      <c r="T31" s="56"/>
      <c r="U31" s="56"/>
      <c r="V31" s="56"/>
      <c r="W31" s="56"/>
      <c r="X31" s="56"/>
      <c r="Y31" s="56"/>
      <c r="Z31" s="56"/>
      <c r="AA31" s="56"/>
      <c r="AB31" s="56"/>
    </row>
    <row r="32">
      <c r="A32" s="89" t="s">
        <v>57</v>
      </c>
      <c r="B32" s="90" t="s">
        <v>58</v>
      </c>
      <c r="C32" s="81" t="s">
        <v>21</v>
      </c>
      <c r="D32" s="82" t="s">
        <v>176</v>
      </c>
      <c r="E32" s="83">
        <f>IFERROR(__xludf.DUMMYFUNCTION("COUNTA(SPLIT(D32,"" ""))/COUNTA(SPLIT($B$32,"" ""))"),0.1163130943672275)</f>
        <v>0.1163130944</v>
      </c>
      <c r="F32" s="7">
        <v>5.0</v>
      </c>
      <c r="G32" s="7">
        <v>5.0</v>
      </c>
      <c r="H32" s="7">
        <v>5.0</v>
      </c>
      <c r="I32" s="7">
        <v>5.0</v>
      </c>
      <c r="J32" s="7">
        <v>4.0</v>
      </c>
      <c r="K32" s="56"/>
      <c r="L32" s="56"/>
      <c r="M32" s="56"/>
      <c r="N32" s="56"/>
      <c r="O32" s="56"/>
      <c r="P32" s="56"/>
      <c r="Q32" s="56"/>
      <c r="R32" s="56"/>
      <c r="S32" s="56"/>
      <c r="T32" s="56"/>
      <c r="U32" s="56"/>
      <c r="V32" s="56"/>
      <c r="W32" s="56"/>
      <c r="X32" s="56"/>
      <c r="Y32" s="56"/>
      <c r="Z32" s="56"/>
      <c r="AA32" s="56"/>
      <c r="AB32" s="56"/>
    </row>
    <row r="33">
      <c r="C33" s="85" t="s">
        <v>22</v>
      </c>
      <c r="D33" s="57" t="s">
        <v>177</v>
      </c>
      <c r="E33" s="86">
        <f>IFERROR(__xludf.DUMMYFUNCTION("COUNTA(SPLIT(D33,"" ""))/COUNTA(SPLIT($B$32,"" ""))"),0.14484272128749084)</f>
        <v>0.1448427213</v>
      </c>
      <c r="F33" s="7">
        <v>5.0</v>
      </c>
      <c r="G33" s="7">
        <v>5.0</v>
      </c>
      <c r="H33" s="7">
        <v>5.0</v>
      </c>
      <c r="I33" s="7">
        <v>4.0</v>
      </c>
      <c r="J33" s="7">
        <v>3.0</v>
      </c>
      <c r="K33" s="56"/>
      <c r="L33" s="56"/>
      <c r="M33" s="56"/>
      <c r="N33" s="56"/>
      <c r="O33" s="56"/>
      <c r="P33" s="56"/>
      <c r="Q33" s="56"/>
      <c r="R33" s="56"/>
      <c r="S33" s="56"/>
      <c r="T33" s="56"/>
      <c r="U33" s="56"/>
      <c r="V33" s="56"/>
      <c r="W33" s="56"/>
      <c r="X33" s="56"/>
      <c r="Y33" s="56"/>
      <c r="Z33" s="56"/>
      <c r="AA33" s="56"/>
      <c r="AB33" s="56"/>
    </row>
    <row r="34">
      <c r="C34" s="85" t="s">
        <v>8</v>
      </c>
      <c r="D34" s="57" t="s">
        <v>178</v>
      </c>
      <c r="E34" s="87">
        <f>IFERROR(__xludf.DUMMYFUNCTION("COUNTA(SPLIT(D34,"" ""))/COUNTA(SPLIT($B$32,"" ""))"),0.1894659839063643)</f>
        <v>0.1894659839</v>
      </c>
      <c r="F34" s="7">
        <v>3.0</v>
      </c>
      <c r="G34" s="7">
        <v>4.0</v>
      </c>
      <c r="H34" s="7">
        <v>5.0</v>
      </c>
      <c r="I34" s="7">
        <v>5.0</v>
      </c>
      <c r="J34" s="7">
        <v>4.0</v>
      </c>
      <c r="K34" s="56"/>
      <c r="L34" s="56"/>
      <c r="M34" s="56"/>
      <c r="N34" s="56"/>
      <c r="O34" s="56"/>
      <c r="P34" s="56"/>
      <c r="Q34" s="56"/>
      <c r="R34" s="56"/>
      <c r="S34" s="56"/>
      <c r="T34" s="56"/>
      <c r="U34" s="56"/>
      <c r="V34" s="56"/>
      <c r="W34" s="56"/>
      <c r="X34" s="56"/>
      <c r="Y34" s="56"/>
      <c r="Z34" s="56"/>
      <c r="AA34" s="56"/>
      <c r="AB34" s="56"/>
    </row>
    <row r="35">
      <c r="C35" s="85" t="s">
        <v>23</v>
      </c>
      <c r="D35" s="57" t="s">
        <v>179</v>
      </c>
      <c r="E35" s="88">
        <f>IFERROR(__xludf.DUMMYFUNCTION("COUNTA(SPLIT(D35,"" ""))/COUNTA(SPLIT($B$32,"" ""))"),0.07900512070226774)</f>
        <v>0.0790051207</v>
      </c>
      <c r="F35" s="7">
        <v>5.0</v>
      </c>
      <c r="G35" s="7">
        <v>5.0</v>
      </c>
      <c r="H35" s="7">
        <v>5.0</v>
      </c>
      <c r="I35" s="7">
        <v>5.0</v>
      </c>
      <c r="J35" s="7">
        <v>4.0</v>
      </c>
      <c r="K35" s="56"/>
      <c r="L35" s="56"/>
      <c r="M35" s="56"/>
      <c r="N35" s="56"/>
      <c r="O35" s="56"/>
      <c r="P35" s="56"/>
      <c r="Q35" s="56"/>
      <c r="R35" s="56"/>
      <c r="S35" s="56"/>
      <c r="T35" s="56"/>
      <c r="U35" s="56"/>
      <c r="V35" s="56"/>
      <c r="W35" s="56"/>
      <c r="X35" s="56"/>
      <c r="Y35" s="56"/>
      <c r="Z35" s="56"/>
      <c r="AA35" s="56"/>
      <c r="AB35" s="56"/>
    </row>
    <row r="36">
      <c r="A36" s="75"/>
      <c r="B36" s="69"/>
      <c r="C36" s="60"/>
      <c r="D36" s="61"/>
      <c r="E36" s="69"/>
      <c r="F36" s="60"/>
      <c r="G36" s="60"/>
      <c r="H36" s="60"/>
      <c r="I36" s="60"/>
      <c r="J36" s="60"/>
      <c r="K36" s="56"/>
      <c r="L36" s="56"/>
      <c r="M36" s="56"/>
      <c r="N36" s="56"/>
      <c r="O36" s="56"/>
      <c r="P36" s="56"/>
      <c r="Q36" s="56"/>
      <c r="R36" s="56"/>
      <c r="S36" s="56"/>
      <c r="T36" s="56"/>
      <c r="U36" s="56"/>
      <c r="V36" s="56"/>
      <c r="W36" s="56"/>
      <c r="X36" s="56"/>
      <c r="Y36" s="56"/>
      <c r="Z36" s="56"/>
      <c r="AA36" s="56"/>
      <c r="AB36" s="56"/>
    </row>
    <row r="37">
      <c r="A37" s="89" t="s">
        <v>61</v>
      </c>
      <c r="B37" s="90" t="s">
        <v>62</v>
      </c>
      <c r="C37" s="81" t="s">
        <v>21</v>
      </c>
      <c r="D37" s="82" t="s">
        <v>180</v>
      </c>
      <c r="E37" s="83">
        <f>IFERROR(__xludf.DUMMYFUNCTION("COUNTA(SPLIT(D37,"" ""))/COUNTA(SPLIT($B$37,"" ""))"),0.08498759305210918)</f>
        <v>0.08498759305</v>
      </c>
      <c r="F37" s="7">
        <v>4.0</v>
      </c>
      <c r="G37" s="7">
        <v>5.0</v>
      </c>
      <c r="H37" s="7">
        <v>5.0</v>
      </c>
      <c r="I37" s="7">
        <v>5.0</v>
      </c>
      <c r="J37" s="7">
        <v>3.0</v>
      </c>
      <c r="K37" s="56"/>
      <c r="L37" s="56"/>
      <c r="M37" s="56"/>
      <c r="N37" s="56"/>
      <c r="O37" s="56"/>
      <c r="P37" s="56"/>
      <c r="Q37" s="56"/>
      <c r="R37" s="56"/>
      <c r="S37" s="56"/>
      <c r="T37" s="56"/>
      <c r="U37" s="56"/>
      <c r="V37" s="56"/>
      <c r="W37" s="56"/>
      <c r="X37" s="56"/>
      <c r="Y37" s="56"/>
      <c r="Z37" s="56"/>
      <c r="AA37" s="56"/>
      <c r="AB37" s="56"/>
    </row>
    <row r="38">
      <c r="C38" s="85" t="s">
        <v>22</v>
      </c>
      <c r="D38" s="57" t="s">
        <v>181</v>
      </c>
      <c r="E38" s="86">
        <f>IFERROR(__xludf.DUMMYFUNCTION("COUNTA(SPLIT(D38,"" ""))/COUNTA(SPLIT($B$37,"" ""))"),0.09491315136476426)</f>
        <v>0.09491315136</v>
      </c>
      <c r="F38" s="7">
        <v>4.0</v>
      </c>
      <c r="G38" s="7">
        <v>5.0</v>
      </c>
      <c r="H38" s="7">
        <v>5.0</v>
      </c>
      <c r="I38" s="7">
        <v>4.0</v>
      </c>
      <c r="J38" s="7">
        <v>4.0</v>
      </c>
      <c r="K38" s="56"/>
      <c r="L38" s="56"/>
      <c r="M38" s="56"/>
      <c r="N38" s="56"/>
      <c r="O38" s="56"/>
      <c r="P38" s="56"/>
      <c r="Q38" s="56"/>
      <c r="R38" s="56"/>
      <c r="S38" s="56"/>
      <c r="T38" s="56"/>
      <c r="U38" s="56"/>
      <c r="V38" s="56"/>
      <c r="W38" s="56"/>
      <c r="X38" s="56"/>
      <c r="Y38" s="56"/>
      <c r="Z38" s="56"/>
      <c r="AA38" s="56"/>
      <c r="AB38" s="56"/>
    </row>
    <row r="39">
      <c r="C39" s="85" t="s">
        <v>8</v>
      </c>
      <c r="D39" s="57" t="s">
        <v>182</v>
      </c>
      <c r="E39" s="87">
        <f>IFERROR(__xludf.DUMMYFUNCTION("COUNTA(SPLIT(D39,"" ""))/COUNTA(SPLIT($B$37,"" ""))"),0.10049627791563276)</f>
        <v>0.1004962779</v>
      </c>
      <c r="F39" s="7">
        <v>3.0</v>
      </c>
      <c r="G39" s="7">
        <v>5.0</v>
      </c>
      <c r="H39" s="7">
        <v>5.0</v>
      </c>
      <c r="I39" s="7">
        <v>5.0</v>
      </c>
      <c r="J39" s="7">
        <v>3.0</v>
      </c>
      <c r="K39" s="56"/>
      <c r="L39" s="56"/>
      <c r="M39" s="56"/>
      <c r="N39" s="56"/>
      <c r="O39" s="56"/>
      <c r="P39" s="56"/>
      <c r="Q39" s="56"/>
      <c r="R39" s="56"/>
      <c r="S39" s="56"/>
      <c r="T39" s="56"/>
      <c r="U39" s="56"/>
      <c r="V39" s="56"/>
      <c r="W39" s="56"/>
      <c r="X39" s="56"/>
      <c r="Y39" s="56"/>
      <c r="Z39" s="56"/>
      <c r="AA39" s="56"/>
      <c r="AB39" s="56"/>
    </row>
    <row r="40">
      <c r="C40" s="85" t="s">
        <v>23</v>
      </c>
      <c r="D40" s="57" t="s">
        <v>183</v>
      </c>
      <c r="E40" s="88">
        <f>IFERROR(__xludf.DUMMYFUNCTION("COUNTA(SPLIT(D40,"" ""))/COUNTA(SPLIT($B$37,"" ""))"),0.06141439205955335)</f>
        <v>0.06141439206</v>
      </c>
      <c r="F40" s="7">
        <v>5.0</v>
      </c>
      <c r="G40" s="7">
        <v>5.0</v>
      </c>
      <c r="H40" s="7">
        <v>5.0</v>
      </c>
      <c r="I40" s="7">
        <v>5.0</v>
      </c>
      <c r="J40" s="7">
        <v>3.0</v>
      </c>
      <c r="K40" s="56"/>
      <c r="L40" s="56"/>
      <c r="M40" s="56"/>
      <c r="N40" s="56"/>
      <c r="O40" s="56"/>
      <c r="P40" s="56"/>
      <c r="Q40" s="56"/>
      <c r="R40" s="56"/>
      <c r="S40" s="56"/>
      <c r="T40" s="56"/>
      <c r="U40" s="56"/>
      <c r="V40" s="56"/>
      <c r="W40" s="56"/>
      <c r="X40" s="56"/>
      <c r="Y40" s="56"/>
      <c r="Z40" s="56"/>
      <c r="AA40" s="56"/>
      <c r="AB40" s="56"/>
    </row>
    <row r="41">
      <c r="A41" s="75"/>
      <c r="B41" s="69"/>
      <c r="C41" s="60"/>
      <c r="D41" s="61"/>
      <c r="E41" s="69"/>
      <c r="F41" s="60"/>
      <c r="G41" s="60"/>
      <c r="H41" s="60"/>
      <c r="I41" s="60"/>
      <c r="J41" s="60"/>
      <c r="K41" s="56"/>
      <c r="L41" s="56"/>
      <c r="M41" s="56"/>
      <c r="N41" s="56"/>
      <c r="O41" s="56"/>
      <c r="P41" s="56"/>
      <c r="Q41" s="56"/>
      <c r="R41" s="56"/>
      <c r="S41" s="56"/>
      <c r="T41" s="56"/>
      <c r="U41" s="56"/>
      <c r="V41" s="56"/>
      <c r="W41" s="56"/>
      <c r="X41" s="56"/>
      <c r="Y41" s="56"/>
      <c r="Z41" s="56"/>
      <c r="AA41" s="56"/>
      <c r="AB41" s="56"/>
    </row>
    <row r="42">
      <c r="A42" s="89" t="s">
        <v>65</v>
      </c>
      <c r="B42" s="90" t="s">
        <v>66</v>
      </c>
      <c r="C42" s="81" t="s">
        <v>21</v>
      </c>
      <c r="D42" s="82" t="s">
        <v>184</v>
      </c>
      <c r="E42" s="83">
        <f>IFERROR(__xludf.DUMMYFUNCTION("COUNTA(SPLIT(D42,"" ""))/COUNTA(SPLIT($B$42,"" ""))"),0.14405204460966542)</f>
        <v>0.1440520446</v>
      </c>
      <c r="F42" s="7">
        <v>5.0</v>
      </c>
      <c r="G42" s="7">
        <v>5.0</v>
      </c>
      <c r="H42" s="7">
        <v>5.0</v>
      </c>
      <c r="I42" s="7">
        <v>4.0</v>
      </c>
      <c r="J42" s="7">
        <v>5.0</v>
      </c>
      <c r="K42" s="56"/>
      <c r="L42" s="56"/>
      <c r="M42" s="56"/>
      <c r="N42" s="56"/>
      <c r="O42" s="56"/>
      <c r="P42" s="56"/>
      <c r="Q42" s="56"/>
      <c r="R42" s="56"/>
      <c r="S42" s="56"/>
      <c r="T42" s="56"/>
      <c r="U42" s="56"/>
      <c r="V42" s="56"/>
      <c r="W42" s="56"/>
      <c r="X42" s="56"/>
      <c r="Y42" s="56"/>
      <c r="Z42" s="56"/>
      <c r="AA42" s="56"/>
      <c r="AB42" s="56"/>
    </row>
    <row r="43">
      <c r="C43" s="85" t="s">
        <v>22</v>
      </c>
      <c r="D43" s="57" t="s">
        <v>185</v>
      </c>
      <c r="E43" s="86">
        <f>IFERROR(__xludf.DUMMYFUNCTION("COUNTA(SPLIT(D43,"" ""))/COUNTA(SPLIT($B$42,"" ""))"),0.17007434944237917)</f>
        <v>0.1700743494</v>
      </c>
      <c r="F43" s="7">
        <v>3.0</v>
      </c>
      <c r="G43" s="7">
        <v>4.0</v>
      </c>
      <c r="H43" s="7">
        <v>5.0</v>
      </c>
      <c r="I43" s="7">
        <v>5.0</v>
      </c>
      <c r="J43" s="7">
        <v>5.0</v>
      </c>
      <c r="K43" s="56"/>
      <c r="L43" s="56"/>
      <c r="M43" s="56"/>
      <c r="N43" s="56"/>
      <c r="O43" s="56"/>
      <c r="P43" s="56"/>
      <c r="Q43" s="56"/>
      <c r="R43" s="56"/>
      <c r="S43" s="56"/>
      <c r="T43" s="56"/>
      <c r="U43" s="56"/>
      <c r="V43" s="56"/>
      <c r="W43" s="56"/>
      <c r="X43" s="56"/>
      <c r="Y43" s="56"/>
      <c r="Z43" s="56"/>
      <c r="AA43" s="56"/>
      <c r="AB43" s="56"/>
    </row>
    <row r="44">
      <c r="C44" s="85" t="s">
        <v>8</v>
      </c>
      <c r="D44" s="57" t="s">
        <v>186</v>
      </c>
      <c r="E44" s="87">
        <f>IFERROR(__xludf.DUMMYFUNCTION("COUNTA(SPLIT(D44,"" ""))/COUNTA(SPLIT($B$42,"" ""))"),0.1979553903345725)</f>
        <v>0.1979553903</v>
      </c>
      <c r="F44" s="7">
        <v>3.0</v>
      </c>
      <c r="G44" s="7">
        <v>5.0</v>
      </c>
      <c r="H44" s="7">
        <v>5.0</v>
      </c>
      <c r="I44" s="7">
        <v>4.0</v>
      </c>
      <c r="J44" s="7">
        <v>5.0</v>
      </c>
      <c r="K44" s="56"/>
      <c r="L44" s="56"/>
      <c r="M44" s="56"/>
      <c r="N44" s="56"/>
      <c r="O44" s="56"/>
      <c r="P44" s="56"/>
      <c r="Q44" s="56"/>
      <c r="R44" s="56"/>
      <c r="S44" s="56"/>
      <c r="T44" s="56"/>
      <c r="U44" s="56"/>
      <c r="V44" s="56"/>
      <c r="W44" s="56"/>
      <c r="X44" s="56"/>
      <c r="Y44" s="56"/>
      <c r="Z44" s="56"/>
      <c r="AA44" s="56"/>
      <c r="AB44" s="56"/>
    </row>
    <row r="45">
      <c r="C45" s="85" t="s">
        <v>23</v>
      </c>
      <c r="D45" s="57" t="s">
        <v>187</v>
      </c>
      <c r="E45" s="88">
        <f>IFERROR(__xludf.DUMMYFUNCTION("COUNTA(SPLIT(D45,"" ""))/COUNTA(SPLIT($B$42,"" ""))"),0.11895910780669144)</f>
        <v>0.1189591078</v>
      </c>
      <c r="F45" s="7">
        <v>5.0</v>
      </c>
      <c r="G45" s="7">
        <v>5.0</v>
      </c>
      <c r="H45" s="7">
        <v>5.0</v>
      </c>
      <c r="I45" s="7">
        <v>4.0</v>
      </c>
      <c r="J45" s="7">
        <v>5.0</v>
      </c>
      <c r="K45" s="56"/>
      <c r="L45" s="56"/>
      <c r="M45" s="56"/>
      <c r="N45" s="56"/>
      <c r="O45" s="56"/>
      <c r="P45" s="56"/>
      <c r="Q45" s="56"/>
      <c r="R45" s="56"/>
      <c r="S45" s="56"/>
      <c r="T45" s="56"/>
      <c r="U45" s="56"/>
      <c r="V45" s="56"/>
      <c r="W45" s="56"/>
      <c r="X45" s="56"/>
      <c r="Y45" s="56"/>
      <c r="Z45" s="56"/>
      <c r="AA45" s="56"/>
      <c r="AB45" s="56"/>
    </row>
    <row r="46">
      <c r="A46" s="75"/>
      <c r="B46" s="69"/>
      <c r="C46" s="60"/>
      <c r="D46" s="61"/>
      <c r="E46" s="69"/>
      <c r="F46" s="60"/>
      <c r="G46" s="60"/>
      <c r="H46" s="60"/>
      <c r="I46" s="60"/>
      <c r="J46" s="60"/>
      <c r="K46" s="56"/>
      <c r="L46" s="56"/>
      <c r="M46" s="56"/>
      <c r="N46" s="56"/>
      <c r="O46" s="56"/>
      <c r="P46" s="56"/>
      <c r="Q46" s="56"/>
      <c r="R46" s="56"/>
      <c r="S46" s="56"/>
      <c r="T46" s="56"/>
      <c r="U46" s="56"/>
      <c r="V46" s="56"/>
      <c r="W46" s="56"/>
      <c r="X46" s="56"/>
      <c r="Y46" s="56"/>
      <c r="Z46" s="56"/>
      <c r="AA46" s="56"/>
      <c r="AB46" s="56"/>
    </row>
    <row r="47">
      <c r="A47" s="89" t="s">
        <v>69</v>
      </c>
      <c r="B47" s="90" t="s">
        <v>70</v>
      </c>
      <c r="C47" s="81" t="s">
        <v>21</v>
      </c>
      <c r="D47" s="82" t="s">
        <v>188</v>
      </c>
      <c r="E47" s="83">
        <f>IFERROR(__xludf.DUMMYFUNCTION("COUNTA(SPLIT(D47,"" ""))/COUNTA(SPLIT($B$47,"" ""))"),0.36470588235294116)</f>
        <v>0.3647058824</v>
      </c>
      <c r="F47" s="7">
        <v>3.0</v>
      </c>
      <c r="G47" s="7">
        <v>5.0</v>
      </c>
      <c r="H47" s="7">
        <v>5.0</v>
      </c>
      <c r="I47" s="7">
        <v>4.0</v>
      </c>
      <c r="J47" s="7">
        <v>5.0</v>
      </c>
      <c r="K47" s="56"/>
      <c r="L47" s="56"/>
      <c r="M47" s="56"/>
      <c r="N47" s="56"/>
      <c r="O47" s="56"/>
      <c r="P47" s="56"/>
      <c r="Q47" s="56"/>
      <c r="R47" s="56"/>
      <c r="S47" s="56"/>
      <c r="T47" s="56"/>
      <c r="U47" s="56"/>
      <c r="V47" s="56"/>
      <c r="W47" s="56"/>
      <c r="X47" s="56"/>
      <c r="Y47" s="56"/>
      <c r="Z47" s="56"/>
      <c r="AA47" s="56"/>
      <c r="AB47" s="56"/>
    </row>
    <row r="48">
      <c r="C48" s="85" t="s">
        <v>22</v>
      </c>
      <c r="D48" s="57" t="s">
        <v>189</v>
      </c>
      <c r="E48" s="86">
        <f>IFERROR(__xludf.DUMMYFUNCTION("COUNTA(SPLIT(D48,"" ""))/COUNTA(SPLIT($B$47,"" ""))"),0.34509803921568627)</f>
        <v>0.3450980392</v>
      </c>
      <c r="F48" s="7">
        <v>3.0</v>
      </c>
      <c r="G48" s="7">
        <v>5.0</v>
      </c>
      <c r="H48" s="7">
        <v>5.0</v>
      </c>
      <c r="I48" s="7">
        <v>4.0</v>
      </c>
      <c r="J48" s="7">
        <v>5.0</v>
      </c>
      <c r="K48" s="56"/>
      <c r="L48" s="56"/>
      <c r="M48" s="56"/>
      <c r="N48" s="56"/>
      <c r="O48" s="56"/>
      <c r="P48" s="56"/>
      <c r="Q48" s="56"/>
      <c r="R48" s="56"/>
      <c r="S48" s="56"/>
      <c r="T48" s="56"/>
      <c r="U48" s="56"/>
      <c r="V48" s="56"/>
      <c r="W48" s="56"/>
      <c r="X48" s="56"/>
      <c r="Y48" s="56"/>
      <c r="Z48" s="56"/>
      <c r="AA48" s="56"/>
      <c r="AB48" s="56"/>
    </row>
    <row r="49">
      <c r="C49" s="85" t="s">
        <v>8</v>
      </c>
      <c r="D49" s="57" t="s">
        <v>190</v>
      </c>
      <c r="E49" s="87">
        <f>IFERROR(__xludf.DUMMYFUNCTION("COUNTA(SPLIT(D49,"" ""))/COUNTA(SPLIT($B$47,"" ""))"),0.3764705882352941)</f>
        <v>0.3764705882</v>
      </c>
      <c r="F49" s="7">
        <v>3.0</v>
      </c>
      <c r="G49" s="7">
        <v>5.0</v>
      </c>
      <c r="H49" s="7">
        <v>5.0</v>
      </c>
      <c r="I49" s="7">
        <v>2.0</v>
      </c>
      <c r="J49" s="7">
        <v>3.0</v>
      </c>
      <c r="K49" s="56"/>
      <c r="L49" s="56"/>
      <c r="M49" s="56"/>
      <c r="N49" s="56"/>
      <c r="O49" s="56"/>
      <c r="P49" s="56"/>
      <c r="Q49" s="56"/>
      <c r="R49" s="56"/>
      <c r="S49" s="56"/>
      <c r="T49" s="56"/>
      <c r="U49" s="56"/>
      <c r="V49" s="56"/>
      <c r="W49" s="56"/>
      <c r="X49" s="56"/>
      <c r="Y49" s="56"/>
      <c r="Z49" s="56"/>
      <c r="AA49" s="56"/>
      <c r="AB49" s="56"/>
    </row>
    <row r="50">
      <c r="C50" s="85" t="s">
        <v>23</v>
      </c>
      <c r="D50" s="57" t="s">
        <v>191</v>
      </c>
      <c r="E50" s="88">
        <f>IFERROR(__xludf.DUMMYFUNCTION("COUNTA(SPLIT(D50,"" ""))/COUNTA(SPLIT($B$47,"" ""))"),0.23333333333333334)</f>
        <v>0.2333333333</v>
      </c>
      <c r="F50" s="7">
        <v>2.0</v>
      </c>
      <c r="G50" s="7">
        <v>5.0</v>
      </c>
      <c r="H50" s="7">
        <v>5.0</v>
      </c>
      <c r="I50" s="7">
        <v>4.0</v>
      </c>
      <c r="J50" s="7">
        <v>4.0</v>
      </c>
      <c r="K50" s="56"/>
      <c r="L50" s="56"/>
      <c r="M50" s="56"/>
      <c r="N50" s="56"/>
      <c r="O50" s="56"/>
      <c r="P50" s="56"/>
      <c r="Q50" s="56"/>
      <c r="R50" s="56"/>
      <c r="S50" s="56"/>
      <c r="T50" s="56"/>
      <c r="U50" s="56"/>
      <c r="V50" s="56"/>
      <c r="W50" s="56"/>
      <c r="X50" s="56"/>
      <c r="Y50" s="56"/>
      <c r="Z50" s="56"/>
      <c r="AA50" s="56"/>
      <c r="AB50" s="56"/>
    </row>
    <row r="51">
      <c r="A51" s="75"/>
      <c r="B51" s="69"/>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75"/>
      <c r="B52" s="69"/>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75"/>
      <c r="B53" s="69"/>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75"/>
      <c r="B54" s="69"/>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75"/>
      <c r="B55" s="69"/>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75"/>
      <c r="B56" s="69"/>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75"/>
      <c r="B57" s="69"/>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75"/>
      <c r="B58" s="69"/>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75"/>
      <c r="B59" s="69"/>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75"/>
      <c r="B60" s="69"/>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75"/>
      <c r="B61" s="69"/>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75"/>
      <c r="B62" s="69"/>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75"/>
      <c r="B63" s="69"/>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75"/>
      <c r="B64" s="69"/>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75"/>
      <c r="B65" s="69"/>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75"/>
      <c r="B66" s="69"/>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75"/>
      <c r="B67" s="69"/>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75"/>
      <c r="B68" s="69"/>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75"/>
      <c r="B69" s="69"/>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75"/>
      <c r="B70" s="69"/>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75"/>
      <c r="B71" s="69"/>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75"/>
      <c r="B72" s="69"/>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75"/>
      <c r="B73" s="69"/>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75"/>
      <c r="B74" s="69"/>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75"/>
      <c r="B75" s="69"/>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75"/>
      <c r="B76" s="69"/>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75"/>
      <c r="B77" s="69"/>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75"/>
      <c r="B78" s="69"/>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75"/>
      <c r="B79" s="69"/>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75"/>
      <c r="B80" s="69"/>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75"/>
      <c r="B81" s="69"/>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75"/>
      <c r="B82" s="69"/>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75"/>
      <c r="B83" s="69"/>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75"/>
      <c r="B84" s="69"/>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75"/>
      <c r="B85" s="69"/>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75"/>
      <c r="B86" s="69"/>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75"/>
      <c r="B87" s="69"/>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75"/>
      <c r="B88" s="69"/>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75"/>
      <c r="B89" s="69"/>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75"/>
      <c r="B90" s="69"/>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75"/>
      <c r="B91" s="69"/>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75"/>
      <c r="B92" s="69"/>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75"/>
      <c r="B93" s="69"/>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75"/>
      <c r="B94" s="69"/>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75"/>
      <c r="B95" s="69"/>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75"/>
      <c r="B96" s="69"/>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75"/>
      <c r="B97" s="69"/>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75"/>
      <c r="B98" s="69"/>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75"/>
      <c r="B99" s="69"/>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75"/>
      <c r="B100" s="69"/>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75"/>
      <c r="B101" s="69"/>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75"/>
      <c r="B102" s="69"/>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75"/>
      <c r="B103" s="69"/>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75"/>
      <c r="B104" s="69"/>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75"/>
      <c r="B105" s="69"/>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75"/>
      <c r="B106" s="69"/>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75"/>
      <c r="B107" s="69"/>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75"/>
      <c r="B108" s="69"/>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75"/>
      <c r="B109" s="69"/>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75"/>
      <c r="B110" s="69"/>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75"/>
      <c r="B111" s="69"/>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75"/>
      <c r="B112" s="69"/>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75"/>
      <c r="B113" s="69"/>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75"/>
      <c r="B114" s="69"/>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75"/>
      <c r="B115" s="69"/>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75"/>
      <c r="B116" s="69"/>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75"/>
      <c r="B117" s="69"/>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75"/>
      <c r="B118" s="69"/>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75"/>
      <c r="B119" s="69"/>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75"/>
      <c r="B120" s="69"/>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75"/>
      <c r="B121" s="69"/>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75"/>
      <c r="B122" s="69"/>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75"/>
      <c r="B123" s="69"/>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75"/>
      <c r="B124" s="69"/>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75"/>
      <c r="B125" s="69"/>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75"/>
      <c r="B126" s="69"/>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75"/>
      <c r="B127" s="69"/>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75"/>
      <c r="B128" s="69"/>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75"/>
      <c r="B129" s="69"/>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75"/>
      <c r="B130" s="69"/>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75"/>
      <c r="B131" s="69"/>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75"/>
      <c r="B132" s="69"/>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75"/>
      <c r="B133" s="69"/>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75"/>
      <c r="B134" s="69"/>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75"/>
      <c r="B135" s="69"/>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75"/>
      <c r="B136" s="69"/>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75"/>
      <c r="B137" s="69"/>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75"/>
      <c r="B138" s="69"/>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75"/>
      <c r="B139" s="69"/>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75"/>
      <c r="B140" s="69"/>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75"/>
      <c r="B141" s="69"/>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75"/>
      <c r="B142" s="69"/>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75"/>
      <c r="B143" s="69"/>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75"/>
      <c r="B144" s="69"/>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75"/>
      <c r="B145" s="69"/>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75"/>
      <c r="B146" s="69"/>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75"/>
      <c r="B147" s="69"/>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75"/>
      <c r="B148" s="69"/>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75"/>
      <c r="B149" s="69"/>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75"/>
      <c r="B150" s="69"/>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75"/>
      <c r="B151" s="69"/>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75"/>
      <c r="B152" s="69"/>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75"/>
      <c r="B153" s="69"/>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75"/>
      <c r="B154" s="69"/>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75"/>
      <c r="B155" s="69"/>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75"/>
      <c r="B156" s="69"/>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75"/>
      <c r="B157" s="69"/>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75"/>
      <c r="B158" s="69"/>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75"/>
      <c r="B159" s="69"/>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75"/>
      <c r="B160" s="69"/>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75"/>
      <c r="B161" s="69"/>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75"/>
      <c r="B162" s="69"/>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75"/>
      <c r="B163" s="69"/>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75"/>
      <c r="B164" s="69"/>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75"/>
      <c r="B165" s="69"/>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75"/>
      <c r="B166" s="69"/>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75"/>
      <c r="B167" s="69"/>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75"/>
      <c r="B168" s="69"/>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75"/>
      <c r="B169" s="69"/>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75"/>
      <c r="B170" s="69"/>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75"/>
      <c r="B171" s="69"/>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75"/>
      <c r="B172" s="69"/>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75"/>
      <c r="B173" s="69"/>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75"/>
      <c r="B174" s="69"/>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75"/>
      <c r="B175" s="69"/>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75"/>
      <c r="B176" s="69"/>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75"/>
      <c r="B177" s="69"/>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75"/>
      <c r="B178" s="69"/>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75"/>
      <c r="B179" s="69"/>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75"/>
      <c r="B180" s="69"/>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75"/>
      <c r="B181" s="69"/>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75"/>
      <c r="B182" s="69"/>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75"/>
      <c r="B183" s="69"/>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75"/>
      <c r="B184" s="69"/>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75"/>
      <c r="B185" s="69"/>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75"/>
      <c r="B186" s="69"/>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75"/>
      <c r="B187" s="69"/>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75"/>
      <c r="B188" s="69"/>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75"/>
      <c r="B189" s="69"/>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75"/>
      <c r="B190" s="69"/>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75"/>
      <c r="B191" s="69"/>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75"/>
      <c r="B192" s="69"/>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75"/>
      <c r="B193" s="69"/>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75"/>
      <c r="B194" s="69"/>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75"/>
      <c r="B195" s="69"/>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75"/>
      <c r="B196" s="69"/>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75"/>
      <c r="B197" s="69"/>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75"/>
      <c r="B198" s="69"/>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75"/>
      <c r="B199" s="69"/>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75"/>
      <c r="B200" s="69"/>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75"/>
      <c r="B201" s="69"/>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75"/>
      <c r="B202" s="69"/>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75"/>
      <c r="B203" s="69"/>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75"/>
      <c r="B204" s="69"/>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75"/>
      <c r="B205" s="69"/>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75"/>
      <c r="B206" s="69"/>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75"/>
      <c r="B207" s="69"/>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75"/>
      <c r="B208" s="69"/>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75"/>
      <c r="B209" s="69"/>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75"/>
      <c r="B210" s="69"/>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75"/>
      <c r="B211" s="69"/>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75"/>
      <c r="B212" s="69"/>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75"/>
      <c r="B213" s="69"/>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75"/>
      <c r="B214" s="69"/>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75"/>
      <c r="B215" s="69"/>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75"/>
      <c r="B216" s="69"/>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75"/>
      <c r="B217" s="69"/>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75"/>
      <c r="B218" s="69"/>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75"/>
      <c r="B219" s="69"/>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75"/>
      <c r="B220" s="69"/>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75"/>
      <c r="B221" s="69"/>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75"/>
      <c r="B222" s="69"/>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75"/>
      <c r="B223" s="69"/>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75"/>
      <c r="B224" s="69"/>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75"/>
      <c r="B225" s="69"/>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75"/>
      <c r="B226" s="69"/>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75"/>
      <c r="B227" s="69"/>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75"/>
      <c r="B228" s="69"/>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75"/>
      <c r="B229" s="69"/>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75"/>
      <c r="B230" s="69"/>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75"/>
      <c r="B231" s="69"/>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75"/>
      <c r="B232" s="69"/>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75"/>
      <c r="B233" s="69"/>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75"/>
      <c r="B234" s="69"/>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75"/>
      <c r="B235" s="69"/>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75"/>
      <c r="B236" s="69"/>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75"/>
      <c r="B237" s="69"/>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75"/>
      <c r="B238" s="69"/>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75"/>
      <c r="B239" s="69"/>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75"/>
      <c r="B240" s="69"/>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75"/>
      <c r="B241" s="69"/>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75"/>
      <c r="B242" s="69"/>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75"/>
      <c r="B243" s="69"/>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75"/>
      <c r="B244" s="69"/>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75"/>
      <c r="B245" s="69"/>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75"/>
      <c r="B246" s="69"/>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75"/>
      <c r="B247" s="69"/>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75"/>
      <c r="B248" s="69"/>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75"/>
      <c r="B249" s="69"/>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75"/>
      <c r="B250" s="69"/>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75"/>
      <c r="B251" s="69"/>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75"/>
      <c r="B252" s="69"/>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75"/>
      <c r="B253" s="69"/>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75"/>
      <c r="B254" s="69"/>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75"/>
      <c r="B255" s="69"/>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75"/>
      <c r="B256" s="69"/>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75"/>
      <c r="B257" s="69"/>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75"/>
      <c r="B258" s="69"/>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75"/>
      <c r="B259" s="69"/>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75"/>
      <c r="B260" s="69"/>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75"/>
      <c r="B261" s="69"/>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75"/>
      <c r="B262" s="69"/>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75"/>
      <c r="B263" s="69"/>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75"/>
      <c r="B264" s="69"/>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75"/>
      <c r="B265" s="69"/>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75"/>
      <c r="B266" s="69"/>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75"/>
      <c r="B267" s="69"/>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75"/>
      <c r="B268" s="69"/>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75"/>
      <c r="B269" s="69"/>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75"/>
      <c r="B270" s="69"/>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75"/>
      <c r="B271" s="69"/>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75"/>
      <c r="B272" s="69"/>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75"/>
      <c r="B273" s="69"/>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75"/>
      <c r="B274" s="69"/>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75"/>
      <c r="B275" s="69"/>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75"/>
      <c r="B276" s="69"/>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75"/>
      <c r="B277" s="69"/>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75"/>
      <c r="B278" s="69"/>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75"/>
      <c r="B279" s="69"/>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75"/>
      <c r="B280" s="69"/>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75"/>
      <c r="B281" s="69"/>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75"/>
      <c r="B282" s="69"/>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75"/>
      <c r="B283" s="69"/>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75"/>
      <c r="B284" s="69"/>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75"/>
      <c r="B285" s="69"/>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75"/>
      <c r="B286" s="69"/>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75"/>
      <c r="B287" s="69"/>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75"/>
      <c r="B288" s="69"/>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75"/>
      <c r="B289" s="69"/>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75"/>
      <c r="B290" s="69"/>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75"/>
      <c r="B291" s="69"/>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75"/>
      <c r="B292" s="69"/>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75"/>
      <c r="B293" s="69"/>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75"/>
      <c r="B294" s="69"/>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75"/>
      <c r="B295" s="69"/>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75"/>
      <c r="B296" s="69"/>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75"/>
      <c r="B297" s="69"/>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75"/>
      <c r="B298" s="69"/>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75"/>
      <c r="B299" s="69"/>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75"/>
      <c r="B300" s="69"/>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75"/>
      <c r="B301" s="69"/>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75"/>
      <c r="B302" s="69"/>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75"/>
      <c r="B303" s="69"/>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75"/>
      <c r="B304" s="69"/>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75"/>
      <c r="B305" s="69"/>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75"/>
      <c r="B306" s="69"/>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75"/>
      <c r="B307" s="69"/>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75"/>
      <c r="B308" s="69"/>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75"/>
      <c r="B309" s="69"/>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75"/>
      <c r="B310" s="69"/>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75"/>
      <c r="B311" s="69"/>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75"/>
      <c r="B312" s="69"/>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75"/>
      <c r="B313" s="69"/>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75"/>
      <c r="B314" s="69"/>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75"/>
      <c r="B315" s="69"/>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75"/>
      <c r="B316" s="69"/>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75"/>
      <c r="B317" s="69"/>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75"/>
      <c r="B318" s="69"/>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75"/>
      <c r="B319" s="69"/>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75"/>
      <c r="B320" s="69"/>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75"/>
      <c r="B321" s="69"/>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75"/>
      <c r="B322" s="69"/>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75"/>
      <c r="B323" s="69"/>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75"/>
      <c r="B324" s="69"/>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75"/>
      <c r="B325" s="69"/>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75"/>
      <c r="B326" s="69"/>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75"/>
      <c r="B327" s="69"/>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75"/>
      <c r="B328" s="69"/>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75"/>
      <c r="B329" s="69"/>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75"/>
      <c r="B330" s="69"/>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75"/>
      <c r="B331" s="69"/>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75"/>
      <c r="B332" s="69"/>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75"/>
      <c r="B333" s="69"/>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75"/>
      <c r="B334" s="69"/>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75"/>
      <c r="B335" s="69"/>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75"/>
      <c r="B336" s="69"/>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75"/>
      <c r="B337" s="69"/>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75"/>
      <c r="B338" s="69"/>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75"/>
      <c r="B339" s="69"/>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75"/>
      <c r="B340" s="69"/>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75"/>
      <c r="B341" s="69"/>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75"/>
      <c r="B342" s="69"/>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75"/>
      <c r="B343" s="69"/>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75"/>
      <c r="B344" s="69"/>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75"/>
      <c r="B345" s="69"/>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75"/>
      <c r="B346" s="69"/>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75"/>
      <c r="B347" s="69"/>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75"/>
      <c r="B348" s="69"/>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75"/>
      <c r="B349" s="69"/>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75"/>
      <c r="B350" s="69"/>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75"/>
      <c r="B351" s="69"/>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75"/>
      <c r="B352" s="69"/>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75"/>
      <c r="B353" s="69"/>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75"/>
      <c r="B354" s="69"/>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75"/>
      <c r="B355" s="69"/>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75"/>
      <c r="B356" s="69"/>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75"/>
      <c r="B357" s="69"/>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75"/>
      <c r="B358" s="69"/>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75"/>
      <c r="B359" s="69"/>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75"/>
      <c r="B360" s="69"/>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75"/>
      <c r="B361" s="69"/>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75"/>
      <c r="B362" s="69"/>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75"/>
      <c r="B363" s="69"/>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75"/>
      <c r="B364" s="69"/>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75"/>
      <c r="B365" s="69"/>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75"/>
      <c r="B366" s="69"/>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75"/>
      <c r="B367" s="69"/>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75"/>
      <c r="B368" s="69"/>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75"/>
      <c r="B369" s="69"/>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75"/>
      <c r="B370" s="69"/>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75"/>
      <c r="B371" s="69"/>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75"/>
      <c r="B372" s="69"/>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75"/>
      <c r="B373" s="69"/>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75"/>
      <c r="B374" s="69"/>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75"/>
      <c r="B375" s="69"/>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75"/>
      <c r="B376" s="69"/>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75"/>
      <c r="B377" s="69"/>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75"/>
      <c r="B378" s="69"/>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75"/>
      <c r="B379" s="69"/>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75"/>
      <c r="B380" s="69"/>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75"/>
      <c r="B381" s="69"/>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75"/>
      <c r="B382" s="69"/>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75"/>
      <c r="B383" s="69"/>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75"/>
      <c r="B384" s="69"/>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75"/>
      <c r="B385" s="69"/>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75"/>
      <c r="B386" s="69"/>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75"/>
      <c r="B387" s="69"/>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75"/>
      <c r="B388" s="69"/>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75"/>
      <c r="B389" s="69"/>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75"/>
      <c r="B390" s="69"/>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75"/>
      <c r="B391" s="69"/>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75"/>
      <c r="B392" s="69"/>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75"/>
      <c r="B393" s="69"/>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75"/>
      <c r="B394" s="69"/>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75"/>
      <c r="B395" s="69"/>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75"/>
      <c r="B396" s="69"/>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75"/>
      <c r="B397" s="69"/>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75"/>
      <c r="B398" s="69"/>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75"/>
      <c r="B399" s="69"/>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75"/>
      <c r="B400" s="69"/>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75"/>
      <c r="B401" s="69"/>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75"/>
      <c r="B402" s="69"/>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75"/>
      <c r="B403" s="69"/>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75"/>
      <c r="B404" s="69"/>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75"/>
      <c r="B405" s="69"/>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75"/>
      <c r="B406" s="69"/>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75"/>
      <c r="B407" s="69"/>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75"/>
      <c r="B408" s="69"/>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75"/>
      <c r="B409" s="69"/>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75"/>
      <c r="B410" s="69"/>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75"/>
      <c r="B411" s="69"/>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75"/>
      <c r="B412" s="69"/>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75"/>
      <c r="B413" s="69"/>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75"/>
      <c r="B414" s="69"/>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75"/>
      <c r="B415" s="69"/>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75"/>
      <c r="B416" s="69"/>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75"/>
      <c r="B417" s="69"/>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75"/>
      <c r="B418" s="69"/>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75"/>
      <c r="B419" s="69"/>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75"/>
      <c r="B420" s="69"/>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75"/>
      <c r="B421" s="69"/>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75"/>
      <c r="B422" s="69"/>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75"/>
      <c r="B423" s="69"/>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75"/>
      <c r="B424" s="69"/>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75"/>
      <c r="B425" s="69"/>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75"/>
      <c r="B426" s="69"/>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75"/>
      <c r="B427" s="69"/>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75"/>
      <c r="B428" s="69"/>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75"/>
      <c r="B429" s="69"/>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75"/>
      <c r="B430" s="69"/>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75"/>
      <c r="B431" s="69"/>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75"/>
      <c r="B432" s="69"/>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75"/>
      <c r="B433" s="69"/>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75"/>
      <c r="B434" s="69"/>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75"/>
      <c r="B435" s="69"/>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75"/>
      <c r="B436" s="69"/>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75"/>
      <c r="B437" s="69"/>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75"/>
      <c r="B438" s="69"/>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75"/>
      <c r="B439" s="69"/>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75"/>
      <c r="B440" s="69"/>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75"/>
      <c r="B441" s="69"/>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75"/>
      <c r="B442" s="69"/>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75"/>
      <c r="B443" s="69"/>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75"/>
      <c r="B444" s="69"/>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75"/>
      <c r="B445" s="69"/>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75"/>
      <c r="B446" s="69"/>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75"/>
      <c r="B447" s="69"/>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75"/>
      <c r="B448" s="69"/>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75"/>
      <c r="B449" s="69"/>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75"/>
      <c r="B450" s="69"/>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75"/>
      <c r="B451" s="69"/>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75"/>
      <c r="B452" s="69"/>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75"/>
      <c r="B453" s="69"/>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75"/>
      <c r="B454" s="69"/>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75"/>
      <c r="B455" s="69"/>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75"/>
      <c r="B456" s="69"/>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75"/>
      <c r="B457" s="69"/>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75"/>
      <c r="B458" s="69"/>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75"/>
      <c r="B459" s="69"/>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75"/>
      <c r="B460" s="69"/>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75"/>
      <c r="B461" s="69"/>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75"/>
      <c r="B462" s="69"/>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75"/>
      <c r="B463" s="69"/>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75"/>
      <c r="B464" s="69"/>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75"/>
      <c r="B465" s="69"/>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75"/>
      <c r="B466" s="69"/>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75"/>
      <c r="B467" s="69"/>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75"/>
      <c r="B468" s="69"/>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75"/>
      <c r="B469" s="69"/>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75"/>
      <c r="B470" s="69"/>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75"/>
      <c r="B471" s="69"/>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75"/>
      <c r="B472" s="69"/>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75"/>
      <c r="B473" s="69"/>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75"/>
      <c r="B474" s="69"/>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75"/>
      <c r="B475" s="69"/>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75"/>
      <c r="B476" s="69"/>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75"/>
      <c r="B477" s="69"/>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75"/>
      <c r="B478" s="69"/>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75"/>
      <c r="B479" s="69"/>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75"/>
      <c r="B480" s="69"/>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75"/>
      <c r="B481" s="69"/>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75"/>
      <c r="B482" s="69"/>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75"/>
      <c r="B483" s="69"/>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75"/>
      <c r="B484" s="69"/>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75"/>
      <c r="B485" s="69"/>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75"/>
      <c r="B486" s="69"/>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75"/>
      <c r="B487" s="69"/>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75"/>
      <c r="B488" s="69"/>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75"/>
      <c r="B489" s="69"/>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75"/>
      <c r="B490" s="69"/>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75"/>
      <c r="B491" s="69"/>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75"/>
      <c r="B492" s="69"/>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75"/>
      <c r="B493" s="69"/>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75"/>
      <c r="B494" s="69"/>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75"/>
      <c r="B495" s="69"/>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75"/>
      <c r="B496" s="69"/>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75"/>
      <c r="B497" s="69"/>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75"/>
      <c r="B498" s="69"/>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75"/>
      <c r="B499" s="69"/>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75"/>
      <c r="B500" s="69"/>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75"/>
      <c r="B501" s="69"/>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75"/>
      <c r="B502" s="69"/>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75"/>
      <c r="B503" s="69"/>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75"/>
      <c r="B504" s="69"/>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75"/>
      <c r="B505" s="69"/>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75"/>
      <c r="B506" s="69"/>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75"/>
      <c r="B507" s="69"/>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75"/>
      <c r="B508" s="69"/>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75"/>
      <c r="B509" s="69"/>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75"/>
      <c r="B510" s="69"/>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75"/>
      <c r="B511" s="69"/>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75"/>
      <c r="B512" s="69"/>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75"/>
      <c r="B513" s="69"/>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75"/>
      <c r="B514" s="69"/>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75"/>
      <c r="B515" s="69"/>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75"/>
      <c r="B516" s="69"/>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75"/>
      <c r="B517" s="69"/>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75"/>
      <c r="B518" s="69"/>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75"/>
      <c r="B519" s="69"/>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75"/>
      <c r="B520" s="69"/>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75"/>
      <c r="B521" s="69"/>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75"/>
      <c r="B522" s="69"/>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75"/>
      <c r="B523" s="69"/>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75"/>
      <c r="B524" s="69"/>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75"/>
      <c r="B525" s="69"/>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75"/>
      <c r="B526" s="69"/>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75"/>
      <c r="B527" s="69"/>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75"/>
      <c r="B528" s="69"/>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75"/>
      <c r="B529" s="69"/>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75"/>
      <c r="B530" s="69"/>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75"/>
      <c r="B531" s="69"/>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75"/>
      <c r="B532" s="69"/>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75"/>
      <c r="B533" s="69"/>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75"/>
      <c r="B534" s="69"/>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75"/>
      <c r="B535" s="69"/>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75"/>
      <c r="B536" s="69"/>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75"/>
      <c r="B537" s="69"/>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75"/>
      <c r="B538" s="69"/>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75"/>
      <c r="B539" s="69"/>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75"/>
      <c r="B540" s="69"/>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75"/>
      <c r="B541" s="69"/>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75"/>
      <c r="B542" s="69"/>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75"/>
      <c r="B543" s="69"/>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75"/>
      <c r="B544" s="69"/>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75"/>
      <c r="B545" s="69"/>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75"/>
      <c r="B546" s="69"/>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75"/>
      <c r="B547" s="69"/>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75"/>
      <c r="B548" s="69"/>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75"/>
      <c r="B549" s="69"/>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75"/>
      <c r="B550" s="69"/>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75"/>
      <c r="B551" s="69"/>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75"/>
      <c r="B552" s="69"/>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75"/>
      <c r="B553" s="69"/>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75"/>
      <c r="B554" s="69"/>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75"/>
      <c r="B555" s="69"/>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75"/>
      <c r="B556" s="69"/>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75"/>
      <c r="B557" s="69"/>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75"/>
      <c r="B558" s="69"/>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75"/>
      <c r="B559" s="69"/>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75"/>
      <c r="B560" s="69"/>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75"/>
      <c r="B561" s="69"/>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75"/>
      <c r="B562" s="69"/>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75"/>
      <c r="B563" s="69"/>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75"/>
      <c r="B564" s="69"/>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75"/>
      <c r="B565" s="69"/>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75"/>
      <c r="B566" s="69"/>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75"/>
      <c r="B567" s="69"/>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75"/>
      <c r="B568" s="69"/>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75"/>
      <c r="B569" s="69"/>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75"/>
      <c r="B570" s="69"/>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75"/>
      <c r="B571" s="69"/>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75"/>
      <c r="B572" s="69"/>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75"/>
      <c r="B573" s="69"/>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75"/>
      <c r="B574" s="69"/>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75"/>
      <c r="B575" s="69"/>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75"/>
      <c r="B576" s="69"/>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75"/>
      <c r="B577" s="69"/>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75"/>
      <c r="B578" s="69"/>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75"/>
      <c r="B579" s="69"/>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75"/>
      <c r="B580" s="69"/>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75"/>
      <c r="B581" s="69"/>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75"/>
      <c r="B582" s="69"/>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75"/>
      <c r="B583" s="69"/>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75"/>
      <c r="B584" s="69"/>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75"/>
      <c r="B585" s="69"/>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75"/>
      <c r="B586" s="69"/>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75"/>
      <c r="B587" s="69"/>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75"/>
      <c r="B588" s="69"/>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75"/>
      <c r="B589" s="69"/>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75"/>
      <c r="B590" s="69"/>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75"/>
      <c r="B591" s="69"/>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75"/>
      <c r="B592" s="69"/>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75"/>
      <c r="B593" s="69"/>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75"/>
      <c r="B594" s="69"/>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75"/>
      <c r="B595" s="69"/>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75"/>
      <c r="B596" s="69"/>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75"/>
      <c r="B597" s="69"/>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75"/>
      <c r="B598" s="69"/>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75"/>
      <c r="B599" s="69"/>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75"/>
      <c r="B600" s="69"/>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75"/>
      <c r="B601" s="69"/>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75"/>
      <c r="B602" s="69"/>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75"/>
      <c r="B603" s="69"/>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75"/>
      <c r="B604" s="69"/>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75"/>
      <c r="B605" s="69"/>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75"/>
      <c r="B606" s="69"/>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75"/>
      <c r="B607" s="69"/>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75"/>
      <c r="B608" s="69"/>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75"/>
      <c r="B609" s="69"/>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75"/>
      <c r="B610" s="69"/>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75"/>
      <c r="B611" s="69"/>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75"/>
      <c r="B612" s="69"/>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75"/>
      <c r="B613" s="69"/>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75"/>
      <c r="B614" s="69"/>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75"/>
      <c r="B615" s="69"/>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75"/>
      <c r="B616" s="69"/>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75"/>
      <c r="B617" s="69"/>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75"/>
      <c r="B618" s="69"/>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75"/>
      <c r="B619" s="69"/>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75"/>
      <c r="B620" s="69"/>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75"/>
      <c r="B621" s="69"/>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75"/>
      <c r="B622" s="69"/>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75"/>
      <c r="B623" s="69"/>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75"/>
      <c r="B624" s="69"/>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75"/>
      <c r="B625" s="69"/>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75"/>
      <c r="B626" s="69"/>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75"/>
      <c r="B627" s="69"/>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75"/>
      <c r="B628" s="69"/>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75"/>
      <c r="B629" s="69"/>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75"/>
      <c r="B630" s="69"/>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75"/>
      <c r="B631" s="69"/>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75"/>
      <c r="B632" s="69"/>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75"/>
      <c r="B633" s="69"/>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75"/>
      <c r="B634" s="69"/>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75"/>
      <c r="B635" s="69"/>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75"/>
      <c r="B636" s="69"/>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75"/>
      <c r="B637" s="69"/>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75"/>
      <c r="B638" s="69"/>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75"/>
      <c r="B639" s="69"/>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75"/>
      <c r="B640" s="69"/>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75"/>
      <c r="B641" s="69"/>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75"/>
      <c r="B642" s="69"/>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75"/>
      <c r="B643" s="69"/>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75"/>
      <c r="B644" s="69"/>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75"/>
      <c r="B645" s="69"/>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75"/>
      <c r="B646" s="69"/>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75"/>
      <c r="B647" s="69"/>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75"/>
      <c r="B648" s="69"/>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75"/>
      <c r="B649" s="69"/>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75"/>
      <c r="B650" s="69"/>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75"/>
      <c r="B651" s="69"/>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75"/>
      <c r="B652" s="69"/>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75"/>
      <c r="B653" s="69"/>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75"/>
      <c r="B654" s="69"/>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75"/>
      <c r="B655" s="69"/>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75"/>
      <c r="B656" s="69"/>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75"/>
      <c r="B657" s="69"/>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75"/>
      <c r="B658" s="69"/>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75"/>
      <c r="B659" s="69"/>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75"/>
      <c r="B660" s="69"/>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75"/>
      <c r="B661" s="69"/>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75"/>
      <c r="B662" s="69"/>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75"/>
      <c r="B663" s="69"/>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75"/>
      <c r="B664" s="69"/>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75"/>
      <c r="B665" s="69"/>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75"/>
      <c r="B666" s="69"/>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75"/>
      <c r="B667" s="69"/>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75"/>
      <c r="B668" s="69"/>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75"/>
      <c r="B669" s="69"/>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75"/>
      <c r="B670" s="69"/>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75"/>
      <c r="B671" s="69"/>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75"/>
      <c r="B672" s="69"/>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75"/>
      <c r="B673" s="69"/>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75"/>
      <c r="B674" s="69"/>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75"/>
      <c r="B675" s="69"/>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75"/>
      <c r="B676" s="69"/>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75"/>
      <c r="B677" s="69"/>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75"/>
      <c r="B678" s="69"/>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75"/>
      <c r="B679" s="69"/>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75"/>
      <c r="B680" s="69"/>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75"/>
      <c r="B681" s="69"/>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75"/>
      <c r="B682" s="69"/>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75"/>
      <c r="B683" s="69"/>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75"/>
      <c r="B684" s="69"/>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75"/>
      <c r="B685" s="69"/>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75"/>
      <c r="B686" s="69"/>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75"/>
      <c r="B687" s="69"/>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75"/>
      <c r="B688" s="69"/>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75"/>
      <c r="B689" s="69"/>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75"/>
      <c r="B690" s="69"/>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75"/>
      <c r="B691" s="69"/>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75"/>
      <c r="B692" s="69"/>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75"/>
      <c r="B693" s="69"/>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75"/>
      <c r="B694" s="69"/>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75"/>
      <c r="B695" s="69"/>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75"/>
      <c r="B696" s="69"/>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75"/>
      <c r="B697" s="69"/>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75"/>
      <c r="B698" s="69"/>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75"/>
      <c r="B699" s="69"/>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75"/>
      <c r="B700" s="69"/>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75"/>
      <c r="B701" s="69"/>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75"/>
      <c r="B702" s="69"/>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75"/>
      <c r="B703" s="69"/>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75"/>
      <c r="B704" s="69"/>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75"/>
      <c r="B705" s="69"/>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75"/>
      <c r="B706" s="69"/>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75"/>
      <c r="B707" s="69"/>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75"/>
      <c r="B708" s="69"/>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75"/>
      <c r="B709" s="69"/>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75"/>
      <c r="B710" s="69"/>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75"/>
      <c r="B711" s="69"/>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75"/>
      <c r="B712" s="69"/>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75"/>
      <c r="B713" s="69"/>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75"/>
      <c r="B714" s="69"/>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75"/>
      <c r="B715" s="69"/>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75"/>
      <c r="B716" s="69"/>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75"/>
      <c r="B717" s="69"/>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75"/>
      <c r="B718" s="69"/>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75"/>
      <c r="B719" s="69"/>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75"/>
      <c r="B720" s="69"/>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75"/>
      <c r="B721" s="69"/>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75"/>
      <c r="B722" s="69"/>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75"/>
      <c r="B723" s="69"/>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75"/>
      <c r="B724" s="69"/>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75"/>
      <c r="B725" s="69"/>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75"/>
      <c r="B726" s="69"/>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75"/>
      <c r="B727" s="69"/>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75"/>
      <c r="B728" s="69"/>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75"/>
      <c r="B729" s="69"/>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75"/>
      <c r="B730" s="69"/>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75"/>
      <c r="B731" s="69"/>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75"/>
      <c r="B732" s="69"/>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75"/>
      <c r="B733" s="69"/>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75"/>
      <c r="B734" s="69"/>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75"/>
      <c r="B735" s="69"/>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75"/>
      <c r="B736" s="69"/>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75"/>
      <c r="B737" s="69"/>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75"/>
      <c r="B738" s="69"/>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75"/>
      <c r="B739" s="69"/>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75"/>
      <c r="B740" s="69"/>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75"/>
      <c r="B741" s="69"/>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75"/>
      <c r="B742" s="69"/>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75"/>
      <c r="B743" s="69"/>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75"/>
      <c r="B744" s="69"/>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75"/>
      <c r="B745" s="69"/>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75"/>
      <c r="B746" s="69"/>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75"/>
      <c r="B747" s="69"/>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75"/>
      <c r="B748" s="69"/>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75"/>
      <c r="B749" s="69"/>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75"/>
      <c r="B750" s="69"/>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75"/>
      <c r="B751" s="69"/>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75"/>
      <c r="B752" s="69"/>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75"/>
      <c r="B753" s="69"/>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75"/>
      <c r="B754" s="69"/>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75"/>
      <c r="B755" s="69"/>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75"/>
      <c r="B756" s="69"/>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75"/>
      <c r="B757" s="69"/>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75"/>
      <c r="B758" s="69"/>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75"/>
      <c r="B759" s="69"/>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75"/>
      <c r="B760" s="69"/>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75"/>
      <c r="B761" s="69"/>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75"/>
      <c r="B762" s="69"/>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75"/>
      <c r="B763" s="69"/>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75"/>
      <c r="B764" s="69"/>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75"/>
      <c r="B765" s="69"/>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75"/>
      <c r="B766" s="69"/>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75"/>
      <c r="B767" s="69"/>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75"/>
      <c r="B768" s="69"/>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75"/>
      <c r="B769" s="69"/>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75"/>
      <c r="B770" s="69"/>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75"/>
      <c r="B771" s="69"/>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75"/>
      <c r="B772" s="69"/>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75"/>
      <c r="B773" s="69"/>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75"/>
      <c r="B774" s="69"/>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75"/>
      <c r="B775" s="69"/>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75"/>
      <c r="B776" s="69"/>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75"/>
      <c r="B777" s="69"/>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75"/>
      <c r="B778" s="69"/>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75"/>
      <c r="B779" s="69"/>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75"/>
      <c r="B780" s="69"/>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75"/>
      <c r="B781" s="69"/>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75"/>
      <c r="B782" s="69"/>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75"/>
      <c r="B783" s="69"/>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75"/>
      <c r="B784" s="69"/>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75"/>
      <c r="B785" s="69"/>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75"/>
      <c r="B786" s="69"/>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75"/>
      <c r="B787" s="69"/>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75"/>
      <c r="B788" s="69"/>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75"/>
      <c r="B789" s="69"/>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75"/>
      <c r="B790" s="69"/>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75"/>
      <c r="B791" s="69"/>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75"/>
      <c r="B792" s="69"/>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75"/>
      <c r="B793" s="69"/>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75"/>
      <c r="B794" s="69"/>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75"/>
      <c r="B795" s="69"/>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75"/>
      <c r="B796" s="69"/>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75"/>
      <c r="B797" s="69"/>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75"/>
      <c r="B798" s="69"/>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75"/>
      <c r="B799" s="69"/>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75"/>
      <c r="B800" s="69"/>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75"/>
      <c r="B801" s="69"/>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75"/>
      <c r="B802" s="69"/>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75"/>
      <c r="B803" s="69"/>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75"/>
      <c r="B804" s="69"/>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75"/>
      <c r="B805" s="69"/>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75"/>
      <c r="B806" s="69"/>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75"/>
      <c r="B807" s="69"/>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75"/>
      <c r="B808" s="69"/>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75"/>
      <c r="B809" s="69"/>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75"/>
      <c r="B810" s="69"/>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75"/>
      <c r="B811" s="69"/>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75"/>
      <c r="B812" s="69"/>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75"/>
      <c r="B813" s="69"/>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75"/>
      <c r="B814" s="69"/>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75"/>
      <c r="B815" s="69"/>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75"/>
      <c r="B816" s="69"/>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75"/>
      <c r="B817" s="69"/>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75"/>
      <c r="B818" s="69"/>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75"/>
      <c r="B819" s="69"/>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75"/>
      <c r="B820" s="69"/>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75"/>
      <c r="B821" s="69"/>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75"/>
      <c r="B822" s="69"/>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75"/>
      <c r="B823" s="69"/>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75"/>
      <c r="B824" s="69"/>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75"/>
      <c r="B825" s="69"/>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75"/>
      <c r="B826" s="69"/>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75"/>
      <c r="B827" s="69"/>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75"/>
      <c r="B828" s="69"/>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75"/>
      <c r="B829" s="69"/>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75"/>
      <c r="B830" s="69"/>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75"/>
      <c r="B831" s="69"/>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75"/>
      <c r="B832" s="69"/>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75"/>
      <c r="B833" s="69"/>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75"/>
      <c r="B834" s="69"/>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75"/>
      <c r="B835" s="69"/>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75"/>
      <c r="B836" s="69"/>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75"/>
      <c r="B837" s="69"/>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75"/>
      <c r="B838" s="69"/>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75"/>
      <c r="B839" s="69"/>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75"/>
      <c r="B840" s="69"/>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75"/>
      <c r="B841" s="69"/>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75"/>
      <c r="B842" s="69"/>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75"/>
      <c r="B843" s="69"/>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75"/>
      <c r="B844" s="69"/>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75"/>
      <c r="B845" s="69"/>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75"/>
      <c r="B846" s="69"/>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75"/>
      <c r="B847" s="69"/>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75"/>
      <c r="B848" s="69"/>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75"/>
      <c r="B849" s="69"/>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75"/>
      <c r="B850" s="69"/>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75"/>
      <c r="B851" s="69"/>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75"/>
      <c r="B852" s="69"/>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75"/>
      <c r="B853" s="69"/>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75"/>
      <c r="B854" s="69"/>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75"/>
      <c r="B855" s="69"/>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75"/>
      <c r="B856" s="69"/>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75"/>
      <c r="B857" s="69"/>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75"/>
      <c r="B858" s="69"/>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75"/>
      <c r="B859" s="69"/>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75"/>
      <c r="B860" s="69"/>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75"/>
      <c r="B861" s="69"/>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75"/>
      <c r="B862" s="69"/>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75"/>
      <c r="B863" s="69"/>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75"/>
      <c r="B864" s="69"/>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75"/>
      <c r="B865" s="69"/>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75"/>
      <c r="B866" s="69"/>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75"/>
      <c r="B867" s="69"/>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75"/>
      <c r="B868" s="69"/>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75"/>
      <c r="B869" s="69"/>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75"/>
      <c r="B870" s="69"/>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75"/>
      <c r="B871" s="69"/>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75"/>
      <c r="B872" s="69"/>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75"/>
      <c r="B873" s="69"/>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75"/>
      <c r="B874" s="69"/>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75"/>
      <c r="B875" s="69"/>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75"/>
      <c r="B876" s="69"/>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75"/>
      <c r="B877" s="69"/>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75"/>
      <c r="B878" s="69"/>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75"/>
      <c r="B879" s="69"/>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75"/>
      <c r="B880" s="69"/>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75"/>
      <c r="B881" s="69"/>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75"/>
      <c r="B882" s="69"/>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75"/>
      <c r="B883" s="69"/>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75"/>
      <c r="B884" s="69"/>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75"/>
      <c r="B885" s="69"/>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75"/>
      <c r="B886" s="69"/>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75"/>
      <c r="B887" s="69"/>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75"/>
      <c r="B888" s="69"/>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75"/>
      <c r="B889" s="69"/>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75"/>
      <c r="B890" s="69"/>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75"/>
      <c r="B891" s="69"/>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75"/>
      <c r="B892" s="69"/>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75"/>
      <c r="B893" s="69"/>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75"/>
      <c r="B894" s="69"/>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75"/>
      <c r="B895" s="69"/>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75"/>
      <c r="B896" s="69"/>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75"/>
      <c r="B897" s="69"/>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75"/>
      <c r="B898" s="69"/>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75"/>
      <c r="B899" s="69"/>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75"/>
      <c r="B900" s="69"/>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75"/>
      <c r="B901" s="69"/>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75"/>
      <c r="B902" s="69"/>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75"/>
      <c r="B903" s="69"/>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75"/>
      <c r="B904" s="69"/>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75"/>
      <c r="B905" s="69"/>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75"/>
      <c r="B906" s="69"/>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75"/>
      <c r="B907" s="69"/>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75"/>
      <c r="B908" s="69"/>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75"/>
      <c r="B909" s="69"/>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75"/>
      <c r="B910" s="69"/>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75"/>
      <c r="B911" s="69"/>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75"/>
      <c r="B912" s="69"/>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75"/>
      <c r="B913" s="69"/>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75"/>
      <c r="B914" s="69"/>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75"/>
      <c r="B915" s="69"/>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75"/>
      <c r="B916" s="69"/>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75"/>
      <c r="B917" s="69"/>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75"/>
      <c r="B918" s="69"/>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75"/>
      <c r="B919" s="69"/>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75"/>
      <c r="B920" s="69"/>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75"/>
      <c r="B921" s="69"/>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75"/>
      <c r="B922" s="69"/>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75"/>
      <c r="B923" s="69"/>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75"/>
      <c r="B924" s="69"/>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75"/>
      <c r="B925" s="69"/>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75"/>
      <c r="B926" s="69"/>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75"/>
      <c r="B927" s="69"/>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75"/>
      <c r="B928" s="69"/>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75"/>
      <c r="B929" s="69"/>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75"/>
      <c r="B930" s="69"/>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75"/>
      <c r="B931" s="69"/>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75"/>
      <c r="B932" s="69"/>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75"/>
      <c r="B933" s="69"/>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75"/>
      <c r="B934" s="69"/>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75"/>
      <c r="B935" s="69"/>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75"/>
      <c r="B936" s="69"/>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75"/>
      <c r="B937" s="69"/>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75"/>
      <c r="B938" s="69"/>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75"/>
      <c r="B939" s="69"/>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75"/>
      <c r="B940" s="69"/>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75"/>
      <c r="B941" s="69"/>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75"/>
      <c r="B942" s="69"/>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75"/>
      <c r="B943" s="69"/>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75"/>
      <c r="B944" s="69"/>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75"/>
      <c r="B945" s="69"/>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75"/>
      <c r="B946" s="69"/>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75"/>
      <c r="B947" s="69"/>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75"/>
      <c r="B948" s="69"/>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75"/>
      <c r="B949" s="69"/>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75"/>
      <c r="B950" s="69"/>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75"/>
      <c r="B951" s="69"/>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75"/>
      <c r="B952" s="69"/>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75"/>
      <c r="B953" s="69"/>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75"/>
      <c r="B954" s="69"/>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75"/>
      <c r="B955" s="69"/>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75"/>
      <c r="B956" s="69"/>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75"/>
      <c r="B957" s="69"/>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75"/>
      <c r="B958" s="69"/>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75"/>
      <c r="B959" s="69"/>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75"/>
      <c r="B960" s="69"/>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75"/>
      <c r="B961" s="69"/>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75"/>
      <c r="B962" s="69"/>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75"/>
      <c r="B963" s="69"/>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75"/>
      <c r="B964" s="69"/>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75"/>
      <c r="B965" s="69"/>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75"/>
      <c r="B966" s="69"/>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75"/>
      <c r="B967" s="69"/>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75"/>
      <c r="B968" s="69"/>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75"/>
      <c r="B969" s="69"/>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75"/>
      <c r="B970" s="69"/>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75"/>
      <c r="B971" s="69"/>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75"/>
      <c r="B972" s="69"/>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75"/>
      <c r="B973" s="69"/>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75"/>
      <c r="B974" s="69"/>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75"/>
      <c r="B975" s="69"/>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75"/>
      <c r="B976" s="69"/>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75"/>
      <c r="B977" s="69"/>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75"/>
      <c r="B978" s="69"/>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978">
    <cfRule type="colorScale" priority="1">
      <colorScale>
        <cfvo type="formula" val="0"/>
        <cfvo type="formula" val="1"/>
        <color rgb="FFFFFFFF"/>
        <color rgb="FFE67C73"/>
      </colorScale>
    </cfRule>
  </conditionalFormatting>
  <conditionalFormatting sqref="E2:E978">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70" t="s">
        <v>0</v>
      </c>
      <c r="B1" s="71"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c r="A2" s="72" t="s">
        <v>33</v>
      </c>
      <c r="B2" s="73" t="s">
        <v>34</v>
      </c>
      <c r="C2" s="7" t="s">
        <v>21</v>
      </c>
      <c r="D2" s="54" t="s">
        <v>192</v>
      </c>
      <c r="E2" s="74">
        <f>IFERROR(__xludf.DUMMYFUNCTION("COUNTA(SPLIT(D2,"" ""))/COUNTA(SPLIT($B$2,"" ""))"),0.18628571428571428)</f>
        <v>0.1862857143</v>
      </c>
      <c r="F2" s="7">
        <v>4.0</v>
      </c>
      <c r="G2" s="7">
        <v>5.0</v>
      </c>
      <c r="H2" s="7">
        <v>5.0</v>
      </c>
      <c r="I2" s="7">
        <v>4.0</v>
      </c>
      <c r="J2" s="7">
        <v>4.0</v>
      </c>
      <c r="K2" s="56"/>
      <c r="L2" s="56"/>
      <c r="M2" s="56"/>
      <c r="N2" s="56"/>
      <c r="O2" s="56"/>
      <c r="P2" s="56"/>
      <c r="Q2" s="56"/>
      <c r="R2" s="56"/>
      <c r="S2" s="56"/>
      <c r="T2" s="56"/>
      <c r="U2" s="56"/>
      <c r="V2" s="56"/>
      <c r="W2" s="56"/>
      <c r="X2" s="56"/>
      <c r="Y2" s="56"/>
      <c r="Z2" s="56"/>
      <c r="AA2" s="56"/>
      <c r="AB2" s="56"/>
    </row>
    <row r="3">
      <c r="C3" s="7" t="s">
        <v>22</v>
      </c>
      <c r="D3" s="54" t="s">
        <v>193</v>
      </c>
      <c r="E3" s="74">
        <f>IFERROR(__xludf.DUMMYFUNCTION("COUNTA(SPLIT(D3,"" ""))/COUNTA(SPLIT($B$2,"" ""))"),0.168)</f>
        <v>0.168</v>
      </c>
      <c r="F3" s="67">
        <v>4.0</v>
      </c>
      <c r="G3" s="67">
        <v>5.0</v>
      </c>
      <c r="H3" s="67">
        <v>4.0</v>
      </c>
      <c r="I3" s="67">
        <v>4.0</v>
      </c>
      <c r="J3" s="67">
        <v>4.0</v>
      </c>
      <c r="K3" s="56"/>
      <c r="L3" s="56"/>
      <c r="M3" s="56"/>
      <c r="N3" s="56"/>
      <c r="O3" s="56"/>
      <c r="P3" s="56"/>
      <c r="Q3" s="56"/>
      <c r="R3" s="56"/>
      <c r="S3" s="56"/>
      <c r="T3" s="56"/>
      <c r="U3" s="56"/>
      <c r="V3" s="56"/>
      <c r="W3" s="56"/>
      <c r="X3" s="56"/>
      <c r="Y3" s="56"/>
      <c r="Z3" s="56"/>
      <c r="AA3" s="56"/>
      <c r="AB3" s="56"/>
    </row>
    <row r="4">
      <c r="C4" s="7" t="s">
        <v>8</v>
      </c>
      <c r="D4" s="54" t="s">
        <v>194</v>
      </c>
      <c r="E4" s="74">
        <f>IFERROR(__xludf.DUMMYFUNCTION("COUNTA(SPLIT(D4,"" ""))/COUNTA(SPLIT($B$2,"" ""))"),0.20457142857142857)</f>
        <v>0.2045714286</v>
      </c>
      <c r="F4" s="7">
        <v>3.0</v>
      </c>
      <c r="G4" s="7">
        <v>5.0</v>
      </c>
      <c r="H4" s="7">
        <v>5.0</v>
      </c>
      <c r="I4" s="7">
        <v>4.0</v>
      </c>
      <c r="J4" s="7">
        <v>4.0</v>
      </c>
      <c r="K4" s="56"/>
      <c r="L4" s="56"/>
      <c r="M4" s="56"/>
      <c r="N4" s="56"/>
      <c r="O4" s="56"/>
      <c r="P4" s="56"/>
      <c r="Q4" s="56"/>
      <c r="R4" s="56"/>
      <c r="S4" s="56"/>
      <c r="T4" s="56"/>
      <c r="U4" s="56"/>
      <c r="V4" s="56"/>
      <c r="W4" s="56"/>
      <c r="X4" s="56"/>
      <c r="Y4" s="56"/>
      <c r="Z4" s="56"/>
      <c r="AA4" s="56"/>
      <c r="AB4" s="56"/>
    </row>
    <row r="5">
      <c r="C5" s="7" t="s">
        <v>23</v>
      </c>
      <c r="D5" s="91" t="s">
        <v>195</v>
      </c>
      <c r="E5" s="74">
        <f>IFERROR(__xludf.DUMMYFUNCTION("COUNTA(SPLIT(D5,"" ""))/COUNTA(SPLIT($B$2,"" ""))"),0.1462857142857143)</f>
        <v>0.1462857143</v>
      </c>
      <c r="F5" s="67">
        <v>4.0</v>
      </c>
      <c r="G5" s="67">
        <v>5.0</v>
      </c>
      <c r="H5" s="67">
        <v>5.0</v>
      </c>
      <c r="I5" s="67">
        <v>4.0</v>
      </c>
      <c r="J5" s="67">
        <v>4.0</v>
      </c>
      <c r="K5" s="56"/>
      <c r="L5" s="56"/>
      <c r="M5" s="56"/>
      <c r="N5" s="56"/>
      <c r="O5" s="56"/>
      <c r="P5" s="56"/>
      <c r="Q5" s="56"/>
      <c r="R5" s="56"/>
      <c r="S5" s="56"/>
      <c r="T5" s="56"/>
      <c r="U5" s="56"/>
      <c r="V5" s="56"/>
      <c r="W5" s="56"/>
      <c r="X5" s="56"/>
      <c r="Y5" s="56"/>
      <c r="Z5" s="56"/>
      <c r="AA5" s="56"/>
      <c r="AB5" s="56"/>
    </row>
    <row r="6">
      <c r="A6" s="75"/>
      <c r="B6" s="69"/>
      <c r="C6" s="60"/>
      <c r="D6" s="61"/>
      <c r="E6" s="74"/>
      <c r="F6" s="60"/>
      <c r="G6" s="60"/>
      <c r="H6" s="60"/>
      <c r="I6" s="60"/>
      <c r="J6" s="60"/>
      <c r="K6" s="56"/>
      <c r="L6" s="56"/>
      <c r="M6" s="56"/>
      <c r="N6" s="56"/>
      <c r="O6" s="56"/>
      <c r="P6" s="56"/>
      <c r="Q6" s="56"/>
      <c r="R6" s="56"/>
      <c r="S6" s="56"/>
      <c r="T6" s="56"/>
      <c r="U6" s="56"/>
      <c r="V6" s="56"/>
      <c r="W6" s="56"/>
      <c r="X6" s="56"/>
      <c r="Y6" s="56"/>
      <c r="Z6" s="56"/>
      <c r="AA6" s="56"/>
      <c r="AB6" s="56"/>
    </row>
    <row r="7">
      <c r="A7" s="76" t="s">
        <v>37</v>
      </c>
      <c r="B7" s="77" t="s">
        <v>38</v>
      </c>
      <c r="C7" s="64" t="s">
        <v>21</v>
      </c>
      <c r="D7" s="65" t="s">
        <v>196</v>
      </c>
      <c r="E7" s="78">
        <f>IFERROR(__xludf.DUMMYFUNCTION("COUNTA(SPLIT(D7,"" ""))/COUNTA(SPLIT($B$7,"" ""))"),0.21497584541062803)</f>
        <v>0.2149758454</v>
      </c>
      <c r="F7" s="67">
        <v>4.0</v>
      </c>
      <c r="G7" s="67">
        <v>5.0</v>
      </c>
      <c r="H7" s="67">
        <v>4.0</v>
      </c>
      <c r="I7" s="67">
        <v>4.0</v>
      </c>
      <c r="J7" s="67">
        <v>4.0</v>
      </c>
      <c r="K7" s="68"/>
      <c r="L7" s="68"/>
      <c r="M7" s="68"/>
      <c r="N7" s="68"/>
      <c r="O7" s="68"/>
      <c r="P7" s="68"/>
      <c r="Q7" s="68"/>
      <c r="R7" s="68"/>
      <c r="S7" s="68"/>
      <c r="T7" s="68"/>
      <c r="U7" s="68"/>
      <c r="V7" s="68"/>
      <c r="W7" s="68"/>
      <c r="X7" s="68"/>
      <c r="Y7" s="68"/>
      <c r="Z7" s="68"/>
      <c r="AA7" s="68"/>
      <c r="AB7" s="68"/>
    </row>
    <row r="8">
      <c r="C8" s="7" t="s">
        <v>22</v>
      </c>
      <c r="D8" s="54" t="s">
        <v>197</v>
      </c>
      <c r="E8" s="74">
        <f>IFERROR(__xludf.DUMMYFUNCTION("COUNTA(SPLIT(D8,"" ""))/COUNTA(SPLIT($B$7,"" ""))"),0.15096618357487923)</f>
        <v>0.1509661836</v>
      </c>
      <c r="F8" s="7">
        <v>4.0</v>
      </c>
      <c r="G8" s="7">
        <v>5.0</v>
      </c>
      <c r="H8" s="7">
        <v>5.0</v>
      </c>
      <c r="I8" s="7">
        <v>4.0</v>
      </c>
      <c r="J8" s="7">
        <v>3.0</v>
      </c>
      <c r="K8" s="56"/>
      <c r="L8" s="56"/>
      <c r="M8" s="56"/>
      <c r="N8" s="56"/>
      <c r="O8" s="56"/>
      <c r="P8" s="56"/>
      <c r="Q8" s="56"/>
      <c r="R8" s="56"/>
      <c r="S8" s="56"/>
      <c r="T8" s="56"/>
      <c r="U8" s="56"/>
      <c r="V8" s="56"/>
      <c r="W8" s="56"/>
      <c r="X8" s="56"/>
      <c r="Y8" s="56"/>
      <c r="Z8" s="56"/>
      <c r="AA8" s="56"/>
      <c r="AB8" s="56"/>
    </row>
    <row r="9">
      <c r="C9" s="7" t="s">
        <v>8</v>
      </c>
      <c r="D9" s="54" t="s">
        <v>198</v>
      </c>
      <c r="E9" s="74">
        <f>IFERROR(__xludf.DUMMYFUNCTION("COUNTA(SPLIT(D9,"" ""))/COUNTA(SPLIT($B$7,"" ""))"),0.19082125603864733)</f>
        <v>0.190821256</v>
      </c>
      <c r="F9" s="7">
        <v>3.0</v>
      </c>
      <c r="G9" s="7">
        <v>5.0</v>
      </c>
      <c r="H9" s="7">
        <v>5.0</v>
      </c>
      <c r="I9" s="7">
        <v>4.0</v>
      </c>
      <c r="J9" s="7">
        <v>3.0</v>
      </c>
      <c r="K9" s="56"/>
      <c r="L9" s="56"/>
      <c r="M9" s="56"/>
      <c r="N9" s="56"/>
      <c r="O9" s="56"/>
      <c r="P9" s="56"/>
      <c r="Q9" s="56"/>
      <c r="R9" s="56"/>
      <c r="S9" s="56"/>
      <c r="T9" s="56"/>
      <c r="U9" s="56"/>
      <c r="V9" s="56"/>
      <c r="W9" s="56"/>
      <c r="X9" s="56"/>
      <c r="Y9" s="56"/>
      <c r="Z9" s="56"/>
      <c r="AA9" s="56"/>
      <c r="AB9" s="56"/>
    </row>
    <row r="10">
      <c r="C10" s="7" t="s">
        <v>23</v>
      </c>
      <c r="D10" s="54" t="s">
        <v>199</v>
      </c>
      <c r="E10" s="74">
        <f>IFERROR(__xludf.DUMMYFUNCTION("COUNTA(SPLIT(D10,"" ""))/COUNTA(SPLIT($B$7,"" ""))"),0.18357487922705315)</f>
        <v>0.1835748792</v>
      </c>
      <c r="F10" s="67">
        <v>4.0</v>
      </c>
      <c r="G10" s="67">
        <v>5.0</v>
      </c>
      <c r="H10" s="67">
        <v>5.0</v>
      </c>
      <c r="I10" s="67">
        <v>5.0</v>
      </c>
      <c r="J10" s="67">
        <v>4.0</v>
      </c>
      <c r="K10" s="56"/>
      <c r="L10" s="56"/>
      <c r="M10" s="56"/>
      <c r="N10" s="56"/>
      <c r="O10" s="56"/>
      <c r="P10" s="56"/>
      <c r="Q10" s="56"/>
      <c r="R10" s="56"/>
      <c r="S10" s="56"/>
      <c r="T10" s="56"/>
      <c r="U10" s="56"/>
      <c r="V10" s="56"/>
      <c r="W10" s="56"/>
      <c r="X10" s="56"/>
      <c r="Y10" s="56"/>
      <c r="Z10" s="56"/>
      <c r="AA10" s="56"/>
      <c r="AB10" s="56"/>
    </row>
    <row r="11">
      <c r="A11" s="75"/>
      <c r="B11" s="69"/>
      <c r="C11" s="60"/>
      <c r="D11" s="61"/>
      <c r="E11" s="74"/>
      <c r="F11" s="60"/>
      <c r="G11" s="60"/>
      <c r="H11" s="60"/>
      <c r="I11" s="60"/>
      <c r="J11" s="60"/>
      <c r="K11" s="56"/>
      <c r="L11" s="56"/>
      <c r="M11" s="56"/>
      <c r="N11" s="56"/>
      <c r="O11" s="56"/>
      <c r="P11" s="56"/>
      <c r="Q11" s="56"/>
      <c r="R11" s="56"/>
      <c r="S11" s="56"/>
      <c r="T11" s="56"/>
      <c r="U11" s="56"/>
      <c r="V11" s="56"/>
      <c r="W11" s="56"/>
      <c r="X11" s="56"/>
      <c r="Y11" s="56"/>
      <c r="Z11" s="56"/>
      <c r="AA11" s="56"/>
      <c r="AB11" s="56"/>
    </row>
    <row r="12">
      <c r="A12" s="76" t="s">
        <v>41</v>
      </c>
      <c r="B12" s="77" t="s">
        <v>42</v>
      </c>
      <c r="C12" s="64" t="s">
        <v>21</v>
      </c>
      <c r="D12" s="65" t="s">
        <v>200</v>
      </c>
      <c r="E12" s="78">
        <f>IFERROR(__xludf.DUMMYFUNCTION("COUNTA(SPLIT(D12,"" ""))/COUNTA(SPLIT($B$12,"" ""))"),0.1867881548974943)</f>
        <v>0.1867881549</v>
      </c>
      <c r="F12" s="67">
        <v>5.0</v>
      </c>
      <c r="G12" s="67">
        <v>4.0</v>
      </c>
      <c r="H12" s="67">
        <v>5.0</v>
      </c>
      <c r="I12" s="67">
        <v>5.0</v>
      </c>
      <c r="J12" s="67">
        <v>4.0</v>
      </c>
      <c r="K12" s="68"/>
      <c r="L12" s="68"/>
      <c r="M12" s="68"/>
      <c r="N12" s="68"/>
      <c r="O12" s="68"/>
      <c r="P12" s="68"/>
      <c r="Q12" s="68"/>
      <c r="R12" s="68"/>
      <c r="S12" s="68"/>
      <c r="T12" s="68"/>
      <c r="U12" s="68"/>
      <c r="V12" s="68"/>
      <c r="W12" s="68"/>
      <c r="X12" s="68"/>
      <c r="Y12" s="68"/>
      <c r="Z12" s="68"/>
      <c r="AA12" s="68"/>
      <c r="AB12" s="68"/>
    </row>
    <row r="13">
      <c r="C13" s="7" t="s">
        <v>22</v>
      </c>
      <c r="D13" s="54" t="s">
        <v>201</v>
      </c>
      <c r="E13" s="74">
        <f>IFERROR(__xludf.DUMMYFUNCTION("COUNTA(SPLIT(D13,"" ""))/COUNTA(SPLIT($B$12,"" ""))"),0.16059225512528474)</f>
        <v>0.1605922551</v>
      </c>
      <c r="F13" s="67">
        <v>5.0</v>
      </c>
      <c r="G13" s="67">
        <v>4.0</v>
      </c>
      <c r="H13" s="67">
        <v>5.0</v>
      </c>
      <c r="I13" s="67">
        <v>4.0</v>
      </c>
      <c r="J13" s="67">
        <v>4.0</v>
      </c>
      <c r="K13" s="56"/>
      <c r="L13" s="56"/>
      <c r="M13" s="56"/>
      <c r="N13" s="56"/>
      <c r="O13" s="56"/>
      <c r="P13" s="56"/>
      <c r="Q13" s="56"/>
      <c r="R13" s="56"/>
      <c r="S13" s="56"/>
      <c r="T13" s="56"/>
      <c r="U13" s="56"/>
      <c r="V13" s="56"/>
      <c r="W13" s="56"/>
      <c r="X13" s="56"/>
      <c r="Y13" s="56"/>
      <c r="Z13" s="56"/>
      <c r="AA13" s="56"/>
      <c r="AB13" s="56"/>
    </row>
    <row r="14">
      <c r="C14" s="7" t="s">
        <v>8</v>
      </c>
      <c r="D14" s="54" t="s">
        <v>202</v>
      </c>
      <c r="E14" s="74">
        <f>IFERROR(__xludf.DUMMYFUNCTION("COUNTA(SPLIT(D14,"" ""))/COUNTA(SPLIT($B$12,"" ""))"),0.2072892938496583)</f>
        <v>0.2072892938</v>
      </c>
      <c r="F14" s="7">
        <v>3.0</v>
      </c>
      <c r="G14" s="7">
        <v>3.0</v>
      </c>
      <c r="H14" s="7">
        <v>5.0</v>
      </c>
      <c r="I14" s="7">
        <v>4.0</v>
      </c>
      <c r="J14" s="7">
        <v>4.0</v>
      </c>
      <c r="K14" s="56"/>
      <c r="L14" s="56"/>
      <c r="M14" s="56"/>
      <c r="N14" s="56"/>
      <c r="O14" s="56"/>
      <c r="P14" s="56"/>
      <c r="Q14" s="56"/>
      <c r="R14" s="56"/>
      <c r="S14" s="56"/>
      <c r="T14" s="56"/>
      <c r="U14" s="56"/>
      <c r="V14" s="56"/>
      <c r="W14" s="56"/>
      <c r="X14" s="56"/>
      <c r="Y14" s="56"/>
      <c r="Z14" s="56"/>
      <c r="AA14" s="56"/>
      <c r="AB14" s="56"/>
    </row>
    <row r="15">
      <c r="C15" s="7" t="s">
        <v>23</v>
      </c>
      <c r="D15" s="54" t="s">
        <v>203</v>
      </c>
      <c r="E15" s="74">
        <f>IFERROR(__xludf.DUMMYFUNCTION("COUNTA(SPLIT(D15,"" ""))/COUNTA(SPLIT($B$12,"" ""))"),0.12414578587699317)</f>
        <v>0.1241457859</v>
      </c>
      <c r="F15" s="67">
        <v>4.0</v>
      </c>
      <c r="G15" s="67">
        <v>3.0</v>
      </c>
      <c r="H15" s="67">
        <v>5.0</v>
      </c>
      <c r="I15" s="67">
        <v>5.0</v>
      </c>
      <c r="J15" s="67">
        <v>4.0</v>
      </c>
      <c r="K15" s="56"/>
      <c r="L15" s="56"/>
      <c r="M15" s="56"/>
      <c r="N15" s="56"/>
      <c r="O15" s="56"/>
      <c r="P15" s="56"/>
      <c r="Q15" s="56"/>
      <c r="R15" s="56"/>
      <c r="S15" s="56"/>
      <c r="T15" s="56"/>
      <c r="U15" s="56"/>
      <c r="V15" s="56"/>
      <c r="W15" s="56"/>
      <c r="X15" s="56"/>
      <c r="Y15" s="56"/>
      <c r="Z15" s="56"/>
      <c r="AA15" s="56"/>
      <c r="AB15" s="56"/>
    </row>
    <row r="16">
      <c r="A16" s="75"/>
      <c r="B16" s="69"/>
      <c r="C16" s="60"/>
      <c r="D16" s="61"/>
      <c r="E16" s="74"/>
      <c r="F16" s="60"/>
      <c r="G16" s="60"/>
      <c r="H16" s="60"/>
      <c r="I16" s="60"/>
      <c r="J16" s="60"/>
      <c r="K16" s="56"/>
      <c r="L16" s="56"/>
      <c r="M16" s="56"/>
      <c r="N16" s="56"/>
      <c r="O16" s="56"/>
      <c r="P16" s="56"/>
      <c r="Q16" s="56"/>
      <c r="R16" s="56"/>
      <c r="S16" s="56"/>
      <c r="T16" s="56"/>
      <c r="U16" s="56"/>
      <c r="V16" s="56"/>
      <c r="W16" s="56"/>
      <c r="X16" s="56"/>
      <c r="Y16" s="56"/>
      <c r="Z16" s="56"/>
      <c r="AA16" s="56"/>
      <c r="AB16" s="56"/>
    </row>
    <row r="17">
      <c r="A17" s="76" t="s">
        <v>45</v>
      </c>
      <c r="B17" s="77" t="s">
        <v>46</v>
      </c>
      <c r="C17" s="64" t="s">
        <v>21</v>
      </c>
      <c r="D17" s="65" t="s">
        <v>204</v>
      </c>
      <c r="E17" s="78">
        <f>IFERROR(__xludf.DUMMYFUNCTION("COUNTA(SPLIT(D17,"" ""))/COUNTA(SPLIT($B$17,"" ""))"),0.2822477650063857)</f>
        <v>0.282247765</v>
      </c>
      <c r="F17" s="67">
        <v>5.0</v>
      </c>
      <c r="G17" s="67">
        <v>5.0</v>
      </c>
      <c r="H17" s="67">
        <v>5.0</v>
      </c>
      <c r="I17" s="67">
        <v>5.0</v>
      </c>
      <c r="J17" s="67">
        <v>4.0</v>
      </c>
      <c r="K17" s="68"/>
      <c r="L17" s="68"/>
      <c r="M17" s="68"/>
      <c r="N17" s="68"/>
      <c r="O17" s="68"/>
      <c r="P17" s="68"/>
      <c r="Q17" s="68"/>
      <c r="R17" s="68"/>
      <c r="S17" s="68"/>
      <c r="T17" s="68"/>
      <c r="U17" s="68"/>
      <c r="V17" s="68"/>
      <c r="W17" s="68"/>
      <c r="X17" s="68"/>
      <c r="Y17" s="68"/>
      <c r="Z17" s="68"/>
      <c r="AA17" s="68"/>
      <c r="AB17" s="68"/>
    </row>
    <row r="18">
      <c r="C18" s="7" t="s">
        <v>22</v>
      </c>
      <c r="D18" s="54" t="s">
        <v>205</v>
      </c>
      <c r="E18" s="74">
        <f>IFERROR(__xludf.DUMMYFUNCTION("COUNTA(SPLIT(D18,"" ""))/COUNTA(SPLIT($B$17,"" ""))"),0.2515964240102171)</f>
        <v>0.251596424</v>
      </c>
      <c r="F18" s="67">
        <v>4.0</v>
      </c>
      <c r="G18" s="67">
        <v>5.0</v>
      </c>
      <c r="H18" s="67">
        <v>5.0</v>
      </c>
      <c r="I18" s="67">
        <v>5.0</v>
      </c>
      <c r="J18" s="67">
        <v>4.0</v>
      </c>
      <c r="K18" s="56"/>
      <c r="L18" s="56"/>
      <c r="M18" s="56"/>
      <c r="N18" s="56"/>
      <c r="O18" s="56"/>
      <c r="P18" s="56"/>
      <c r="Q18" s="56"/>
      <c r="R18" s="56"/>
      <c r="S18" s="56"/>
      <c r="T18" s="56"/>
      <c r="U18" s="56"/>
      <c r="V18" s="56"/>
      <c r="W18" s="56"/>
      <c r="X18" s="56"/>
      <c r="Y18" s="56"/>
      <c r="Z18" s="56"/>
      <c r="AA18" s="56"/>
      <c r="AB18" s="56"/>
    </row>
    <row r="19">
      <c r="C19" s="7" t="s">
        <v>8</v>
      </c>
      <c r="D19" s="54" t="s">
        <v>206</v>
      </c>
      <c r="E19" s="74">
        <f>IFERROR(__xludf.DUMMYFUNCTION("COUNTA(SPLIT(D19,"" ""))/COUNTA(SPLIT($B$17,"" ""))"),0.25287356321839083)</f>
        <v>0.2528735632</v>
      </c>
      <c r="F19" s="7">
        <v>3.0</v>
      </c>
      <c r="G19" s="7">
        <v>5.0</v>
      </c>
      <c r="H19" s="7">
        <v>5.0</v>
      </c>
      <c r="I19" s="7">
        <v>5.0</v>
      </c>
      <c r="J19" s="7">
        <v>5.0</v>
      </c>
      <c r="K19" s="56"/>
      <c r="L19" s="56"/>
      <c r="M19" s="56"/>
      <c r="N19" s="56"/>
      <c r="O19" s="56"/>
      <c r="P19" s="56"/>
      <c r="Q19" s="56"/>
      <c r="R19" s="56"/>
      <c r="S19" s="56"/>
      <c r="T19" s="56"/>
      <c r="U19" s="56"/>
      <c r="V19" s="56"/>
      <c r="W19" s="56"/>
      <c r="X19" s="56"/>
      <c r="Y19" s="56"/>
      <c r="Z19" s="56"/>
      <c r="AA19" s="56"/>
      <c r="AB19" s="56"/>
    </row>
    <row r="20">
      <c r="C20" s="7" t="s">
        <v>23</v>
      </c>
      <c r="D20" s="54" t="s">
        <v>207</v>
      </c>
      <c r="E20" s="74">
        <f>IFERROR(__xludf.DUMMYFUNCTION("COUNTA(SPLIT(D20,"" ""))/COUNTA(SPLIT($B$17,"" ""))"),0.17113665389527458)</f>
        <v>0.1711366539</v>
      </c>
      <c r="F20" s="67">
        <v>4.0</v>
      </c>
      <c r="G20" s="67">
        <v>5.0</v>
      </c>
      <c r="H20" s="67">
        <v>5.0</v>
      </c>
      <c r="I20" s="67">
        <v>5.0</v>
      </c>
      <c r="J20" s="67">
        <v>4.0</v>
      </c>
      <c r="K20" s="56"/>
      <c r="L20" s="56"/>
      <c r="M20" s="56"/>
      <c r="N20" s="56"/>
      <c r="O20" s="56"/>
      <c r="P20" s="56"/>
      <c r="Q20" s="56"/>
      <c r="R20" s="56"/>
      <c r="S20" s="56"/>
      <c r="T20" s="56"/>
      <c r="U20" s="56"/>
      <c r="V20" s="56"/>
      <c r="W20" s="56"/>
      <c r="X20" s="56"/>
      <c r="Y20" s="56"/>
      <c r="Z20" s="56"/>
      <c r="AA20" s="56"/>
      <c r="AB20" s="56"/>
    </row>
    <row r="21">
      <c r="A21" s="75"/>
      <c r="B21" s="69"/>
      <c r="C21" s="60"/>
      <c r="D21" s="61"/>
      <c r="E21" s="74"/>
      <c r="F21" s="60"/>
      <c r="G21" s="60"/>
      <c r="H21" s="60"/>
      <c r="I21" s="60"/>
      <c r="J21" s="60"/>
      <c r="K21" s="56"/>
      <c r="L21" s="56"/>
      <c r="M21" s="56"/>
      <c r="N21" s="56"/>
      <c r="O21" s="56"/>
      <c r="P21" s="56"/>
      <c r="Q21" s="56"/>
      <c r="R21" s="56"/>
      <c r="S21" s="56"/>
      <c r="T21" s="56"/>
      <c r="U21" s="56"/>
      <c r="V21" s="56"/>
      <c r="W21" s="56"/>
      <c r="X21" s="56"/>
      <c r="Y21" s="56"/>
      <c r="Z21" s="56"/>
      <c r="AA21" s="56"/>
      <c r="AB21" s="56"/>
    </row>
    <row r="22">
      <c r="A22" s="76" t="s">
        <v>49</v>
      </c>
      <c r="B22" s="77" t="s">
        <v>50</v>
      </c>
      <c r="C22" s="64" t="s">
        <v>21</v>
      </c>
      <c r="D22" s="65" t="s">
        <v>208</v>
      </c>
      <c r="E22" s="78">
        <f>IFERROR(__xludf.DUMMYFUNCTION("COUNTA(SPLIT(D22,"" ""))/COUNTA(SPLIT($B$22,"" ""))"),0.31006160164271046)</f>
        <v>0.3100616016</v>
      </c>
      <c r="F22" s="67">
        <v>4.0</v>
      </c>
      <c r="G22" s="67">
        <v>5.0</v>
      </c>
      <c r="H22" s="67">
        <v>5.0</v>
      </c>
      <c r="I22" s="67">
        <v>4.0</v>
      </c>
      <c r="J22" s="67">
        <v>5.0</v>
      </c>
      <c r="K22" s="68"/>
      <c r="L22" s="68"/>
      <c r="M22" s="68"/>
      <c r="N22" s="68"/>
      <c r="O22" s="68"/>
      <c r="P22" s="68"/>
      <c r="Q22" s="68"/>
      <c r="R22" s="68"/>
      <c r="S22" s="68"/>
      <c r="T22" s="68"/>
      <c r="U22" s="68"/>
      <c r="V22" s="68"/>
      <c r="W22" s="68"/>
      <c r="X22" s="68"/>
      <c r="Y22" s="68"/>
      <c r="Z22" s="68"/>
      <c r="AA22" s="68"/>
      <c r="AB22" s="68"/>
    </row>
    <row r="23">
      <c r="C23" s="7" t="s">
        <v>22</v>
      </c>
      <c r="D23" s="54" t="s">
        <v>209</v>
      </c>
      <c r="E23" s="74">
        <f>IFERROR(__xludf.DUMMYFUNCTION("COUNTA(SPLIT(D23,"" ""))/COUNTA(SPLIT($B$22,"" ""))"),0.19301848049281314)</f>
        <v>0.1930184805</v>
      </c>
      <c r="F23" s="67">
        <v>4.0</v>
      </c>
      <c r="G23" s="67">
        <v>5.0</v>
      </c>
      <c r="H23" s="67">
        <v>5.0</v>
      </c>
      <c r="I23" s="67">
        <v>4.0</v>
      </c>
      <c r="J23" s="67">
        <v>4.0</v>
      </c>
      <c r="K23" s="56"/>
      <c r="L23" s="56"/>
      <c r="M23" s="56"/>
      <c r="N23" s="56"/>
      <c r="O23" s="56"/>
      <c r="P23" s="56"/>
      <c r="Q23" s="56"/>
      <c r="R23" s="56"/>
      <c r="S23" s="56"/>
      <c r="T23" s="56"/>
      <c r="U23" s="56"/>
      <c r="V23" s="56"/>
      <c r="W23" s="56"/>
      <c r="X23" s="56"/>
      <c r="Y23" s="56"/>
      <c r="Z23" s="56"/>
      <c r="AA23" s="56"/>
      <c r="AB23" s="56"/>
    </row>
    <row r="24">
      <c r="C24" s="7" t="s">
        <v>8</v>
      </c>
      <c r="D24" s="54" t="s">
        <v>210</v>
      </c>
      <c r="E24" s="74">
        <f>IFERROR(__xludf.DUMMYFUNCTION("COUNTA(SPLIT(D24,"" ""))/COUNTA(SPLIT($B$22,"" ""))"),0.3490759753593429)</f>
        <v>0.3490759754</v>
      </c>
      <c r="F24" s="7">
        <v>3.0</v>
      </c>
      <c r="G24" s="7">
        <v>5.0</v>
      </c>
      <c r="H24" s="7">
        <v>5.0</v>
      </c>
      <c r="I24" s="7">
        <v>4.0</v>
      </c>
      <c r="J24" s="7">
        <v>5.0</v>
      </c>
      <c r="K24" s="56"/>
      <c r="L24" s="56"/>
      <c r="M24" s="56"/>
      <c r="N24" s="56"/>
      <c r="O24" s="56"/>
      <c r="P24" s="56"/>
      <c r="Q24" s="56"/>
      <c r="R24" s="56"/>
      <c r="S24" s="56"/>
      <c r="T24" s="56"/>
      <c r="U24" s="56"/>
      <c r="V24" s="56"/>
      <c r="W24" s="56"/>
      <c r="X24" s="56"/>
      <c r="Y24" s="56"/>
      <c r="Z24" s="56"/>
      <c r="AA24" s="56"/>
      <c r="AB24" s="56"/>
    </row>
    <row r="25">
      <c r="C25" s="7" t="s">
        <v>23</v>
      </c>
      <c r="D25" s="54" t="s">
        <v>211</v>
      </c>
      <c r="E25" s="74">
        <f>IFERROR(__xludf.DUMMYFUNCTION("COUNTA(SPLIT(D25,"" ""))/COUNTA(SPLIT($B$22,"" ""))"),0.1704312114989733)</f>
        <v>0.1704312115</v>
      </c>
      <c r="F25" s="67">
        <v>4.0</v>
      </c>
      <c r="G25" s="67">
        <v>5.0</v>
      </c>
      <c r="H25" s="67">
        <v>5.0</v>
      </c>
      <c r="I25" s="67">
        <v>5.0</v>
      </c>
      <c r="J25" s="67">
        <v>4.0</v>
      </c>
      <c r="K25" s="56"/>
      <c r="L25" s="56"/>
      <c r="M25" s="56"/>
      <c r="N25" s="56"/>
      <c r="O25" s="56"/>
      <c r="P25" s="56"/>
      <c r="Q25" s="56"/>
      <c r="R25" s="56"/>
      <c r="S25" s="56"/>
      <c r="T25" s="56"/>
      <c r="U25" s="56"/>
      <c r="V25" s="56"/>
      <c r="W25" s="56"/>
      <c r="X25" s="56"/>
      <c r="Y25" s="56"/>
      <c r="Z25" s="56"/>
      <c r="AA25" s="56"/>
      <c r="AB25" s="56"/>
    </row>
    <row r="26">
      <c r="A26" s="75"/>
      <c r="B26" s="69"/>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c r="A27" s="79" t="s">
        <v>53</v>
      </c>
      <c r="B27" s="80" t="s">
        <v>54</v>
      </c>
      <c r="C27" s="81" t="s">
        <v>21</v>
      </c>
      <c r="D27" s="82" t="s">
        <v>212</v>
      </c>
      <c r="E27" s="83">
        <f>IFERROR(__xludf.DUMMYFUNCTION("COUNTA(SPLIT(D27,"" ""))/COUNTA(SPLIT($B$27,"" ""))"),0.22118380062305296)</f>
        <v>0.2211838006</v>
      </c>
      <c r="F27" s="7">
        <v>5.0</v>
      </c>
      <c r="G27" s="7">
        <v>4.0</v>
      </c>
      <c r="H27" s="7">
        <v>5.0</v>
      </c>
      <c r="I27" s="7">
        <v>5.0</v>
      </c>
      <c r="J27" s="7">
        <v>4.0</v>
      </c>
      <c r="K27" s="56"/>
      <c r="L27" s="56"/>
      <c r="M27" s="56"/>
      <c r="N27" s="56"/>
      <c r="O27" s="56"/>
      <c r="P27" s="56"/>
      <c r="Q27" s="56"/>
      <c r="R27" s="56"/>
      <c r="S27" s="56"/>
      <c r="T27" s="56"/>
      <c r="U27" s="56"/>
      <c r="V27" s="56"/>
      <c r="W27" s="56"/>
      <c r="X27" s="56"/>
      <c r="Y27" s="56"/>
      <c r="Z27" s="56"/>
      <c r="AA27" s="56"/>
      <c r="AB27" s="56"/>
    </row>
    <row r="28">
      <c r="C28" s="85" t="s">
        <v>22</v>
      </c>
      <c r="D28" s="57" t="s">
        <v>213</v>
      </c>
      <c r="E28" s="86">
        <f>IFERROR(__xludf.DUMMYFUNCTION("COUNTA(SPLIT(D28,"" ""))/COUNTA(SPLIT($B$27,"" ""))"),0.24299065420560748)</f>
        <v>0.2429906542</v>
      </c>
      <c r="F28" s="7">
        <v>4.0</v>
      </c>
      <c r="G28" s="7">
        <v>5.0</v>
      </c>
      <c r="H28" s="7">
        <v>3.0</v>
      </c>
      <c r="I28" s="7">
        <v>5.0</v>
      </c>
      <c r="J28" s="7">
        <v>4.0</v>
      </c>
      <c r="K28" s="56"/>
      <c r="L28" s="56"/>
      <c r="M28" s="56"/>
      <c r="N28" s="56"/>
      <c r="O28" s="56"/>
      <c r="P28" s="56"/>
      <c r="Q28" s="56"/>
      <c r="R28" s="56"/>
      <c r="S28" s="56"/>
      <c r="T28" s="56"/>
      <c r="U28" s="56"/>
      <c r="V28" s="56"/>
      <c r="W28" s="56"/>
      <c r="X28" s="56"/>
      <c r="Y28" s="56"/>
      <c r="Z28" s="56"/>
      <c r="AA28" s="56"/>
      <c r="AB28" s="56"/>
    </row>
    <row r="29">
      <c r="C29" s="85" t="s">
        <v>8</v>
      </c>
      <c r="D29" s="57" t="s">
        <v>214</v>
      </c>
      <c r="E29" s="87">
        <f>IFERROR(__xludf.DUMMYFUNCTION("COUNTA(SPLIT(D29,"" ""))/COUNTA(SPLIT($B$27,"" ""))"),0.24766355140186916)</f>
        <v>0.2476635514</v>
      </c>
      <c r="F29" s="7">
        <v>3.0</v>
      </c>
      <c r="G29" s="7">
        <v>4.0</v>
      </c>
      <c r="H29" s="7">
        <v>4.0</v>
      </c>
      <c r="I29" s="7">
        <v>4.0</v>
      </c>
      <c r="J29" s="7">
        <v>4.0</v>
      </c>
      <c r="K29" s="56"/>
      <c r="L29" s="56"/>
      <c r="M29" s="56"/>
      <c r="N29" s="56"/>
      <c r="O29" s="56"/>
      <c r="P29" s="56"/>
      <c r="Q29" s="56"/>
      <c r="R29" s="56"/>
      <c r="S29" s="56"/>
      <c r="T29" s="56"/>
      <c r="U29" s="56"/>
      <c r="V29" s="56"/>
      <c r="W29" s="56"/>
      <c r="X29" s="56"/>
      <c r="Y29" s="56"/>
      <c r="Z29" s="56"/>
      <c r="AA29" s="56"/>
      <c r="AB29" s="56"/>
    </row>
    <row r="30">
      <c r="C30" s="85" t="s">
        <v>23</v>
      </c>
      <c r="D30" s="57" t="s">
        <v>215</v>
      </c>
      <c r="E30" s="88">
        <f>IFERROR(__xludf.DUMMYFUNCTION("COUNTA(SPLIT(D30,"" ""))/COUNTA(SPLIT($B$27,"" ""))"),0.11059190031152648)</f>
        <v>0.1105919003</v>
      </c>
      <c r="F30" s="7">
        <v>4.0</v>
      </c>
      <c r="G30" s="7">
        <v>4.0</v>
      </c>
      <c r="H30" s="7">
        <v>5.0</v>
      </c>
      <c r="I30" s="7">
        <v>5.0</v>
      </c>
      <c r="J30" s="7">
        <v>3.0</v>
      </c>
      <c r="K30" s="56"/>
      <c r="L30" s="56"/>
      <c r="M30" s="56"/>
      <c r="N30" s="56"/>
      <c r="O30" s="56"/>
      <c r="P30" s="56"/>
      <c r="Q30" s="56"/>
      <c r="R30" s="56"/>
      <c r="S30" s="56"/>
      <c r="T30" s="56"/>
      <c r="U30" s="56"/>
      <c r="V30" s="56"/>
      <c r="W30" s="56"/>
      <c r="X30" s="56"/>
      <c r="Y30" s="56"/>
      <c r="Z30" s="56"/>
      <c r="AA30" s="56"/>
      <c r="AB30" s="56"/>
    </row>
    <row r="31">
      <c r="A31" s="75"/>
      <c r="B31" s="69"/>
      <c r="C31" s="60"/>
      <c r="D31" s="61"/>
      <c r="E31" s="69"/>
      <c r="F31" s="60"/>
      <c r="G31" s="60"/>
      <c r="H31" s="60"/>
      <c r="I31" s="60"/>
      <c r="J31" s="60"/>
      <c r="K31" s="56"/>
      <c r="L31" s="56"/>
      <c r="M31" s="56"/>
      <c r="N31" s="56"/>
      <c r="O31" s="56"/>
      <c r="P31" s="56"/>
      <c r="Q31" s="56"/>
      <c r="R31" s="56"/>
      <c r="S31" s="56"/>
      <c r="T31" s="56"/>
      <c r="U31" s="56"/>
      <c r="V31" s="56"/>
      <c r="W31" s="56"/>
      <c r="X31" s="56"/>
      <c r="Y31" s="56"/>
      <c r="Z31" s="56"/>
      <c r="AA31" s="56"/>
      <c r="AB31" s="56"/>
    </row>
    <row r="32">
      <c r="A32" s="89" t="s">
        <v>57</v>
      </c>
      <c r="B32" s="90" t="s">
        <v>58</v>
      </c>
      <c r="C32" s="81" t="s">
        <v>21</v>
      </c>
      <c r="D32" s="82" t="s">
        <v>216</v>
      </c>
      <c r="E32" s="83">
        <f>IFERROR(__xludf.DUMMYFUNCTION("COUNTA(SPLIT(D32,"" ""))/COUNTA(SPLIT($B$32,"" ""))"),0.17776152158010242)</f>
        <v>0.1777615216</v>
      </c>
      <c r="F32" s="7">
        <v>5.0</v>
      </c>
      <c r="G32" s="7">
        <v>2.0</v>
      </c>
      <c r="H32" s="7">
        <v>4.0</v>
      </c>
      <c r="I32" s="7">
        <v>5.0</v>
      </c>
      <c r="J32" s="7">
        <v>4.0</v>
      </c>
      <c r="K32" s="56"/>
      <c r="L32" s="56"/>
      <c r="M32" s="56"/>
      <c r="N32" s="56"/>
      <c r="O32" s="56"/>
      <c r="P32" s="56"/>
      <c r="Q32" s="56"/>
      <c r="R32" s="56"/>
      <c r="S32" s="56"/>
      <c r="T32" s="56"/>
      <c r="U32" s="56"/>
      <c r="V32" s="56"/>
      <c r="W32" s="56"/>
      <c r="X32" s="56"/>
      <c r="Y32" s="56"/>
      <c r="Z32" s="56"/>
      <c r="AA32" s="56"/>
      <c r="AB32" s="56"/>
    </row>
    <row r="33">
      <c r="C33" s="85" t="s">
        <v>22</v>
      </c>
      <c r="D33" s="57" t="s">
        <v>217</v>
      </c>
      <c r="E33" s="86">
        <f>IFERROR(__xludf.DUMMYFUNCTION("COUNTA(SPLIT(D33,"" ""))/COUNTA(SPLIT($B$32,"" ""))"),0.1506949524506218)</f>
        <v>0.1506949525</v>
      </c>
      <c r="F33" s="7">
        <v>5.0</v>
      </c>
      <c r="G33" s="7">
        <v>4.0</v>
      </c>
      <c r="H33" s="7">
        <v>5.0</v>
      </c>
      <c r="I33" s="7">
        <v>4.0</v>
      </c>
      <c r="J33" s="7">
        <v>4.0</v>
      </c>
      <c r="K33" s="56"/>
      <c r="L33" s="56"/>
      <c r="M33" s="56"/>
      <c r="N33" s="56"/>
      <c r="O33" s="56"/>
      <c r="P33" s="56"/>
      <c r="Q33" s="56"/>
      <c r="R33" s="56"/>
      <c r="S33" s="56"/>
      <c r="T33" s="56"/>
      <c r="U33" s="56"/>
      <c r="V33" s="56"/>
      <c r="W33" s="56"/>
      <c r="X33" s="56"/>
      <c r="Y33" s="56"/>
      <c r="Z33" s="56"/>
      <c r="AA33" s="56"/>
      <c r="AB33" s="56"/>
    </row>
    <row r="34">
      <c r="C34" s="85" t="s">
        <v>8</v>
      </c>
      <c r="D34" s="57" t="s">
        <v>218</v>
      </c>
      <c r="E34" s="87">
        <f>IFERROR(__xludf.DUMMYFUNCTION("COUNTA(SPLIT(D34,"" ""))/COUNTA(SPLIT($B$32,"" ""))"),0.1755669348939283)</f>
        <v>0.1755669349</v>
      </c>
      <c r="F34" s="7">
        <v>3.0</v>
      </c>
      <c r="G34" s="7">
        <v>3.0</v>
      </c>
      <c r="H34" s="7">
        <v>5.0</v>
      </c>
      <c r="I34" s="7">
        <v>4.0</v>
      </c>
      <c r="J34" s="7">
        <v>4.0</v>
      </c>
      <c r="K34" s="56"/>
      <c r="L34" s="56"/>
      <c r="M34" s="56"/>
      <c r="N34" s="56"/>
      <c r="O34" s="56"/>
      <c r="P34" s="56"/>
      <c r="Q34" s="56"/>
      <c r="R34" s="56"/>
      <c r="S34" s="56"/>
      <c r="T34" s="56"/>
      <c r="U34" s="56"/>
      <c r="V34" s="56"/>
      <c r="W34" s="56"/>
      <c r="X34" s="56"/>
      <c r="Y34" s="56"/>
      <c r="Z34" s="56"/>
      <c r="AA34" s="56"/>
      <c r="AB34" s="56"/>
    </row>
    <row r="35">
      <c r="C35" s="85" t="s">
        <v>23</v>
      </c>
      <c r="D35" s="57" t="s">
        <v>219</v>
      </c>
      <c r="E35" s="88">
        <f>IFERROR(__xludf.DUMMYFUNCTION("COUNTA(SPLIT(D35,"" ""))/COUNTA(SPLIT($B$32,"" ""))"),0.13094367227505485)</f>
        <v>0.1309436723</v>
      </c>
      <c r="F35" s="7">
        <v>4.0</v>
      </c>
      <c r="G35" s="7">
        <v>4.0</v>
      </c>
      <c r="H35" s="7">
        <v>5.0</v>
      </c>
      <c r="I35" s="7">
        <v>4.0</v>
      </c>
      <c r="J35" s="7">
        <v>4.0</v>
      </c>
      <c r="K35" s="56"/>
      <c r="L35" s="56"/>
      <c r="M35" s="56"/>
      <c r="N35" s="56"/>
      <c r="O35" s="56"/>
      <c r="P35" s="56"/>
      <c r="Q35" s="56"/>
      <c r="R35" s="56"/>
      <c r="S35" s="56"/>
      <c r="T35" s="56"/>
      <c r="U35" s="56"/>
      <c r="V35" s="56"/>
      <c r="W35" s="56"/>
      <c r="X35" s="56"/>
      <c r="Y35" s="56"/>
      <c r="Z35" s="56"/>
      <c r="AA35" s="56"/>
      <c r="AB35" s="56"/>
    </row>
    <row r="36">
      <c r="A36" s="75"/>
      <c r="B36" s="69"/>
      <c r="C36" s="60"/>
      <c r="D36" s="61"/>
      <c r="E36" s="69"/>
      <c r="F36" s="60"/>
      <c r="G36" s="60"/>
      <c r="H36" s="60"/>
      <c r="I36" s="60"/>
      <c r="J36" s="60"/>
      <c r="K36" s="56"/>
      <c r="L36" s="56"/>
      <c r="M36" s="56"/>
      <c r="N36" s="56"/>
      <c r="O36" s="56"/>
      <c r="P36" s="56"/>
      <c r="Q36" s="56"/>
      <c r="R36" s="56"/>
      <c r="S36" s="56"/>
      <c r="T36" s="56"/>
      <c r="U36" s="56"/>
      <c r="V36" s="56"/>
      <c r="W36" s="56"/>
      <c r="X36" s="56"/>
      <c r="Y36" s="56"/>
      <c r="Z36" s="56"/>
      <c r="AA36" s="56"/>
      <c r="AB36" s="56"/>
    </row>
    <row r="37">
      <c r="A37" s="89" t="s">
        <v>61</v>
      </c>
      <c r="B37" s="90" t="s">
        <v>62</v>
      </c>
      <c r="C37" s="81" t="s">
        <v>21</v>
      </c>
      <c r="D37" s="82" t="s">
        <v>220</v>
      </c>
      <c r="E37" s="83">
        <f>IFERROR(__xludf.DUMMYFUNCTION("COUNTA(SPLIT(D37,"" ""))/COUNTA(SPLIT($B$37,"" ""))"),0.14640198511166252)</f>
        <v>0.1464019851</v>
      </c>
      <c r="F37" s="7">
        <v>5.0</v>
      </c>
      <c r="G37" s="7">
        <v>5.0</v>
      </c>
      <c r="H37" s="7">
        <v>5.0</v>
      </c>
      <c r="I37" s="7">
        <v>5.0</v>
      </c>
      <c r="J37" s="7">
        <v>4.0</v>
      </c>
      <c r="K37" s="56"/>
      <c r="L37" s="56"/>
      <c r="M37" s="56"/>
      <c r="N37" s="56"/>
      <c r="O37" s="56"/>
      <c r="P37" s="56"/>
      <c r="Q37" s="56"/>
      <c r="R37" s="56"/>
      <c r="S37" s="56"/>
      <c r="T37" s="56"/>
      <c r="U37" s="56"/>
      <c r="V37" s="56"/>
      <c r="W37" s="56"/>
      <c r="X37" s="56"/>
      <c r="Y37" s="56"/>
      <c r="Z37" s="56"/>
      <c r="AA37" s="56"/>
      <c r="AB37" s="56"/>
    </row>
    <row r="38">
      <c r="C38" s="85" t="s">
        <v>22</v>
      </c>
      <c r="D38" s="57" t="s">
        <v>221</v>
      </c>
      <c r="E38" s="86">
        <f>IFERROR(__xludf.DUMMYFUNCTION("COUNTA(SPLIT(D38,"" ""))/COUNTA(SPLIT($B$37,"" ""))"),0.151985111662531)</f>
        <v>0.1519851117</v>
      </c>
      <c r="F38" s="7">
        <v>5.0</v>
      </c>
      <c r="G38" s="7">
        <v>5.0</v>
      </c>
      <c r="H38" s="7">
        <v>5.0</v>
      </c>
      <c r="I38" s="7">
        <v>4.0</v>
      </c>
      <c r="J38" s="7">
        <v>4.0</v>
      </c>
      <c r="K38" s="56"/>
      <c r="L38" s="56"/>
      <c r="M38" s="56"/>
      <c r="N38" s="56"/>
      <c r="O38" s="56"/>
      <c r="P38" s="56"/>
      <c r="Q38" s="56"/>
      <c r="R38" s="56"/>
      <c r="S38" s="56"/>
      <c r="T38" s="56"/>
      <c r="U38" s="56"/>
      <c r="V38" s="56"/>
      <c r="W38" s="56"/>
      <c r="X38" s="56"/>
      <c r="Y38" s="56"/>
      <c r="Z38" s="56"/>
      <c r="AA38" s="56"/>
      <c r="AB38" s="56"/>
    </row>
    <row r="39">
      <c r="C39" s="85" t="s">
        <v>8</v>
      </c>
      <c r="D39" s="57" t="s">
        <v>222</v>
      </c>
      <c r="E39" s="87">
        <f>IFERROR(__xludf.DUMMYFUNCTION("COUNTA(SPLIT(D39,"" ""))/COUNTA(SPLIT($B$37,"" ""))"),0.13895781637717122)</f>
        <v>0.1389578164</v>
      </c>
      <c r="F39" s="7">
        <v>3.0</v>
      </c>
      <c r="G39" s="7">
        <v>5.0</v>
      </c>
      <c r="H39" s="7">
        <v>5.0</v>
      </c>
      <c r="I39" s="7">
        <v>4.0</v>
      </c>
      <c r="J39" s="7">
        <v>4.0</v>
      </c>
      <c r="K39" s="56"/>
      <c r="L39" s="56"/>
      <c r="M39" s="56"/>
      <c r="N39" s="56"/>
      <c r="O39" s="56"/>
      <c r="P39" s="56"/>
      <c r="Q39" s="56"/>
      <c r="R39" s="56"/>
      <c r="S39" s="56"/>
      <c r="T39" s="56"/>
      <c r="U39" s="56"/>
      <c r="V39" s="56"/>
      <c r="W39" s="56"/>
      <c r="X39" s="56"/>
      <c r="Y39" s="56"/>
      <c r="Z39" s="56"/>
      <c r="AA39" s="56"/>
      <c r="AB39" s="56"/>
    </row>
    <row r="40">
      <c r="C40" s="85" t="s">
        <v>23</v>
      </c>
      <c r="D40" s="57" t="s">
        <v>223</v>
      </c>
      <c r="E40" s="88">
        <f>IFERROR(__xludf.DUMMYFUNCTION("COUNTA(SPLIT(D40,"" ""))/COUNTA(SPLIT($B$37,"" ""))"),0.07754342431761786)</f>
        <v>0.07754342432</v>
      </c>
      <c r="F40" s="7">
        <v>5.0</v>
      </c>
      <c r="G40" s="7">
        <v>5.0</v>
      </c>
      <c r="H40" s="7">
        <v>5.0</v>
      </c>
      <c r="I40" s="7">
        <v>5.0</v>
      </c>
      <c r="J40" s="7">
        <v>3.0</v>
      </c>
      <c r="K40" s="56"/>
      <c r="L40" s="56"/>
      <c r="M40" s="56"/>
      <c r="N40" s="56"/>
      <c r="O40" s="56"/>
      <c r="P40" s="56"/>
      <c r="Q40" s="56"/>
      <c r="R40" s="56"/>
      <c r="S40" s="56"/>
      <c r="T40" s="56"/>
      <c r="U40" s="56"/>
      <c r="V40" s="56"/>
      <c r="W40" s="56"/>
      <c r="X40" s="56"/>
      <c r="Y40" s="56"/>
      <c r="Z40" s="56"/>
      <c r="AA40" s="56"/>
      <c r="AB40" s="56"/>
    </row>
    <row r="41">
      <c r="A41" s="75"/>
      <c r="B41" s="69"/>
      <c r="C41" s="60"/>
      <c r="D41" s="61"/>
      <c r="E41" s="69"/>
      <c r="F41" s="60"/>
      <c r="G41" s="60"/>
      <c r="H41" s="60"/>
      <c r="I41" s="60"/>
      <c r="J41" s="60"/>
      <c r="K41" s="56"/>
      <c r="L41" s="56"/>
      <c r="M41" s="56"/>
      <c r="N41" s="56"/>
      <c r="O41" s="56"/>
      <c r="P41" s="56"/>
      <c r="Q41" s="56"/>
      <c r="R41" s="56"/>
      <c r="S41" s="56"/>
      <c r="T41" s="56"/>
      <c r="U41" s="56"/>
      <c r="V41" s="56"/>
      <c r="W41" s="56"/>
      <c r="X41" s="56"/>
      <c r="Y41" s="56"/>
      <c r="Z41" s="56"/>
      <c r="AA41" s="56"/>
      <c r="AB41" s="56"/>
    </row>
    <row r="42">
      <c r="A42" s="89" t="s">
        <v>65</v>
      </c>
      <c r="B42" s="90" t="s">
        <v>66</v>
      </c>
      <c r="C42" s="81" t="s">
        <v>21</v>
      </c>
      <c r="D42" s="82" t="s">
        <v>224</v>
      </c>
      <c r="E42" s="83">
        <f>IFERROR(__xludf.DUMMYFUNCTION("COUNTA(SPLIT(D42,"" ""))/COUNTA(SPLIT($B$42,"" ""))"),0.14591078066914498)</f>
        <v>0.1459107807</v>
      </c>
      <c r="F42" s="7">
        <v>5.0</v>
      </c>
      <c r="G42" s="7">
        <v>4.0</v>
      </c>
      <c r="H42" s="7">
        <v>5.0</v>
      </c>
      <c r="I42" s="7">
        <v>5.0</v>
      </c>
      <c r="J42" s="7">
        <v>5.0</v>
      </c>
      <c r="K42" s="56"/>
      <c r="L42" s="56"/>
      <c r="M42" s="56"/>
      <c r="N42" s="56"/>
      <c r="O42" s="56"/>
      <c r="P42" s="56"/>
      <c r="Q42" s="56"/>
      <c r="R42" s="56"/>
      <c r="S42" s="56"/>
      <c r="T42" s="56"/>
      <c r="U42" s="56"/>
      <c r="V42" s="56"/>
      <c r="W42" s="56"/>
      <c r="X42" s="56"/>
      <c r="Y42" s="56"/>
      <c r="Z42" s="56"/>
      <c r="AA42" s="56"/>
      <c r="AB42" s="56"/>
    </row>
    <row r="43">
      <c r="C43" s="85" t="s">
        <v>22</v>
      </c>
      <c r="D43" s="57" t="s">
        <v>225</v>
      </c>
      <c r="E43" s="86">
        <f>IFERROR(__xludf.DUMMYFUNCTION("COUNTA(SPLIT(D43,"" ""))/COUNTA(SPLIT($B$42,"" ""))"),0.10594795539033457)</f>
        <v>0.1059479554</v>
      </c>
      <c r="F43" s="7">
        <v>5.0</v>
      </c>
      <c r="G43" s="7">
        <v>5.0</v>
      </c>
      <c r="H43" s="7">
        <v>5.0</v>
      </c>
      <c r="I43" s="7">
        <v>4.0</v>
      </c>
      <c r="J43" s="7">
        <v>4.0</v>
      </c>
      <c r="K43" s="56"/>
      <c r="L43" s="56"/>
      <c r="M43" s="56"/>
      <c r="N43" s="56"/>
      <c r="O43" s="56"/>
      <c r="P43" s="56"/>
      <c r="Q43" s="56"/>
      <c r="R43" s="56"/>
      <c r="S43" s="56"/>
      <c r="T43" s="56"/>
      <c r="U43" s="56"/>
      <c r="V43" s="56"/>
      <c r="W43" s="56"/>
      <c r="X43" s="56"/>
      <c r="Y43" s="56"/>
      <c r="Z43" s="56"/>
      <c r="AA43" s="56"/>
      <c r="AB43" s="56"/>
    </row>
    <row r="44">
      <c r="C44" s="85" t="s">
        <v>8</v>
      </c>
      <c r="D44" s="57" t="s">
        <v>226</v>
      </c>
      <c r="E44" s="87">
        <f>IFERROR(__xludf.DUMMYFUNCTION("COUNTA(SPLIT(D44,"" ""))/COUNTA(SPLIT($B$42,"" ""))"),0.1654275092936803)</f>
        <v>0.1654275093</v>
      </c>
      <c r="F44" s="7">
        <v>3.0</v>
      </c>
      <c r="G44" s="7">
        <v>4.0</v>
      </c>
      <c r="H44" s="7">
        <v>5.0</v>
      </c>
      <c r="I44" s="7">
        <v>4.0</v>
      </c>
      <c r="J44" s="7">
        <v>4.0</v>
      </c>
      <c r="K44" s="56"/>
      <c r="L44" s="56"/>
      <c r="M44" s="56"/>
      <c r="N44" s="56"/>
      <c r="O44" s="56"/>
      <c r="P44" s="56"/>
      <c r="Q44" s="56"/>
      <c r="R44" s="56"/>
      <c r="S44" s="56"/>
      <c r="T44" s="56"/>
      <c r="U44" s="56"/>
      <c r="V44" s="56"/>
      <c r="W44" s="56"/>
      <c r="X44" s="56"/>
      <c r="Y44" s="56"/>
      <c r="Z44" s="56"/>
      <c r="AA44" s="56"/>
      <c r="AB44" s="56"/>
    </row>
    <row r="45">
      <c r="C45" s="85" t="s">
        <v>23</v>
      </c>
      <c r="D45" s="57" t="s">
        <v>227</v>
      </c>
      <c r="E45" s="88">
        <f>IFERROR(__xludf.DUMMYFUNCTION("COUNTA(SPLIT(D45,"" ""))/COUNTA(SPLIT($B$42,"" ""))"),0.08085501858736059)</f>
        <v>0.08085501859</v>
      </c>
      <c r="F45" s="7">
        <v>4.0</v>
      </c>
      <c r="G45" s="7">
        <v>4.0</v>
      </c>
      <c r="H45" s="7">
        <v>5.0</v>
      </c>
      <c r="I45" s="7">
        <v>5.0</v>
      </c>
      <c r="J45" s="7">
        <v>4.0</v>
      </c>
      <c r="K45" s="56"/>
      <c r="L45" s="56"/>
      <c r="M45" s="56"/>
      <c r="N45" s="56"/>
      <c r="O45" s="56"/>
      <c r="P45" s="56"/>
      <c r="Q45" s="56"/>
      <c r="R45" s="56"/>
      <c r="S45" s="56"/>
      <c r="T45" s="56"/>
      <c r="U45" s="56"/>
      <c r="V45" s="56"/>
      <c r="W45" s="56"/>
      <c r="X45" s="56"/>
      <c r="Y45" s="56"/>
      <c r="Z45" s="56"/>
      <c r="AA45" s="56"/>
      <c r="AB45" s="56"/>
    </row>
    <row r="46">
      <c r="A46" s="75"/>
      <c r="B46" s="69"/>
      <c r="C46" s="60"/>
      <c r="D46" s="61"/>
      <c r="E46" s="69"/>
      <c r="F46" s="60"/>
      <c r="G46" s="60"/>
      <c r="H46" s="60"/>
      <c r="I46" s="60"/>
      <c r="J46" s="60"/>
      <c r="K46" s="56"/>
      <c r="L46" s="56"/>
      <c r="M46" s="56"/>
      <c r="N46" s="56"/>
      <c r="O46" s="56"/>
      <c r="P46" s="56"/>
      <c r="Q46" s="56"/>
      <c r="R46" s="56"/>
      <c r="S46" s="56"/>
      <c r="T46" s="56"/>
      <c r="U46" s="56"/>
      <c r="V46" s="56"/>
      <c r="W46" s="56"/>
      <c r="X46" s="56"/>
      <c r="Y46" s="56"/>
      <c r="Z46" s="56"/>
      <c r="AA46" s="56"/>
      <c r="AB46" s="56"/>
    </row>
    <row r="47">
      <c r="A47" s="89" t="s">
        <v>69</v>
      </c>
      <c r="B47" s="90" t="s">
        <v>70</v>
      </c>
      <c r="C47" s="81" t="s">
        <v>21</v>
      </c>
      <c r="D47" s="82" t="s">
        <v>228</v>
      </c>
      <c r="E47" s="83">
        <f>IFERROR(__xludf.DUMMYFUNCTION("COUNTA(SPLIT(D47,"" ""))/COUNTA(SPLIT($B$47,"" ""))"),0.21764705882352942)</f>
        <v>0.2176470588</v>
      </c>
      <c r="F47" s="7">
        <v>3.0</v>
      </c>
      <c r="G47" s="7">
        <v>5.0</v>
      </c>
      <c r="H47" s="7">
        <v>5.0</v>
      </c>
      <c r="I47" s="7">
        <v>3.0</v>
      </c>
      <c r="J47" s="7">
        <v>3.0</v>
      </c>
      <c r="K47" s="56"/>
      <c r="L47" s="56"/>
      <c r="M47" s="56"/>
      <c r="N47" s="56"/>
      <c r="O47" s="56"/>
      <c r="P47" s="56"/>
      <c r="Q47" s="56"/>
      <c r="R47" s="56"/>
      <c r="S47" s="56"/>
      <c r="T47" s="56"/>
      <c r="U47" s="56"/>
      <c r="V47" s="56"/>
      <c r="W47" s="56"/>
      <c r="X47" s="56"/>
      <c r="Y47" s="56"/>
      <c r="Z47" s="56"/>
      <c r="AA47" s="56"/>
      <c r="AB47" s="56"/>
    </row>
    <row r="48">
      <c r="C48" s="85" t="s">
        <v>22</v>
      </c>
      <c r="D48" s="57" t="s">
        <v>229</v>
      </c>
      <c r="E48" s="86">
        <f>IFERROR(__xludf.DUMMYFUNCTION("COUNTA(SPLIT(D48,"" ""))/COUNTA(SPLIT($B$47,"" ""))"),0.3215686274509804)</f>
        <v>0.3215686275</v>
      </c>
      <c r="F48" s="7">
        <v>3.0</v>
      </c>
      <c r="G48" s="7">
        <v>5.0</v>
      </c>
      <c r="H48" s="7">
        <v>5.0</v>
      </c>
      <c r="I48" s="7">
        <v>3.0</v>
      </c>
      <c r="J48" s="7">
        <v>5.0</v>
      </c>
      <c r="K48" s="56"/>
      <c r="L48" s="56"/>
      <c r="M48" s="56"/>
      <c r="N48" s="56"/>
      <c r="O48" s="56"/>
      <c r="P48" s="56"/>
      <c r="Q48" s="56"/>
      <c r="R48" s="56"/>
      <c r="S48" s="56"/>
      <c r="T48" s="56"/>
      <c r="U48" s="56"/>
      <c r="V48" s="56"/>
      <c r="W48" s="56"/>
      <c r="X48" s="56"/>
      <c r="Y48" s="56"/>
      <c r="Z48" s="56"/>
      <c r="AA48" s="56"/>
      <c r="AB48" s="56"/>
    </row>
    <row r="49">
      <c r="C49" s="85" t="s">
        <v>8</v>
      </c>
      <c r="D49" s="57" t="s">
        <v>230</v>
      </c>
      <c r="E49" s="87">
        <f>IFERROR(__xludf.DUMMYFUNCTION("COUNTA(SPLIT(D49,"" ""))/COUNTA(SPLIT($B$47,"" ""))"),0.5294117647058824)</f>
        <v>0.5294117647</v>
      </c>
      <c r="F49" s="7">
        <v>3.0</v>
      </c>
      <c r="G49" s="7">
        <v>5.0</v>
      </c>
      <c r="H49" s="7">
        <v>5.0</v>
      </c>
      <c r="I49" s="7">
        <v>2.0</v>
      </c>
      <c r="J49" s="7">
        <v>5.0</v>
      </c>
      <c r="K49" s="56"/>
      <c r="L49" s="56"/>
      <c r="M49" s="56"/>
      <c r="N49" s="56"/>
      <c r="O49" s="56"/>
      <c r="P49" s="56"/>
      <c r="Q49" s="56"/>
      <c r="R49" s="56"/>
      <c r="S49" s="56"/>
      <c r="T49" s="56"/>
      <c r="U49" s="56"/>
      <c r="V49" s="56"/>
      <c r="W49" s="56"/>
      <c r="X49" s="56"/>
      <c r="Y49" s="56"/>
      <c r="Z49" s="56"/>
      <c r="AA49" s="56"/>
      <c r="AB49" s="56"/>
    </row>
    <row r="50">
      <c r="C50" s="85" t="s">
        <v>23</v>
      </c>
      <c r="D50" s="57" t="s">
        <v>231</v>
      </c>
      <c r="E50" s="88">
        <f>IFERROR(__xludf.DUMMYFUNCTION("COUNTA(SPLIT(D50,"" ""))/COUNTA(SPLIT($B$47,"" ""))"),0.20392156862745098)</f>
        <v>0.2039215686</v>
      </c>
      <c r="F50" s="7">
        <v>3.0</v>
      </c>
      <c r="G50" s="7">
        <v>5.0</v>
      </c>
      <c r="H50" s="7">
        <v>5.0</v>
      </c>
      <c r="I50" s="7">
        <v>3.0</v>
      </c>
      <c r="J50" s="7">
        <v>4.0</v>
      </c>
      <c r="K50" s="56"/>
      <c r="L50" s="56"/>
      <c r="M50" s="56"/>
      <c r="N50" s="56"/>
      <c r="O50" s="56"/>
      <c r="P50" s="56"/>
      <c r="Q50" s="56"/>
      <c r="R50" s="56"/>
      <c r="S50" s="56"/>
      <c r="T50" s="56"/>
      <c r="U50" s="56"/>
      <c r="V50" s="56"/>
      <c r="W50" s="56"/>
      <c r="X50" s="56"/>
      <c r="Y50" s="56"/>
      <c r="Z50" s="56"/>
      <c r="AA50" s="56"/>
      <c r="AB50" s="56"/>
    </row>
    <row r="51">
      <c r="A51" s="75"/>
      <c r="B51" s="69"/>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75"/>
      <c r="B52" s="69"/>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75"/>
      <c r="B53" s="69"/>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75"/>
      <c r="B54" s="69"/>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75"/>
      <c r="B55" s="69"/>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75"/>
      <c r="B56" s="69"/>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75"/>
      <c r="B57" s="69"/>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75"/>
      <c r="B58" s="69"/>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75"/>
      <c r="B59" s="69"/>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75"/>
      <c r="B60" s="69"/>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75"/>
      <c r="B61" s="69"/>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75"/>
      <c r="B62" s="69"/>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75"/>
      <c r="B63" s="69"/>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75"/>
      <c r="B64" s="69"/>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75"/>
      <c r="B65" s="69"/>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75"/>
      <c r="B66" s="69"/>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75"/>
      <c r="B67" s="69"/>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75"/>
      <c r="B68" s="69"/>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75"/>
      <c r="B69" s="69"/>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75"/>
      <c r="B70" s="69"/>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75"/>
      <c r="B71" s="69"/>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75"/>
      <c r="B72" s="69"/>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75"/>
      <c r="B73" s="69"/>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75"/>
      <c r="B74" s="69"/>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75"/>
      <c r="B75" s="69"/>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75"/>
      <c r="B76" s="69"/>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75"/>
      <c r="B77" s="69"/>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75"/>
      <c r="B78" s="69"/>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75"/>
      <c r="B79" s="69"/>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75"/>
      <c r="B80" s="69"/>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75"/>
      <c r="B81" s="69"/>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75"/>
      <c r="B82" s="69"/>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75"/>
      <c r="B83" s="69"/>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75"/>
      <c r="B84" s="69"/>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75"/>
      <c r="B85" s="69"/>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75"/>
      <c r="B86" s="69"/>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75"/>
      <c r="B87" s="69"/>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75"/>
      <c r="B88" s="69"/>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75"/>
      <c r="B89" s="69"/>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75"/>
      <c r="B90" s="69"/>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75"/>
      <c r="B91" s="69"/>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75"/>
      <c r="B92" s="69"/>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75"/>
      <c r="B93" s="69"/>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75"/>
      <c r="B94" s="69"/>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75"/>
      <c r="B95" s="69"/>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75"/>
      <c r="B96" s="69"/>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75"/>
      <c r="B97" s="69"/>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75"/>
      <c r="B98" s="69"/>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75"/>
      <c r="B99" s="69"/>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75"/>
      <c r="B100" s="69"/>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75"/>
      <c r="B101" s="69"/>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75"/>
      <c r="B102" s="69"/>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75"/>
      <c r="B103" s="69"/>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75"/>
      <c r="B104" s="69"/>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75"/>
      <c r="B105" s="69"/>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75"/>
      <c r="B106" s="69"/>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75"/>
      <c r="B107" s="69"/>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75"/>
      <c r="B108" s="69"/>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75"/>
      <c r="B109" s="69"/>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75"/>
      <c r="B110" s="69"/>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75"/>
      <c r="B111" s="69"/>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75"/>
      <c r="B112" s="69"/>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75"/>
      <c r="B113" s="69"/>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75"/>
      <c r="B114" s="69"/>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75"/>
      <c r="B115" s="69"/>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75"/>
      <c r="B116" s="69"/>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75"/>
      <c r="B117" s="69"/>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75"/>
      <c r="B118" s="69"/>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75"/>
      <c r="B119" s="69"/>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75"/>
      <c r="B120" s="69"/>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75"/>
      <c r="B121" s="69"/>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75"/>
      <c r="B122" s="69"/>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75"/>
      <c r="B123" s="69"/>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75"/>
      <c r="B124" s="69"/>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75"/>
      <c r="B125" s="69"/>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75"/>
      <c r="B126" s="69"/>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75"/>
      <c r="B127" s="69"/>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75"/>
      <c r="B128" s="69"/>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75"/>
      <c r="B129" s="69"/>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75"/>
      <c r="B130" s="69"/>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75"/>
      <c r="B131" s="69"/>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75"/>
      <c r="B132" s="69"/>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75"/>
      <c r="B133" s="69"/>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75"/>
      <c r="B134" s="69"/>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75"/>
      <c r="B135" s="69"/>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75"/>
      <c r="B136" s="69"/>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75"/>
      <c r="B137" s="69"/>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75"/>
      <c r="B138" s="69"/>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75"/>
      <c r="B139" s="69"/>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75"/>
      <c r="B140" s="69"/>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75"/>
      <c r="B141" s="69"/>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75"/>
      <c r="B142" s="69"/>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75"/>
      <c r="B143" s="69"/>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75"/>
      <c r="B144" s="69"/>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75"/>
      <c r="B145" s="69"/>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75"/>
      <c r="B146" s="69"/>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75"/>
      <c r="B147" s="69"/>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75"/>
      <c r="B148" s="69"/>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75"/>
      <c r="B149" s="69"/>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75"/>
      <c r="B150" s="69"/>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75"/>
      <c r="B151" s="69"/>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75"/>
      <c r="B152" s="69"/>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75"/>
      <c r="B153" s="69"/>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75"/>
      <c r="B154" s="69"/>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75"/>
      <c r="B155" s="69"/>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75"/>
      <c r="B156" s="69"/>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75"/>
      <c r="B157" s="69"/>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75"/>
      <c r="B158" s="69"/>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75"/>
      <c r="B159" s="69"/>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75"/>
      <c r="B160" s="69"/>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75"/>
      <c r="B161" s="69"/>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75"/>
      <c r="B162" s="69"/>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75"/>
      <c r="B163" s="69"/>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75"/>
      <c r="B164" s="69"/>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75"/>
      <c r="B165" s="69"/>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75"/>
      <c r="B166" s="69"/>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75"/>
      <c r="B167" s="69"/>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75"/>
      <c r="B168" s="69"/>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75"/>
      <c r="B169" s="69"/>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75"/>
      <c r="B170" s="69"/>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75"/>
      <c r="B171" s="69"/>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75"/>
      <c r="B172" s="69"/>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75"/>
      <c r="B173" s="69"/>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75"/>
      <c r="B174" s="69"/>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75"/>
      <c r="B175" s="69"/>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75"/>
      <c r="B176" s="69"/>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75"/>
      <c r="B177" s="69"/>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75"/>
      <c r="B178" s="69"/>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75"/>
      <c r="B179" s="69"/>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75"/>
      <c r="B180" s="69"/>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75"/>
      <c r="B181" s="69"/>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75"/>
      <c r="B182" s="69"/>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75"/>
      <c r="B183" s="69"/>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75"/>
      <c r="B184" s="69"/>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75"/>
      <c r="B185" s="69"/>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75"/>
      <c r="B186" s="69"/>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75"/>
      <c r="B187" s="69"/>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75"/>
      <c r="B188" s="69"/>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75"/>
      <c r="B189" s="69"/>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75"/>
      <c r="B190" s="69"/>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75"/>
      <c r="B191" s="69"/>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75"/>
      <c r="B192" s="69"/>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75"/>
      <c r="B193" s="69"/>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75"/>
      <c r="B194" s="69"/>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75"/>
      <c r="B195" s="69"/>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75"/>
      <c r="B196" s="69"/>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75"/>
      <c r="B197" s="69"/>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75"/>
      <c r="B198" s="69"/>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75"/>
      <c r="B199" s="69"/>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75"/>
      <c r="B200" s="69"/>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75"/>
      <c r="B201" s="69"/>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75"/>
      <c r="B202" s="69"/>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75"/>
      <c r="B203" s="69"/>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75"/>
      <c r="B204" s="69"/>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75"/>
      <c r="B205" s="69"/>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75"/>
      <c r="B206" s="69"/>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75"/>
      <c r="B207" s="69"/>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75"/>
      <c r="B208" s="69"/>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75"/>
      <c r="B209" s="69"/>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75"/>
      <c r="B210" s="69"/>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75"/>
      <c r="B211" s="69"/>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75"/>
      <c r="B212" s="69"/>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75"/>
      <c r="B213" s="69"/>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75"/>
      <c r="B214" s="69"/>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75"/>
      <c r="B215" s="69"/>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75"/>
      <c r="B216" s="69"/>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75"/>
      <c r="B217" s="69"/>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75"/>
      <c r="B218" s="69"/>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75"/>
      <c r="B219" s="69"/>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75"/>
      <c r="B220" s="69"/>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75"/>
      <c r="B221" s="69"/>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75"/>
      <c r="B222" s="69"/>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75"/>
      <c r="B223" s="69"/>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75"/>
      <c r="B224" s="69"/>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75"/>
      <c r="B225" s="69"/>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75"/>
      <c r="B226" s="69"/>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75"/>
      <c r="B227" s="69"/>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75"/>
      <c r="B228" s="69"/>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75"/>
      <c r="B229" s="69"/>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75"/>
      <c r="B230" s="69"/>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75"/>
      <c r="B231" s="69"/>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75"/>
      <c r="B232" s="69"/>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75"/>
      <c r="B233" s="69"/>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75"/>
      <c r="B234" s="69"/>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75"/>
      <c r="B235" s="69"/>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75"/>
      <c r="B236" s="69"/>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75"/>
      <c r="B237" s="69"/>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75"/>
      <c r="B238" s="69"/>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75"/>
      <c r="B239" s="69"/>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75"/>
      <c r="B240" s="69"/>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75"/>
      <c r="B241" s="69"/>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75"/>
      <c r="B242" s="69"/>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75"/>
      <c r="B243" s="69"/>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75"/>
      <c r="B244" s="69"/>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75"/>
      <c r="B245" s="69"/>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75"/>
      <c r="B246" s="69"/>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75"/>
      <c r="B247" s="69"/>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75"/>
      <c r="B248" s="69"/>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75"/>
      <c r="B249" s="69"/>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75"/>
      <c r="B250" s="69"/>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75"/>
      <c r="B251" s="69"/>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75"/>
      <c r="B252" s="69"/>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75"/>
      <c r="B253" s="69"/>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75"/>
      <c r="B254" s="69"/>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75"/>
      <c r="B255" s="69"/>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75"/>
      <c r="B256" s="69"/>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75"/>
      <c r="B257" s="69"/>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75"/>
      <c r="B258" s="69"/>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75"/>
      <c r="B259" s="69"/>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75"/>
      <c r="B260" s="69"/>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75"/>
      <c r="B261" s="69"/>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75"/>
      <c r="B262" s="69"/>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75"/>
      <c r="B263" s="69"/>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75"/>
      <c r="B264" s="69"/>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75"/>
      <c r="B265" s="69"/>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75"/>
      <c r="B266" s="69"/>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75"/>
      <c r="B267" s="69"/>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75"/>
      <c r="B268" s="69"/>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75"/>
      <c r="B269" s="69"/>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75"/>
      <c r="B270" s="69"/>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75"/>
      <c r="B271" s="69"/>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75"/>
      <c r="B272" s="69"/>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75"/>
      <c r="B273" s="69"/>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75"/>
      <c r="B274" s="69"/>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75"/>
      <c r="B275" s="69"/>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75"/>
      <c r="B276" s="69"/>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75"/>
      <c r="B277" s="69"/>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75"/>
      <c r="B278" s="69"/>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75"/>
      <c r="B279" s="69"/>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75"/>
      <c r="B280" s="69"/>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75"/>
      <c r="B281" s="69"/>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75"/>
      <c r="B282" s="69"/>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75"/>
      <c r="B283" s="69"/>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75"/>
      <c r="B284" s="69"/>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75"/>
      <c r="B285" s="69"/>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75"/>
      <c r="B286" s="69"/>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75"/>
      <c r="B287" s="69"/>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75"/>
      <c r="B288" s="69"/>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75"/>
      <c r="B289" s="69"/>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75"/>
      <c r="B290" s="69"/>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75"/>
      <c r="B291" s="69"/>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75"/>
      <c r="B292" s="69"/>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75"/>
      <c r="B293" s="69"/>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75"/>
      <c r="B294" s="69"/>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75"/>
      <c r="B295" s="69"/>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75"/>
      <c r="B296" s="69"/>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75"/>
      <c r="B297" s="69"/>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75"/>
      <c r="B298" s="69"/>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75"/>
      <c r="B299" s="69"/>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75"/>
      <c r="B300" s="69"/>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75"/>
      <c r="B301" s="69"/>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75"/>
      <c r="B302" s="69"/>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75"/>
      <c r="B303" s="69"/>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75"/>
      <c r="B304" s="69"/>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75"/>
      <c r="B305" s="69"/>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75"/>
      <c r="B306" s="69"/>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75"/>
      <c r="B307" s="69"/>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75"/>
      <c r="B308" s="69"/>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75"/>
      <c r="B309" s="69"/>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75"/>
      <c r="B310" s="69"/>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75"/>
      <c r="B311" s="69"/>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75"/>
      <c r="B312" s="69"/>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75"/>
      <c r="B313" s="69"/>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75"/>
      <c r="B314" s="69"/>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75"/>
      <c r="B315" s="69"/>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75"/>
      <c r="B316" s="69"/>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75"/>
      <c r="B317" s="69"/>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75"/>
      <c r="B318" s="69"/>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75"/>
      <c r="B319" s="69"/>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75"/>
      <c r="B320" s="69"/>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75"/>
      <c r="B321" s="69"/>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75"/>
      <c r="B322" s="69"/>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75"/>
      <c r="B323" s="69"/>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75"/>
      <c r="B324" s="69"/>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75"/>
      <c r="B325" s="69"/>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75"/>
      <c r="B326" s="69"/>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75"/>
      <c r="B327" s="69"/>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75"/>
      <c r="B328" s="69"/>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75"/>
      <c r="B329" s="69"/>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75"/>
      <c r="B330" s="69"/>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75"/>
      <c r="B331" s="69"/>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75"/>
      <c r="B332" s="69"/>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75"/>
      <c r="B333" s="69"/>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75"/>
      <c r="B334" s="69"/>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75"/>
      <c r="B335" s="69"/>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75"/>
      <c r="B336" s="69"/>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75"/>
      <c r="B337" s="69"/>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75"/>
      <c r="B338" s="69"/>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75"/>
      <c r="B339" s="69"/>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75"/>
      <c r="B340" s="69"/>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75"/>
      <c r="B341" s="69"/>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75"/>
      <c r="B342" s="69"/>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75"/>
      <c r="B343" s="69"/>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75"/>
      <c r="B344" s="69"/>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75"/>
      <c r="B345" s="69"/>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75"/>
      <c r="B346" s="69"/>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75"/>
      <c r="B347" s="69"/>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75"/>
      <c r="B348" s="69"/>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75"/>
      <c r="B349" s="69"/>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75"/>
      <c r="B350" s="69"/>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75"/>
      <c r="B351" s="69"/>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75"/>
      <c r="B352" s="69"/>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75"/>
      <c r="B353" s="69"/>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75"/>
      <c r="B354" s="69"/>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75"/>
      <c r="B355" s="69"/>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75"/>
      <c r="B356" s="69"/>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75"/>
      <c r="B357" s="69"/>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75"/>
      <c r="B358" s="69"/>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75"/>
      <c r="B359" s="69"/>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75"/>
      <c r="B360" s="69"/>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75"/>
      <c r="B361" s="69"/>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75"/>
      <c r="B362" s="69"/>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75"/>
      <c r="B363" s="69"/>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75"/>
      <c r="B364" s="69"/>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75"/>
      <c r="B365" s="69"/>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75"/>
      <c r="B366" s="69"/>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75"/>
      <c r="B367" s="69"/>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75"/>
      <c r="B368" s="69"/>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75"/>
      <c r="B369" s="69"/>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75"/>
      <c r="B370" s="69"/>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75"/>
      <c r="B371" s="69"/>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75"/>
      <c r="B372" s="69"/>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75"/>
      <c r="B373" s="69"/>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75"/>
      <c r="B374" s="69"/>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75"/>
      <c r="B375" s="69"/>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75"/>
      <c r="B376" s="69"/>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75"/>
      <c r="B377" s="69"/>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75"/>
      <c r="B378" s="69"/>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75"/>
      <c r="B379" s="69"/>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75"/>
      <c r="B380" s="69"/>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75"/>
      <c r="B381" s="69"/>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75"/>
      <c r="B382" s="69"/>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75"/>
      <c r="B383" s="69"/>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75"/>
      <c r="B384" s="69"/>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75"/>
      <c r="B385" s="69"/>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75"/>
      <c r="B386" s="69"/>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75"/>
      <c r="B387" s="69"/>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75"/>
      <c r="B388" s="69"/>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75"/>
      <c r="B389" s="69"/>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75"/>
      <c r="B390" s="69"/>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75"/>
      <c r="B391" s="69"/>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75"/>
      <c r="B392" s="69"/>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75"/>
      <c r="B393" s="69"/>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75"/>
      <c r="B394" s="69"/>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75"/>
      <c r="B395" s="69"/>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75"/>
      <c r="B396" s="69"/>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75"/>
      <c r="B397" s="69"/>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75"/>
      <c r="B398" s="69"/>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75"/>
      <c r="B399" s="69"/>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75"/>
      <c r="B400" s="69"/>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75"/>
      <c r="B401" s="69"/>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75"/>
      <c r="B402" s="69"/>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75"/>
      <c r="B403" s="69"/>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75"/>
      <c r="B404" s="69"/>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75"/>
      <c r="B405" s="69"/>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75"/>
      <c r="B406" s="69"/>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75"/>
      <c r="B407" s="69"/>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75"/>
      <c r="B408" s="69"/>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75"/>
      <c r="B409" s="69"/>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75"/>
      <c r="B410" s="69"/>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75"/>
      <c r="B411" s="69"/>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75"/>
      <c r="B412" s="69"/>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75"/>
      <c r="B413" s="69"/>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75"/>
      <c r="B414" s="69"/>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75"/>
      <c r="B415" s="69"/>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75"/>
      <c r="B416" s="69"/>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75"/>
      <c r="B417" s="69"/>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75"/>
      <c r="B418" s="69"/>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75"/>
      <c r="B419" s="69"/>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75"/>
      <c r="B420" s="69"/>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75"/>
      <c r="B421" s="69"/>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75"/>
      <c r="B422" s="69"/>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75"/>
      <c r="B423" s="69"/>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75"/>
      <c r="B424" s="69"/>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75"/>
      <c r="B425" s="69"/>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75"/>
      <c r="B426" s="69"/>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75"/>
      <c r="B427" s="69"/>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75"/>
      <c r="B428" s="69"/>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75"/>
      <c r="B429" s="69"/>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75"/>
      <c r="B430" s="69"/>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75"/>
      <c r="B431" s="69"/>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75"/>
      <c r="B432" s="69"/>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75"/>
      <c r="B433" s="69"/>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75"/>
      <c r="B434" s="69"/>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75"/>
      <c r="B435" s="69"/>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75"/>
      <c r="B436" s="69"/>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75"/>
      <c r="B437" s="69"/>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75"/>
      <c r="B438" s="69"/>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75"/>
      <c r="B439" s="69"/>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75"/>
      <c r="B440" s="69"/>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75"/>
      <c r="B441" s="69"/>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75"/>
      <c r="B442" s="69"/>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75"/>
      <c r="B443" s="69"/>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75"/>
      <c r="B444" s="69"/>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75"/>
      <c r="B445" s="69"/>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75"/>
      <c r="B446" s="69"/>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75"/>
      <c r="B447" s="69"/>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75"/>
      <c r="B448" s="69"/>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75"/>
      <c r="B449" s="69"/>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75"/>
      <c r="B450" s="69"/>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75"/>
      <c r="B451" s="69"/>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75"/>
      <c r="B452" s="69"/>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75"/>
      <c r="B453" s="69"/>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75"/>
      <c r="B454" s="69"/>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75"/>
      <c r="B455" s="69"/>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75"/>
      <c r="B456" s="69"/>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75"/>
      <c r="B457" s="69"/>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75"/>
      <c r="B458" s="69"/>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75"/>
      <c r="B459" s="69"/>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75"/>
      <c r="B460" s="69"/>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75"/>
      <c r="B461" s="69"/>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75"/>
      <c r="B462" s="69"/>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75"/>
      <c r="B463" s="69"/>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75"/>
      <c r="B464" s="69"/>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75"/>
      <c r="B465" s="69"/>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75"/>
      <c r="B466" s="69"/>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75"/>
      <c r="B467" s="69"/>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75"/>
      <c r="B468" s="69"/>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75"/>
      <c r="B469" s="69"/>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75"/>
      <c r="B470" s="69"/>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75"/>
      <c r="B471" s="69"/>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75"/>
      <c r="B472" s="69"/>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75"/>
      <c r="B473" s="69"/>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75"/>
      <c r="B474" s="69"/>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75"/>
      <c r="B475" s="69"/>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75"/>
      <c r="B476" s="69"/>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75"/>
      <c r="B477" s="69"/>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75"/>
      <c r="B478" s="69"/>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75"/>
      <c r="B479" s="69"/>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75"/>
      <c r="B480" s="69"/>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75"/>
      <c r="B481" s="69"/>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75"/>
      <c r="B482" s="69"/>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75"/>
      <c r="B483" s="69"/>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75"/>
      <c r="B484" s="69"/>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75"/>
      <c r="B485" s="69"/>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75"/>
      <c r="B486" s="69"/>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75"/>
      <c r="B487" s="69"/>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75"/>
      <c r="B488" s="69"/>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75"/>
      <c r="B489" s="69"/>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75"/>
      <c r="B490" s="69"/>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75"/>
      <c r="B491" s="69"/>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75"/>
      <c r="B492" s="69"/>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75"/>
      <c r="B493" s="69"/>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75"/>
      <c r="B494" s="69"/>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75"/>
      <c r="B495" s="69"/>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75"/>
      <c r="B496" s="69"/>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75"/>
      <c r="B497" s="69"/>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75"/>
      <c r="B498" s="69"/>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75"/>
      <c r="B499" s="69"/>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75"/>
      <c r="B500" s="69"/>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75"/>
      <c r="B501" s="69"/>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75"/>
      <c r="B502" s="69"/>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75"/>
      <c r="B503" s="69"/>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75"/>
      <c r="B504" s="69"/>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75"/>
      <c r="B505" s="69"/>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75"/>
      <c r="B506" s="69"/>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75"/>
      <c r="B507" s="69"/>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75"/>
      <c r="B508" s="69"/>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75"/>
      <c r="B509" s="69"/>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75"/>
      <c r="B510" s="69"/>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75"/>
      <c r="B511" s="69"/>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75"/>
      <c r="B512" s="69"/>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75"/>
      <c r="B513" s="69"/>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75"/>
      <c r="B514" s="69"/>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75"/>
      <c r="B515" s="69"/>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75"/>
      <c r="B516" s="69"/>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75"/>
      <c r="B517" s="69"/>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75"/>
      <c r="B518" s="69"/>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75"/>
      <c r="B519" s="69"/>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75"/>
      <c r="B520" s="69"/>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75"/>
      <c r="B521" s="69"/>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75"/>
      <c r="B522" s="69"/>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75"/>
      <c r="B523" s="69"/>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75"/>
      <c r="B524" s="69"/>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75"/>
      <c r="B525" s="69"/>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75"/>
      <c r="B526" s="69"/>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75"/>
      <c r="B527" s="69"/>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75"/>
      <c r="B528" s="69"/>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75"/>
      <c r="B529" s="69"/>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75"/>
      <c r="B530" s="69"/>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75"/>
      <c r="B531" s="69"/>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75"/>
      <c r="B532" s="69"/>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75"/>
      <c r="B533" s="69"/>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75"/>
      <c r="B534" s="69"/>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75"/>
      <c r="B535" s="69"/>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75"/>
      <c r="B536" s="69"/>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75"/>
      <c r="B537" s="69"/>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75"/>
      <c r="B538" s="69"/>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75"/>
      <c r="B539" s="69"/>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75"/>
      <c r="B540" s="69"/>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75"/>
      <c r="B541" s="69"/>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75"/>
      <c r="B542" s="69"/>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75"/>
      <c r="B543" s="69"/>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75"/>
      <c r="B544" s="69"/>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75"/>
      <c r="B545" s="69"/>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75"/>
      <c r="B546" s="69"/>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75"/>
      <c r="B547" s="69"/>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75"/>
      <c r="B548" s="69"/>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75"/>
      <c r="B549" s="69"/>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75"/>
      <c r="B550" s="69"/>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75"/>
      <c r="B551" s="69"/>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75"/>
      <c r="B552" s="69"/>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75"/>
      <c r="B553" s="69"/>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75"/>
      <c r="B554" s="69"/>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75"/>
      <c r="B555" s="69"/>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75"/>
      <c r="B556" s="69"/>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75"/>
      <c r="B557" s="69"/>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75"/>
      <c r="B558" s="69"/>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75"/>
      <c r="B559" s="69"/>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75"/>
      <c r="B560" s="69"/>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75"/>
      <c r="B561" s="69"/>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75"/>
      <c r="B562" s="69"/>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75"/>
      <c r="B563" s="69"/>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75"/>
      <c r="B564" s="69"/>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75"/>
      <c r="B565" s="69"/>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75"/>
      <c r="B566" s="69"/>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75"/>
      <c r="B567" s="69"/>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75"/>
      <c r="B568" s="69"/>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75"/>
      <c r="B569" s="69"/>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75"/>
      <c r="B570" s="69"/>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75"/>
      <c r="B571" s="69"/>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75"/>
      <c r="B572" s="69"/>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75"/>
      <c r="B573" s="69"/>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75"/>
      <c r="B574" s="69"/>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75"/>
      <c r="B575" s="69"/>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75"/>
      <c r="B576" s="69"/>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75"/>
      <c r="B577" s="69"/>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75"/>
      <c r="B578" s="69"/>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75"/>
      <c r="B579" s="69"/>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75"/>
      <c r="B580" s="69"/>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75"/>
      <c r="B581" s="69"/>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75"/>
      <c r="B582" s="69"/>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75"/>
      <c r="B583" s="69"/>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75"/>
      <c r="B584" s="69"/>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75"/>
      <c r="B585" s="69"/>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75"/>
      <c r="B586" s="69"/>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75"/>
      <c r="B587" s="69"/>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75"/>
      <c r="B588" s="69"/>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75"/>
      <c r="B589" s="69"/>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75"/>
      <c r="B590" s="69"/>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75"/>
      <c r="B591" s="69"/>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75"/>
      <c r="B592" s="69"/>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75"/>
      <c r="B593" s="69"/>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75"/>
      <c r="B594" s="69"/>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75"/>
      <c r="B595" s="69"/>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75"/>
      <c r="B596" s="69"/>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75"/>
      <c r="B597" s="69"/>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75"/>
      <c r="B598" s="69"/>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75"/>
      <c r="B599" s="69"/>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75"/>
      <c r="B600" s="69"/>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75"/>
      <c r="B601" s="69"/>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75"/>
      <c r="B602" s="69"/>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75"/>
      <c r="B603" s="69"/>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75"/>
      <c r="B604" s="69"/>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75"/>
      <c r="B605" s="69"/>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75"/>
      <c r="B606" s="69"/>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75"/>
      <c r="B607" s="69"/>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75"/>
      <c r="B608" s="69"/>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75"/>
      <c r="B609" s="69"/>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75"/>
      <c r="B610" s="69"/>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75"/>
      <c r="B611" s="69"/>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75"/>
      <c r="B612" s="69"/>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75"/>
      <c r="B613" s="69"/>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75"/>
      <c r="B614" s="69"/>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75"/>
      <c r="B615" s="69"/>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75"/>
      <c r="B616" s="69"/>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75"/>
      <c r="B617" s="69"/>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75"/>
      <c r="B618" s="69"/>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75"/>
      <c r="B619" s="69"/>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75"/>
      <c r="B620" s="69"/>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75"/>
      <c r="B621" s="69"/>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75"/>
      <c r="B622" s="69"/>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75"/>
      <c r="B623" s="69"/>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75"/>
      <c r="B624" s="69"/>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75"/>
      <c r="B625" s="69"/>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75"/>
      <c r="B626" s="69"/>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75"/>
      <c r="B627" s="69"/>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75"/>
      <c r="B628" s="69"/>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75"/>
      <c r="B629" s="69"/>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75"/>
      <c r="B630" s="69"/>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75"/>
      <c r="B631" s="69"/>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75"/>
      <c r="B632" s="69"/>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75"/>
      <c r="B633" s="69"/>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75"/>
      <c r="B634" s="69"/>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75"/>
      <c r="B635" s="69"/>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75"/>
      <c r="B636" s="69"/>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75"/>
      <c r="B637" s="69"/>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75"/>
      <c r="B638" s="69"/>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75"/>
      <c r="B639" s="69"/>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75"/>
      <c r="B640" s="69"/>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75"/>
      <c r="B641" s="69"/>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75"/>
      <c r="B642" s="69"/>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75"/>
      <c r="B643" s="69"/>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75"/>
      <c r="B644" s="69"/>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75"/>
      <c r="B645" s="69"/>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75"/>
      <c r="B646" s="69"/>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75"/>
      <c r="B647" s="69"/>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75"/>
      <c r="B648" s="69"/>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75"/>
      <c r="B649" s="69"/>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75"/>
      <c r="B650" s="69"/>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75"/>
      <c r="B651" s="69"/>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75"/>
      <c r="B652" s="69"/>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75"/>
      <c r="B653" s="69"/>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75"/>
      <c r="B654" s="69"/>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75"/>
      <c r="B655" s="69"/>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75"/>
      <c r="B656" s="69"/>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75"/>
      <c r="B657" s="69"/>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75"/>
      <c r="B658" s="69"/>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75"/>
      <c r="B659" s="69"/>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75"/>
      <c r="B660" s="69"/>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75"/>
      <c r="B661" s="69"/>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75"/>
      <c r="B662" s="69"/>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75"/>
      <c r="B663" s="69"/>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75"/>
      <c r="B664" s="69"/>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75"/>
      <c r="B665" s="69"/>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75"/>
      <c r="B666" s="69"/>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75"/>
      <c r="B667" s="69"/>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75"/>
      <c r="B668" s="69"/>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75"/>
      <c r="B669" s="69"/>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75"/>
      <c r="B670" s="69"/>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75"/>
      <c r="B671" s="69"/>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75"/>
      <c r="B672" s="69"/>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75"/>
      <c r="B673" s="69"/>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75"/>
      <c r="B674" s="69"/>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75"/>
      <c r="B675" s="69"/>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75"/>
      <c r="B676" s="69"/>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75"/>
      <c r="B677" s="69"/>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75"/>
      <c r="B678" s="69"/>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75"/>
      <c r="B679" s="69"/>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75"/>
      <c r="B680" s="69"/>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75"/>
      <c r="B681" s="69"/>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75"/>
      <c r="B682" s="69"/>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75"/>
      <c r="B683" s="69"/>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75"/>
      <c r="B684" s="69"/>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75"/>
      <c r="B685" s="69"/>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75"/>
      <c r="B686" s="69"/>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75"/>
      <c r="B687" s="69"/>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75"/>
      <c r="B688" s="69"/>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75"/>
      <c r="B689" s="69"/>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75"/>
      <c r="B690" s="69"/>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75"/>
      <c r="B691" s="69"/>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75"/>
      <c r="B692" s="69"/>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75"/>
      <c r="B693" s="69"/>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75"/>
      <c r="B694" s="69"/>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75"/>
      <c r="B695" s="69"/>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75"/>
      <c r="B696" s="69"/>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75"/>
      <c r="B697" s="69"/>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75"/>
      <c r="B698" s="69"/>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75"/>
      <c r="B699" s="69"/>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75"/>
      <c r="B700" s="69"/>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75"/>
      <c r="B701" s="69"/>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75"/>
      <c r="B702" s="69"/>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75"/>
      <c r="B703" s="69"/>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75"/>
      <c r="B704" s="69"/>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75"/>
      <c r="B705" s="69"/>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75"/>
      <c r="B706" s="69"/>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75"/>
      <c r="B707" s="69"/>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75"/>
      <c r="B708" s="69"/>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75"/>
      <c r="B709" s="69"/>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75"/>
      <c r="B710" s="69"/>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75"/>
      <c r="B711" s="69"/>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75"/>
      <c r="B712" s="69"/>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75"/>
      <c r="B713" s="69"/>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75"/>
      <c r="B714" s="69"/>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75"/>
      <c r="B715" s="69"/>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75"/>
      <c r="B716" s="69"/>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75"/>
      <c r="B717" s="69"/>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75"/>
      <c r="B718" s="69"/>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75"/>
      <c r="B719" s="69"/>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75"/>
      <c r="B720" s="69"/>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75"/>
      <c r="B721" s="69"/>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75"/>
      <c r="B722" s="69"/>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75"/>
      <c r="B723" s="69"/>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75"/>
      <c r="B724" s="69"/>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75"/>
      <c r="B725" s="69"/>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75"/>
      <c r="B726" s="69"/>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75"/>
      <c r="B727" s="69"/>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75"/>
      <c r="B728" s="69"/>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75"/>
      <c r="B729" s="69"/>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75"/>
      <c r="B730" s="69"/>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75"/>
      <c r="B731" s="69"/>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75"/>
      <c r="B732" s="69"/>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75"/>
      <c r="B733" s="69"/>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75"/>
      <c r="B734" s="69"/>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75"/>
      <c r="B735" s="69"/>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75"/>
      <c r="B736" s="69"/>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75"/>
      <c r="B737" s="69"/>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75"/>
      <c r="B738" s="69"/>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75"/>
      <c r="B739" s="69"/>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75"/>
      <c r="B740" s="69"/>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75"/>
      <c r="B741" s="69"/>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75"/>
      <c r="B742" s="69"/>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75"/>
      <c r="B743" s="69"/>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75"/>
      <c r="B744" s="69"/>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75"/>
      <c r="B745" s="69"/>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75"/>
      <c r="B746" s="69"/>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75"/>
      <c r="B747" s="69"/>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75"/>
      <c r="B748" s="69"/>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75"/>
      <c r="B749" s="69"/>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75"/>
      <c r="B750" s="69"/>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75"/>
      <c r="B751" s="69"/>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75"/>
      <c r="B752" s="69"/>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75"/>
      <c r="B753" s="69"/>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75"/>
      <c r="B754" s="69"/>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75"/>
      <c r="B755" s="69"/>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75"/>
      <c r="B756" s="69"/>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75"/>
      <c r="B757" s="69"/>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75"/>
      <c r="B758" s="69"/>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75"/>
      <c r="B759" s="69"/>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75"/>
      <c r="B760" s="69"/>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75"/>
      <c r="B761" s="69"/>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75"/>
      <c r="B762" s="69"/>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75"/>
      <c r="B763" s="69"/>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75"/>
      <c r="B764" s="69"/>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75"/>
      <c r="B765" s="69"/>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75"/>
      <c r="B766" s="69"/>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75"/>
      <c r="B767" s="69"/>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75"/>
      <c r="B768" s="69"/>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75"/>
      <c r="B769" s="69"/>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75"/>
      <c r="B770" s="69"/>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75"/>
      <c r="B771" s="69"/>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75"/>
      <c r="B772" s="69"/>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75"/>
      <c r="B773" s="69"/>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75"/>
      <c r="B774" s="69"/>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75"/>
      <c r="B775" s="69"/>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75"/>
      <c r="B776" s="69"/>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75"/>
      <c r="B777" s="69"/>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75"/>
      <c r="B778" s="69"/>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75"/>
      <c r="B779" s="69"/>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75"/>
      <c r="B780" s="69"/>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75"/>
      <c r="B781" s="69"/>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75"/>
      <c r="B782" s="69"/>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75"/>
      <c r="B783" s="69"/>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75"/>
      <c r="B784" s="69"/>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75"/>
      <c r="B785" s="69"/>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75"/>
      <c r="B786" s="69"/>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75"/>
      <c r="B787" s="69"/>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75"/>
      <c r="B788" s="69"/>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75"/>
      <c r="B789" s="69"/>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75"/>
      <c r="B790" s="69"/>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75"/>
      <c r="B791" s="69"/>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75"/>
      <c r="B792" s="69"/>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75"/>
      <c r="B793" s="69"/>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75"/>
      <c r="B794" s="69"/>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75"/>
      <c r="B795" s="69"/>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75"/>
      <c r="B796" s="69"/>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75"/>
      <c r="B797" s="69"/>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75"/>
      <c r="B798" s="69"/>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75"/>
      <c r="B799" s="69"/>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75"/>
      <c r="B800" s="69"/>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75"/>
      <c r="B801" s="69"/>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75"/>
      <c r="B802" s="69"/>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75"/>
      <c r="B803" s="69"/>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75"/>
      <c r="B804" s="69"/>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75"/>
      <c r="B805" s="69"/>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75"/>
      <c r="B806" s="69"/>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75"/>
      <c r="B807" s="69"/>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75"/>
      <c r="B808" s="69"/>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75"/>
      <c r="B809" s="69"/>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75"/>
      <c r="B810" s="69"/>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75"/>
      <c r="B811" s="69"/>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75"/>
      <c r="B812" s="69"/>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75"/>
      <c r="B813" s="69"/>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75"/>
      <c r="B814" s="69"/>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75"/>
      <c r="B815" s="69"/>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75"/>
      <c r="B816" s="69"/>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75"/>
      <c r="B817" s="69"/>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75"/>
      <c r="B818" s="69"/>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75"/>
      <c r="B819" s="69"/>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75"/>
      <c r="B820" s="69"/>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75"/>
      <c r="B821" s="69"/>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75"/>
      <c r="B822" s="69"/>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75"/>
      <c r="B823" s="69"/>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75"/>
      <c r="B824" s="69"/>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75"/>
      <c r="B825" s="69"/>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75"/>
      <c r="B826" s="69"/>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75"/>
      <c r="B827" s="69"/>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75"/>
      <c r="B828" s="69"/>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75"/>
      <c r="B829" s="69"/>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75"/>
      <c r="B830" s="69"/>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75"/>
      <c r="B831" s="69"/>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75"/>
      <c r="B832" s="69"/>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75"/>
      <c r="B833" s="69"/>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75"/>
      <c r="B834" s="69"/>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75"/>
      <c r="B835" s="69"/>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75"/>
      <c r="B836" s="69"/>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75"/>
      <c r="B837" s="69"/>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75"/>
      <c r="B838" s="69"/>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75"/>
      <c r="B839" s="69"/>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75"/>
      <c r="B840" s="69"/>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75"/>
      <c r="B841" s="69"/>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75"/>
      <c r="B842" s="69"/>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75"/>
      <c r="B843" s="69"/>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75"/>
      <c r="B844" s="69"/>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75"/>
      <c r="B845" s="69"/>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75"/>
      <c r="B846" s="69"/>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75"/>
      <c r="B847" s="69"/>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75"/>
      <c r="B848" s="69"/>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75"/>
      <c r="B849" s="69"/>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75"/>
      <c r="B850" s="69"/>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75"/>
      <c r="B851" s="69"/>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75"/>
      <c r="B852" s="69"/>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75"/>
      <c r="B853" s="69"/>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75"/>
      <c r="B854" s="69"/>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75"/>
      <c r="B855" s="69"/>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75"/>
      <c r="B856" s="69"/>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75"/>
      <c r="B857" s="69"/>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75"/>
      <c r="B858" s="69"/>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75"/>
      <c r="B859" s="69"/>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75"/>
      <c r="B860" s="69"/>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75"/>
      <c r="B861" s="69"/>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75"/>
      <c r="B862" s="69"/>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75"/>
      <c r="B863" s="69"/>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75"/>
      <c r="B864" s="69"/>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75"/>
      <c r="B865" s="69"/>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75"/>
      <c r="B866" s="69"/>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75"/>
      <c r="B867" s="69"/>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75"/>
      <c r="B868" s="69"/>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75"/>
      <c r="B869" s="69"/>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75"/>
      <c r="B870" s="69"/>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75"/>
      <c r="B871" s="69"/>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75"/>
      <c r="B872" s="69"/>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75"/>
      <c r="B873" s="69"/>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75"/>
      <c r="B874" s="69"/>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75"/>
      <c r="B875" s="69"/>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75"/>
      <c r="B876" s="69"/>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75"/>
      <c r="B877" s="69"/>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75"/>
      <c r="B878" s="69"/>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75"/>
      <c r="B879" s="69"/>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75"/>
      <c r="B880" s="69"/>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75"/>
      <c r="B881" s="69"/>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75"/>
      <c r="B882" s="69"/>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75"/>
      <c r="B883" s="69"/>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75"/>
      <c r="B884" s="69"/>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75"/>
      <c r="B885" s="69"/>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75"/>
      <c r="B886" s="69"/>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75"/>
      <c r="B887" s="69"/>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75"/>
      <c r="B888" s="69"/>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75"/>
      <c r="B889" s="69"/>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75"/>
      <c r="B890" s="69"/>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75"/>
      <c r="B891" s="69"/>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75"/>
      <c r="B892" s="69"/>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75"/>
      <c r="B893" s="69"/>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75"/>
      <c r="B894" s="69"/>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75"/>
      <c r="B895" s="69"/>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75"/>
      <c r="B896" s="69"/>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75"/>
      <c r="B897" s="69"/>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75"/>
      <c r="B898" s="69"/>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75"/>
      <c r="B899" s="69"/>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75"/>
      <c r="B900" s="69"/>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75"/>
      <c r="B901" s="69"/>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75"/>
      <c r="B902" s="69"/>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75"/>
      <c r="B903" s="69"/>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75"/>
      <c r="B904" s="69"/>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75"/>
      <c r="B905" s="69"/>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75"/>
      <c r="B906" s="69"/>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75"/>
      <c r="B907" s="69"/>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75"/>
      <c r="B908" s="69"/>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75"/>
      <c r="B909" s="69"/>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75"/>
      <c r="B910" s="69"/>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75"/>
      <c r="B911" s="69"/>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75"/>
      <c r="B912" s="69"/>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75"/>
      <c r="B913" s="69"/>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75"/>
      <c r="B914" s="69"/>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75"/>
      <c r="B915" s="69"/>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75"/>
      <c r="B916" s="69"/>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75"/>
      <c r="B917" s="69"/>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75"/>
      <c r="B918" s="69"/>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75"/>
      <c r="B919" s="69"/>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75"/>
      <c r="B920" s="69"/>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75"/>
      <c r="B921" s="69"/>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75"/>
      <c r="B922" s="69"/>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75"/>
      <c r="B923" s="69"/>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75"/>
      <c r="B924" s="69"/>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75"/>
      <c r="B925" s="69"/>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75"/>
      <c r="B926" s="69"/>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75"/>
      <c r="B927" s="69"/>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75"/>
      <c r="B928" s="69"/>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75"/>
      <c r="B929" s="69"/>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75"/>
      <c r="B930" s="69"/>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75"/>
      <c r="B931" s="69"/>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75"/>
      <c r="B932" s="69"/>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75"/>
      <c r="B933" s="69"/>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75"/>
      <c r="B934" s="69"/>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75"/>
      <c r="B935" s="69"/>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75"/>
      <c r="B936" s="69"/>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75"/>
      <c r="B937" s="69"/>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75"/>
      <c r="B938" s="69"/>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75"/>
      <c r="B939" s="69"/>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75"/>
      <c r="B940" s="69"/>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75"/>
      <c r="B941" s="69"/>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75"/>
      <c r="B942" s="69"/>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75"/>
      <c r="B943" s="69"/>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75"/>
      <c r="B944" s="69"/>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75"/>
      <c r="B945" s="69"/>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75"/>
      <c r="B946" s="69"/>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75"/>
      <c r="B947" s="69"/>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75"/>
      <c r="B948" s="69"/>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75"/>
      <c r="B949" s="69"/>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75"/>
      <c r="B950" s="69"/>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75"/>
      <c r="B951" s="69"/>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75"/>
      <c r="B952" s="69"/>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75"/>
      <c r="B953" s="69"/>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75"/>
      <c r="B954" s="69"/>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75"/>
      <c r="B955" s="69"/>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75"/>
      <c r="B956" s="69"/>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75"/>
      <c r="B957" s="69"/>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75"/>
      <c r="B958" s="69"/>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75"/>
      <c r="B959" s="69"/>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75"/>
      <c r="B960" s="69"/>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75"/>
      <c r="B961" s="69"/>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75"/>
      <c r="B962" s="69"/>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75"/>
      <c r="B963" s="69"/>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75"/>
      <c r="B964" s="69"/>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75"/>
      <c r="B965" s="69"/>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75"/>
      <c r="B966" s="69"/>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75"/>
      <c r="B967" s="69"/>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75"/>
      <c r="B968" s="69"/>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75"/>
      <c r="B969" s="69"/>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75"/>
      <c r="B970" s="69"/>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75"/>
      <c r="B971" s="69"/>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75"/>
      <c r="B972" s="69"/>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75"/>
      <c r="B973" s="69"/>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75"/>
      <c r="B974" s="69"/>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75"/>
      <c r="B975" s="69"/>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75"/>
      <c r="B976" s="69"/>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75"/>
      <c r="B977" s="69"/>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75"/>
      <c r="B978" s="69"/>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978">
    <cfRule type="colorScale" priority="1">
      <colorScale>
        <cfvo type="formula" val="0"/>
        <cfvo type="formula" val="1"/>
        <color rgb="FFFFFFFF"/>
        <color rgb="FFE67C73"/>
      </colorScale>
    </cfRule>
  </conditionalFormatting>
  <conditionalFormatting sqref="E2:E978">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70" t="s">
        <v>0</v>
      </c>
      <c r="B1" s="71"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c r="A2" s="72" t="s">
        <v>33</v>
      </c>
      <c r="B2" s="73" t="s">
        <v>34</v>
      </c>
      <c r="C2" s="7" t="s">
        <v>21</v>
      </c>
      <c r="D2" s="54" t="s">
        <v>232</v>
      </c>
      <c r="E2" s="74">
        <f>IFERROR(__xludf.DUMMYFUNCTION("COUNTA(SPLIT(D2,"" ""))/COUNTA(SPLIT($B$2,"" ""))"),0.17942857142857144)</f>
        <v>0.1794285714</v>
      </c>
      <c r="F2" s="7">
        <v>5.0</v>
      </c>
      <c r="G2" s="7">
        <v>5.0</v>
      </c>
      <c r="H2" s="7">
        <v>5.0</v>
      </c>
      <c r="I2" s="7">
        <v>4.0</v>
      </c>
      <c r="J2" s="7">
        <v>4.0</v>
      </c>
      <c r="K2" s="56"/>
      <c r="L2" s="56"/>
      <c r="M2" s="56"/>
      <c r="N2" s="56"/>
      <c r="O2" s="56"/>
      <c r="P2" s="56"/>
      <c r="Q2" s="56"/>
      <c r="R2" s="56"/>
      <c r="S2" s="56"/>
      <c r="T2" s="56"/>
      <c r="U2" s="56"/>
      <c r="V2" s="56"/>
      <c r="W2" s="56"/>
      <c r="X2" s="56"/>
      <c r="Y2" s="56"/>
      <c r="Z2" s="56"/>
      <c r="AA2" s="56"/>
      <c r="AB2" s="56"/>
    </row>
    <row r="3">
      <c r="C3" s="7" t="s">
        <v>22</v>
      </c>
      <c r="D3" s="54" t="s">
        <v>233</v>
      </c>
      <c r="E3" s="74">
        <f>IFERROR(__xludf.DUMMYFUNCTION("COUNTA(SPLIT(D3,"" ""))/COUNTA(SPLIT($B$2,"" ""))"),0.2857142857142857)</f>
        <v>0.2857142857</v>
      </c>
      <c r="F3" s="67">
        <v>3.0</v>
      </c>
      <c r="G3" s="67">
        <v>5.0</v>
      </c>
      <c r="H3" s="67">
        <v>5.0</v>
      </c>
      <c r="I3" s="67">
        <v>3.0</v>
      </c>
      <c r="J3" s="67">
        <v>4.0</v>
      </c>
      <c r="K3" s="56"/>
      <c r="L3" s="56"/>
      <c r="M3" s="56"/>
      <c r="N3" s="56"/>
      <c r="O3" s="56"/>
      <c r="P3" s="56"/>
      <c r="Q3" s="56"/>
      <c r="R3" s="56"/>
      <c r="S3" s="56"/>
      <c r="T3" s="56"/>
      <c r="U3" s="56"/>
      <c r="V3" s="56"/>
      <c r="W3" s="56"/>
      <c r="X3" s="56"/>
      <c r="Y3" s="56"/>
      <c r="Z3" s="56"/>
      <c r="AA3" s="56"/>
      <c r="AB3" s="56"/>
    </row>
    <row r="4">
      <c r="C4" s="7" t="s">
        <v>8</v>
      </c>
      <c r="D4" s="54" t="s">
        <v>234</v>
      </c>
      <c r="E4" s="74">
        <f>IFERROR(__xludf.DUMMYFUNCTION("COUNTA(SPLIT(D4,"" ""))/COUNTA(SPLIT($B$2,"" ""))"),0.32571428571428573)</f>
        <v>0.3257142857</v>
      </c>
      <c r="F4" s="7">
        <v>3.0</v>
      </c>
      <c r="G4" s="7">
        <v>5.0</v>
      </c>
      <c r="H4" s="7">
        <v>5.0</v>
      </c>
      <c r="I4" s="7">
        <v>3.0</v>
      </c>
      <c r="J4" s="7">
        <v>4.0</v>
      </c>
      <c r="K4" s="56"/>
      <c r="L4" s="56"/>
      <c r="M4" s="56"/>
      <c r="N4" s="56"/>
      <c r="O4" s="56"/>
      <c r="P4" s="56"/>
      <c r="Q4" s="56"/>
      <c r="R4" s="56"/>
      <c r="S4" s="56"/>
      <c r="T4" s="56"/>
      <c r="U4" s="56"/>
      <c r="V4" s="56"/>
      <c r="W4" s="56"/>
      <c r="X4" s="56"/>
      <c r="Y4" s="56"/>
      <c r="Z4" s="56"/>
      <c r="AA4" s="56"/>
      <c r="AB4" s="56"/>
    </row>
    <row r="5">
      <c r="C5" s="7" t="s">
        <v>23</v>
      </c>
      <c r="D5" s="91" t="s">
        <v>235</v>
      </c>
      <c r="E5" s="74">
        <f>IFERROR(__xludf.DUMMYFUNCTION("COUNTA(SPLIT(D5,"" ""))/COUNTA(SPLIT($B$2,"" ""))"),0.10971428571428571)</f>
        <v>0.1097142857</v>
      </c>
      <c r="F5" s="67">
        <v>4.0</v>
      </c>
      <c r="G5" s="67">
        <v>5.0</v>
      </c>
      <c r="H5" s="67">
        <v>5.0</v>
      </c>
      <c r="I5" s="67">
        <v>5.0</v>
      </c>
      <c r="J5" s="67">
        <v>3.0</v>
      </c>
      <c r="K5" s="56"/>
      <c r="L5" s="56"/>
      <c r="M5" s="56"/>
      <c r="N5" s="56"/>
      <c r="O5" s="56"/>
      <c r="P5" s="56"/>
      <c r="Q5" s="56"/>
      <c r="R5" s="56"/>
      <c r="S5" s="56"/>
      <c r="T5" s="56"/>
      <c r="U5" s="56"/>
      <c r="V5" s="56"/>
      <c r="W5" s="56"/>
      <c r="X5" s="56"/>
      <c r="Y5" s="56"/>
      <c r="Z5" s="56"/>
      <c r="AA5" s="56"/>
      <c r="AB5" s="56"/>
    </row>
    <row r="6">
      <c r="A6" s="75"/>
      <c r="B6" s="69"/>
      <c r="C6" s="60"/>
      <c r="D6" s="61"/>
      <c r="E6" s="74"/>
      <c r="F6" s="60"/>
      <c r="G6" s="60"/>
      <c r="H6" s="60"/>
      <c r="I6" s="60"/>
      <c r="J6" s="60"/>
      <c r="K6" s="56"/>
      <c r="L6" s="56"/>
      <c r="M6" s="56"/>
      <c r="N6" s="56"/>
      <c r="O6" s="56"/>
      <c r="P6" s="56"/>
      <c r="Q6" s="56"/>
      <c r="R6" s="56"/>
      <c r="S6" s="56"/>
      <c r="T6" s="56"/>
      <c r="U6" s="56"/>
      <c r="V6" s="56"/>
      <c r="W6" s="56"/>
      <c r="X6" s="56"/>
      <c r="Y6" s="56"/>
      <c r="Z6" s="56"/>
      <c r="AA6" s="56"/>
      <c r="AB6" s="56"/>
    </row>
    <row r="7">
      <c r="A7" s="76" t="s">
        <v>37</v>
      </c>
      <c r="B7" s="77" t="s">
        <v>38</v>
      </c>
      <c r="C7" s="64" t="s">
        <v>21</v>
      </c>
      <c r="D7" s="65" t="s">
        <v>236</v>
      </c>
      <c r="E7" s="78">
        <f>IFERROR(__xludf.DUMMYFUNCTION("COUNTA(SPLIT(D7,"" ""))/COUNTA(SPLIT($B$7,"" ""))"),0.20169082125603865)</f>
        <v>0.2016908213</v>
      </c>
      <c r="F7" s="67">
        <v>4.0</v>
      </c>
      <c r="G7" s="67">
        <v>5.0</v>
      </c>
      <c r="H7" s="67">
        <v>5.0</v>
      </c>
      <c r="I7" s="67">
        <v>5.0</v>
      </c>
      <c r="J7" s="67">
        <v>4.0</v>
      </c>
      <c r="K7" s="68"/>
      <c r="L7" s="68"/>
      <c r="M7" s="68"/>
      <c r="N7" s="68"/>
      <c r="O7" s="68"/>
      <c r="P7" s="68"/>
      <c r="Q7" s="68"/>
      <c r="R7" s="68"/>
      <c r="S7" s="68"/>
      <c r="T7" s="68"/>
      <c r="U7" s="68"/>
      <c r="V7" s="68"/>
      <c r="W7" s="68"/>
      <c r="X7" s="68"/>
      <c r="Y7" s="68"/>
      <c r="Z7" s="68"/>
      <c r="AA7" s="68"/>
      <c r="AB7" s="68"/>
    </row>
    <row r="8">
      <c r="C8" s="7" t="s">
        <v>22</v>
      </c>
      <c r="D8" s="54" t="s">
        <v>237</v>
      </c>
      <c r="E8" s="74">
        <f>IFERROR(__xludf.DUMMYFUNCTION("COUNTA(SPLIT(D8,"" ""))/COUNTA(SPLIT($B$7,"" ""))"),0.18478260869565216)</f>
        <v>0.1847826087</v>
      </c>
      <c r="F8" s="7">
        <v>3.0</v>
      </c>
      <c r="G8" s="7">
        <v>5.0</v>
      </c>
      <c r="H8" s="7">
        <v>5.0</v>
      </c>
      <c r="I8" s="7">
        <v>3.0</v>
      </c>
      <c r="J8" s="7">
        <v>3.0</v>
      </c>
      <c r="K8" s="56"/>
      <c r="L8" s="56"/>
      <c r="M8" s="56"/>
      <c r="N8" s="56"/>
      <c r="O8" s="56"/>
      <c r="P8" s="56"/>
      <c r="Q8" s="56"/>
      <c r="R8" s="56"/>
      <c r="S8" s="56"/>
      <c r="T8" s="56"/>
      <c r="U8" s="56"/>
      <c r="V8" s="56"/>
      <c r="W8" s="56"/>
      <c r="X8" s="56"/>
      <c r="Y8" s="56"/>
      <c r="Z8" s="56"/>
      <c r="AA8" s="56"/>
      <c r="AB8" s="56"/>
    </row>
    <row r="9">
      <c r="C9" s="7" t="s">
        <v>8</v>
      </c>
      <c r="D9" s="54" t="s">
        <v>238</v>
      </c>
      <c r="E9" s="74">
        <f>IFERROR(__xludf.DUMMYFUNCTION("COUNTA(SPLIT(D9,"" ""))/COUNTA(SPLIT($B$7,"" ""))"),0.24396135265700483)</f>
        <v>0.2439613527</v>
      </c>
      <c r="F9" s="7">
        <v>3.0</v>
      </c>
      <c r="G9" s="7">
        <v>5.0</v>
      </c>
      <c r="H9" s="7">
        <v>5.0</v>
      </c>
      <c r="I9" s="7">
        <v>3.0</v>
      </c>
      <c r="J9" s="7">
        <v>3.0</v>
      </c>
      <c r="K9" s="56"/>
      <c r="L9" s="56"/>
      <c r="M9" s="56"/>
      <c r="N9" s="56"/>
      <c r="O9" s="56"/>
      <c r="P9" s="56"/>
      <c r="Q9" s="56"/>
      <c r="R9" s="56"/>
      <c r="S9" s="56"/>
      <c r="T9" s="56"/>
      <c r="U9" s="56"/>
      <c r="V9" s="56"/>
      <c r="W9" s="56"/>
      <c r="X9" s="56"/>
      <c r="Y9" s="56"/>
      <c r="Z9" s="56"/>
      <c r="AA9" s="56"/>
      <c r="AB9" s="56"/>
    </row>
    <row r="10">
      <c r="C10" s="7" t="s">
        <v>23</v>
      </c>
      <c r="D10" s="54" t="s">
        <v>239</v>
      </c>
      <c r="E10" s="74">
        <f>IFERROR(__xludf.DUMMYFUNCTION("COUNTA(SPLIT(D10,"" ""))/COUNTA(SPLIT($B$7,"" ""))"),0.10748792270531402)</f>
        <v>0.1074879227</v>
      </c>
      <c r="F10" s="67">
        <v>4.0</v>
      </c>
      <c r="G10" s="67">
        <v>5.0</v>
      </c>
      <c r="H10" s="67">
        <v>5.0</v>
      </c>
      <c r="I10" s="67">
        <v>5.0</v>
      </c>
      <c r="J10" s="67">
        <v>3.0</v>
      </c>
      <c r="K10" s="56"/>
      <c r="L10" s="56"/>
      <c r="M10" s="56"/>
      <c r="N10" s="56"/>
      <c r="O10" s="56"/>
      <c r="P10" s="56"/>
      <c r="Q10" s="56"/>
      <c r="R10" s="56"/>
      <c r="S10" s="56"/>
      <c r="T10" s="56"/>
      <c r="U10" s="56"/>
      <c r="V10" s="56"/>
      <c r="W10" s="56"/>
      <c r="X10" s="56"/>
      <c r="Y10" s="56"/>
      <c r="Z10" s="56"/>
      <c r="AA10" s="56"/>
      <c r="AB10" s="56"/>
    </row>
    <row r="11">
      <c r="A11" s="75"/>
      <c r="B11" s="69"/>
      <c r="C11" s="60"/>
      <c r="D11" s="61"/>
      <c r="E11" s="74"/>
      <c r="F11" s="60"/>
      <c r="G11" s="60"/>
      <c r="H11" s="60"/>
      <c r="I11" s="60"/>
      <c r="J11" s="60"/>
      <c r="K11" s="56"/>
      <c r="L11" s="56"/>
      <c r="M11" s="56"/>
      <c r="N11" s="56"/>
      <c r="O11" s="56"/>
      <c r="P11" s="56"/>
      <c r="Q11" s="56"/>
      <c r="R11" s="56"/>
      <c r="S11" s="56"/>
      <c r="T11" s="56"/>
      <c r="U11" s="56"/>
      <c r="V11" s="56"/>
      <c r="W11" s="56"/>
      <c r="X11" s="56"/>
      <c r="Y11" s="56"/>
      <c r="Z11" s="56"/>
      <c r="AA11" s="56"/>
      <c r="AB11" s="56"/>
    </row>
    <row r="12">
      <c r="A12" s="76" t="s">
        <v>41</v>
      </c>
      <c r="B12" s="77" t="s">
        <v>42</v>
      </c>
      <c r="C12" s="64" t="s">
        <v>21</v>
      </c>
      <c r="D12" s="65" t="s">
        <v>240</v>
      </c>
      <c r="E12" s="78">
        <f>IFERROR(__xludf.DUMMYFUNCTION("COUNTA(SPLIT(D12,"" ""))/COUNTA(SPLIT($B$12,"" ""))"),0.17539863325740318)</f>
        <v>0.1753986333</v>
      </c>
      <c r="F12" s="67">
        <v>5.0</v>
      </c>
      <c r="G12" s="67">
        <v>5.0</v>
      </c>
      <c r="H12" s="67">
        <v>5.0</v>
      </c>
      <c r="I12" s="67">
        <v>5.0</v>
      </c>
      <c r="J12" s="67">
        <v>4.0</v>
      </c>
      <c r="K12" s="68"/>
      <c r="L12" s="68"/>
      <c r="M12" s="68"/>
      <c r="N12" s="68"/>
      <c r="O12" s="68"/>
      <c r="P12" s="68"/>
      <c r="Q12" s="68"/>
      <c r="R12" s="68"/>
      <c r="S12" s="68"/>
      <c r="T12" s="68"/>
      <c r="U12" s="68"/>
      <c r="V12" s="68"/>
      <c r="W12" s="68"/>
      <c r="X12" s="68"/>
      <c r="Y12" s="68"/>
      <c r="Z12" s="68"/>
      <c r="AA12" s="68"/>
      <c r="AB12" s="68"/>
    </row>
    <row r="13">
      <c r="C13" s="7" t="s">
        <v>22</v>
      </c>
      <c r="D13" s="54" t="s">
        <v>241</v>
      </c>
      <c r="E13" s="74">
        <f>IFERROR(__xludf.DUMMYFUNCTION("COUNTA(SPLIT(D13,"" ""))/COUNTA(SPLIT($B$12,"" ""))"),0.1560364464692483)</f>
        <v>0.1560364465</v>
      </c>
      <c r="F13" s="67">
        <v>3.0</v>
      </c>
      <c r="G13" s="67">
        <v>5.0</v>
      </c>
      <c r="H13" s="67">
        <v>5.0</v>
      </c>
      <c r="I13" s="67">
        <v>3.0</v>
      </c>
      <c r="J13" s="67">
        <v>4.0</v>
      </c>
      <c r="K13" s="56"/>
      <c r="L13" s="56"/>
      <c r="M13" s="56"/>
      <c r="N13" s="56"/>
      <c r="O13" s="56"/>
      <c r="P13" s="56"/>
      <c r="Q13" s="56"/>
      <c r="R13" s="56"/>
      <c r="S13" s="56"/>
      <c r="T13" s="56"/>
      <c r="U13" s="56"/>
      <c r="V13" s="56"/>
      <c r="W13" s="56"/>
      <c r="X13" s="56"/>
      <c r="Y13" s="56"/>
      <c r="Z13" s="56"/>
      <c r="AA13" s="56"/>
      <c r="AB13" s="56"/>
    </row>
    <row r="14">
      <c r="C14" s="7" t="s">
        <v>8</v>
      </c>
      <c r="D14" s="54" t="s">
        <v>242</v>
      </c>
      <c r="E14" s="74">
        <f>IFERROR(__xludf.DUMMYFUNCTION("COUNTA(SPLIT(D14,"" ""))/COUNTA(SPLIT($B$12,"" ""))"),0.22892938496583143)</f>
        <v>0.228929385</v>
      </c>
      <c r="F14" s="7">
        <v>3.0</v>
      </c>
      <c r="G14" s="7">
        <v>3.0</v>
      </c>
      <c r="H14" s="7">
        <v>5.0</v>
      </c>
      <c r="I14" s="7">
        <v>4.0</v>
      </c>
      <c r="J14" s="7">
        <v>4.0</v>
      </c>
      <c r="K14" s="56"/>
      <c r="L14" s="56"/>
      <c r="M14" s="56"/>
      <c r="N14" s="56"/>
      <c r="O14" s="56"/>
      <c r="P14" s="56"/>
      <c r="Q14" s="56"/>
      <c r="R14" s="56"/>
      <c r="S14" s="56"/>
      <c r="T14" s="56"/>
      <c r="U14" s="56"/>
      <c r="V14" s="56"/>
      <c r="W14" s="56"/>
      <c r="X14" s="56"/>
      <c r="Y14" s="56"/>
      <c r="Z14" s="56"/>
      <c r="AA14" s="56"/>
      <c r="AB14" s="56"/>
    </row>
    <row r="15">
      <c r="C15" s="7" t="s">
        <v>23</v>
      </c>
      <c r="D15" s="54" t="s">
        <v>243</v>
      </c>
      <c r="E15" s="74">
        <f>IFERROR(__xludf.DUMMYFUNCTION("COUNTA(SPLIT(D15,"" ""))/COUNTA(SPLIT($B$12,"" ""))"),0.14236902050113895)</f>
        <v>0.1423690205</v>
      </c>
      <c r="F15" s="67">
        <v>5.0</v>
      </c>
      <c r="G15" s="67">
        <v>2.0</v>
      </c>
      <c r="H15" s="67">
        <v>5.0</v>
      </c>
      <c r="I15" s="67">
        <v>5.0</v>
      </c>
      <c r="J15" s="67">
        <v>3.0</v>
      </c>
      <c r="K15" s="56"/>
      <c r="L15" s="56"/>
      <c r="M15" s="56"/>
      <c r="N15" s="56"/>
      <c r="O15" s="56"/>
      <c r="P15" s="56"/>
      <c r="Q15" s="56"/>
      <c r="R15" s="56"/>
      <c r="S15" s="56"/>
      <c r="T15" s="56"/>
      <c r="U15" s="56"/>
      <c r="V15" s="56"/>
      <c r="W15" s="56"/>
      <c r="X15" s="56"/>
      <c r="Y15" s="56"/>
      <c r="Z15" s="56"/>
      <c r="AA15" s="56"/>
      <c r="AB15" s="56"/>
    </row>
    <row r="16">
      <c r="A16" s="75"/>
      <c r="B16" s="69"/>
      <c r="C16" s="60"/>
      <c r="D16" s="61"/>
      <c r="E16" s="74"/>
      <c r="F16" s="60"/>
      <c r="G16" s="60"/>
      <c r="H16" s="60"/>
      <c r="I16" s="60"/>
      <c r="J16" s="60"/>
      <c r="K16" s="56"/>
      <c r="L16" s="56"/>
      <c r="M16" s="56"/>
      <c r="N16" s="56"/>
      <c r="O16" s="56"/>
      <c r="P16" s="56"/>
      <c r="Q16" s="56"/>
      <c r="R16" s="56"/>
      <c r="S16" s="56"/>
      <c r="T16" s="56"/>
      <c r="U16" s="56"/>
      <c r="V16" s="56"/>
      <c r="W16" s="56"/>
      <c r="X16" s="56"/>
      <c r="Y16" s="56"/>
      <c r="Z16" s="56"/>
      <c r="AA16" s="56"/>
      <c r="AB16" s="56"/>
    </row>
    <row r="17">
      <c r="A17" s="76" t="s">
        <v>45</v>
      </c>
      <c r="B17" s="77" t="s">
        <v>46</v>
      </c>
      <c r="C17" s="64" t="s">
        <v>21</v>
      </c>
      <c r="D17" s="65" t="s">
        <v>244</v>
      </c>
      <c r="E17" s="78">
        <f>IFERROR(__xludf.DUMMYFUNCTION("COUNTA(SPLIT(D17,"" ""))/COUNTA(SPLIT($B$17,"" ""))"),0.1839080459770115)</f>
        <v>0.183908046</v>
      </c>
      <c r="F17" s="67">
        <v>5.0</v>
      </c>
      <c r="G17" s="67">
        <v>5.0</v>
      </c>
      <c r="H17" s="67">
        <v>5.0</v>
      </c>
      <c r="I17" s="67">
        <v>5.0</v>
      </c>
      <c r="J17" s="67">
        <v>5.0</v>
      </c>
      <c r="K17" s="68"/>
      <c r="L17" s="68"/>
      <c r="M17" s="68"/>
      <c r="N17" s="68"/>
      <c r="O17" s="68"/>
      <c r="P17" s="68"/>
      <c r="Q17" s="68"/>
      <c r="R17" s="68"/>
      <c r="S17" s="68"/>
      <c r="T17" s="68"/>
      <c r="U17" s="68"/>
      <c r="V17" s="68"/>
      <c r="W17" s="68"/>
      <c r="X17" s="68"/>
      <c r="Y17" s="68"/>
      <c r="Z17" s="68"/>
      <c r="AA17" s="68"/>
      <c r="AB17" s="68"/>
    </row>
    <row r="18">
      <c r="C18" s="7" t="s">
        <v>22</v>
      </c>
      <c r="D18" s="54" t="s">
        <v>245</v>
      </c>
      <c r="E18" s="74">
        <f>IFERROR(__xludf.DUMMYFUNCTION("COUNTA(SPLIT(D18,"" ""))/COUNTA(SPLIT($B$17,"" ""))"),0.2669220945083014)</f>
        <v>0.2669220945</v>
      </c>
      <c r="F18" s="67">
        <v>3.0</v>
      </c>
      <c r="G18" s="67">
        <v>5.0</v>
      </c>
      <c r="H18" s="67">
        <v>5.0</v>
      </c>
      <c r="I18" s="67">
        <v>3.0</v>
      </c>
      <c r="J18" s="67">
        <v>5.0</v>
      </c>
      <c r="K18" s="56"/>
      <c r="L18" s="56"/>
      <c r="M18" s="56"/>
      <c r="N18" s="56"/>
      <c r="O18" s="56"/>
      <c r="P18" s="56"/>
      <c r="Q18" s="56"/>
      <c r="R18" s="56"/>
      <c r="S18" s="56"/>
      <c r="T18" s="56"/>
      <c r="U18" s="56"/>
      <c r="V18" s="56"/>
      <c r="W18" s="56"/>
      <c r="X18" s="56"/>
      <c r="Y18" s="56"/>
      <c r="Z18" s="56"/>
      <c r="AA18" s="56"/>
      <c r="AB18" s="56"/>
    </row>
    <row r="19">
      <c r="C19" s="7" t="s">
        <v>8</v>
      </c>
      <c r="D19" s="54" t="s">
        <v>246</v>
      </c>
      <c r="E19" s="74">
        <f>IFERROR(__xludf.DUMMYFUNCTION("COUNTA(SPLIT(D19,"" ""))/COUNTA(SPLIT($B$17,"" ""))"),0.25287356321839083)</f>
        <v>0.2528735632</v>
      </c>
      <c r="F19" s="7">
        <v>3.0</v>
      </c>
      <c r="G19" s="7">
        <v>5.0</v>
      </c>
      <c r="H19" s="7">
        <v>5.0</v>
      </c>
      <c r="I19" s="7">
        <v>5.0</v>
      </c>
      <c r="J19" s="7">
        <v>5.0</v>
      </c>
      <c r="K19" s="56"/>
      <c r="L19" s="56"/>
      <c r="M19" s="56"/>
      <c r="N19" s="56"/>
      <c r="O19" s="56"/>
      <c r="P19" s="56"/>
      <c r="Q19" s="56"/>
      <c r="R19" s="56"/>
      <c r="S19" s="56"/>
      <c r="T19" s="56"/>
      <c r="U19" s="56"/>
      <c r="V19" s="56"/>
      <c r="W19" s="56"/>
      <c r="X19" s="56"/>
      <c r="Y19" s="56"/>
      <c r="Z19" s="56"/>
      <c r="AA19" s="56"/>
      <c r="AB19" s="56"/>
    </row>
    <row r="20">
      <c r="C20" s="7" t="s">
        <v>23</v>
      </c>
      <c r="D20" s="54" t="s">
        <v>247</v>
      </c>
      <c r="E20" s="74">
        <f>IFERROR(__xludf.DUMMYFUNCTION("COUNTA(SPLIT(D20,"" ""))/COUNTA(SPLIT($B$17,"" ""))"),0.1583652618135377)</f>
        <v>0.1583652618</v>
      </c>
      <c r="F20" s="67">
        <v>5.0</v>
      </c>
      <c r="G20" s="67">
        <v>5.0</v>
      </c>
      <c r="H20" s="67">
        <v>5.0</v>
      </c>
      <c r="I20" s="67">
        <v>5.0</v>
      </c>
      <c r="J20" s="67">
        <v>5.0</v>
      </c>
      <c r="K20" s="56"/>
      <c r="L20" s="56"/>
      <c r="M20" s="56"/>
      <c r="N20" s="56"/>
      <c r="O20" s="56"/>
      <c r="P20" s="56"/>
      <c r="Q20" s="56"/>
      <c r="R20" s="56"/>
      <c r="S20" s="56"/>
      <c r="T20" s="56"/>
      <c r="U20" s="56"/>
      <c r="V20" s="56"/>
      <c r="W20" s="56"/>
      <c r="X20" s="56"/>
      <c r="Y20" s="56"/>
      <c r="Z20" s="56"/>
      <c r="AA20" s="56"/>
      <c r="AB20" s="56"/>
    </row>
    <row r="21">
      <c r="A21" s="75"/>
      <c r="B21" s="69"/>
      <c r="C21" s="60"/>
      <c r="D21" s="61"/>
      <c r="E21" s="74"/>
      <c r="F21" s="60"/>
      <c r="G21" s="60"/>
      <c r="H21" s="60"/>
      <c r="I21" s="60"/>
      <c r="J21" s="60"/>
      <c r="K21" s="56"/>
      <c r="L21" s="56"/>
      <c r="M21" s="56"/>
      <c r="N21" s="56"/>
      <c r="O21" s="56"/>
      <c r="P21" s="56"/>
      <c r="Q21" s="56"/>
      <c r="R21" s="56"/>
      <c r="S21" s="56"/>
      <c r="T21" s="56"/>
      <c r="U21" s="56"/>
      <c r="V21" s="56"/>
      <c r="W21" s="56"/>
      <c r="X21" s="56"/>
      <c r="Y21" s="56"/>
      <c r="Z21" s="56"/>
      <c r="AA21" s="56"/>
      <c r="AB21" s="56"/>
    </row>
    <row r="22">
      <c r="A22" s="76" t="s">
        <v>49</v>
      </c>
      <c r="B22" s="77" t="s">
        <v>50</v>
      </c>
      <c r="C22" s="64" t="s">
        <v>21</v>
      </c>
      <c r="D22" s="65" t="s">
        <v>248</v>
      </c>
      <c r="E22" s="78">
        <f>IFERROR(__xludf.DUMMYFUNCTION("COUNTA(SPLIT(D22,"" ""))/COUNTA(SPLIT($B$22,"" ""))"),0.24845995893223818)</f>
        <v>0.2484599589</v>
      </c>
      <c r="F22" s="67">
        <v>4.0</v>
      </c>
      <c r="G22" s="67">
        <v>5.0</v>
      </c>
      <c r="H22" s="67">
        <v>5.0</v>
      </c>
      <c r="I22" s="67">
        <v>5.0</v>
      </c>
      <c r="J22" s="67">
        <v>5.0</v>
      </c>
      <c r="K22" s="68"/>
      <c r="L22" s="68"/>
      <c r="M22" s="68"/>
      <c r="N22" s="68"/>
      <c r="O22" s="68"/>
      <c r="P22" s="68"/>
      <c r="Q22" s="68"/>
      <c r="R22" s="68"/>
      <c r="S22" s="68"/>
      <c r="T22" s="68"/>
      <c r="U22" s="68"/>
      <c r="V22" s="68"/>
      <c r="W22" s="68"/>
      <c r="X22" s="68"/>
      <c r="Y22" s="68"/>
      <c r="Z22" s="68"/>
      <c r="AA22" s="68"/>
      <c r="AB22" s="68"/>
    </row>
    <row r="23">
      <c r="C23" s="7" t="s">
        <v>22</v>
      </c>
      <c r="D23" s="54" t="s">
        <v>249</v>
      </c>
      <c r="E23" s="74">
        <f>IFERROR(__xludf.DUMMYFUNCTION("COUNTA(SPLIT(D23,"" ""))/COUNTA(SPLIT($B$22,"" ""))"),0.3347022587268994)</f>
        <v>0.3347022587</v>
      </c>
      <c r="F23" s="67">
        <v>3.0</v>
      </c>
      <c r="G23" s="67">
        <v>5.0</v>
      </c>
      <c r="H23" s="67">
        <v>5.0</v>
      </c>
      <c r="I23" s="67">
        <v>4.0</v>
      </c>
      <c r="J23" s="67">
        <v>5.0</v>
      </c>
      <c r="K23" s="56"/>
      <c r="L23" s="56"/>
      <c r="M23" s="56"/>
      <c r="N23" s="56"/>
      <c r="O23" s="56"/>
      <c r="P23" s="56"/>
      <c r="Q23" s="56"/>
      <c r="R23" s="56"/>
      <c r="S23" s="56"/>
      <c r="T23" s="56"/>
      <c r="U23" s="56"/>
      <c r="V23" s="56"/>
      <c r="W23" s="56"/>
      <c r="X23" s="56"/>
      <c r="Y23" s="56"/>
      <c r="Z23" s="56"/>
      <c r="AA23" s="56"/>
      <c r="AB23" s="56"/>
    </row>
    <row r="24">
      <c r="C24" s="7" t="s">
        <v>8</v>
      </c>
      <c r="D24" s="54" t="s">
        <v>250</v>
      </c>
      <c r="E24" s="74">
        <f>IFERROR(__xludf.DUMMYFUNCTION("COUNTA(SPLIT(D24,"" ""))/COUNTA(SPLIT($B$22,"" ""))"),0.4004106776180698)</f>
        <v>0.4004106776</v>
      </c>
      <c r="F24" s="7">
        <v>3.0</v>
      </c>
      <c r="G24" s="7">
        <v>5.0</v>
      </c>
      <c r="H24" s="7">
        <v>5.0</v>
      </c>
      <c r="I24" s="7">
        <v>3.0</v>
      </c>
      <c r="J24" s="7">
        <v>5.0</v>
      </c>
      <c r="K24" s="56"/>
      <c r="L24" s="56"/>
      <c r="M24" s="56"/>
      <c r="N24" s="56"/>
      <c r="O24" s="56"/>
      <c r="P24" s="56"/>
      <c r="Q24" s="56"/>
      <c r="R24" s="56"/>
      <c r="S24" s="56"/>
      <c r="T24" s="56"/>
      <c r="U24" s="56"/>
      <c r="V24" s="56"/>
      <c r="W24" s="56"/>
      <c r="X24" s="56"/>
      <c r="Y24" s="56"/>
      <c r="Z24" s="56"/>
      <c r="AA24" s="56"/>
      <c r="AB24" s="56"/>
    </row>
    <row r="25">
      <c r="C25" s="7" t="s">
        <v>23</v>
      </c>
      <c r="D25" s="54" t="s">
        <v>251</v>
      </c>
      <c r="E25" s="74">
        <f>IFERROR(__xludf.DUMMYFUNCTION("COUNTA(SPLIT(D25,"" ""))/COUNTA(SPLIT($B$22,"" ""))"),0.0944558521560575)</f>
        <v>0.09445585216</v>
      </c>
      <c r="F25" s="67">
        <v>4.0</v>
      </c>
      <c r="G25" s="67">
        <v>5.0</v>
      </c>
      <c r="H25" s="67">
        <v>5.0</v>
      </c>
      <c r="I25" s="67">
        <v>5.0</v>
      </c>
      <c r="J25" s="67">
        <v>3.0</v>
      </c>
      <c r="K25" s="56"/>
      <c r="L25" s="56"/>
      <c r="M25" s="56"/>
      <c r="N25" s="56"/>
      <c r="O25" s="56"/>
      <c r="P25" s="56"/>
      <c r="Q25" s="56"/>
      <c r="R25" s="56"/>
      <c r="S25" s="56"/>
      <c r="T25" s="56"/>
      <c r="U25" s="56"/>
      <c r="V25" s="56"/>
      <c r="W25" s="56"/>
      <c r="X25" s="56"/>
      <c r="Y25" s="56"/>
      <c r="Z25" s="56"/>
      <c r="AA25" s="56"/>
      <c r="AB25" s="56"/>
    </row>
    <row r="26">
      <c r="A26" s="75"/>
      <c r="B26" s="69"/>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c r="A27" s="79" t="s">
        <v>53</v>
      </c>
      <c r="B27" s="80" t="s">
        <v>54</v>
      </c>
      <c r="C27" s="81" t="s">
        <v>21</v>
      </c>
      <c r="D27" s="82" t="s">
        <v>252</v>
      </c>
      <c r="E27" s="83">
        <f>IFERROR(__xludf.DUMMYFUNCTION("COUNTA(SPLIT(D27,"" ""))/COUNTA(SPLIT($B$27,"" ""))"),0.2102803738317757)</f>
        <v>0.2102803738</v>
      </c>
      <c r="F27" s="7">
        <v>4.0</v>
      </c>
      <c r="G27" s="7">
        <v>5.0</v>
      </c>
      <c r="H27" s="7">
        <v>5.0</v>
      </c>
      <c r="I27" s="7">
        <v>4.0</v>
      </c>
      <c r="J27" s="7">
        <v>3.0</v>
      </c>
      <c r="K27" s="56"/>
      <c r="L27" s="56"/>
      <c r="M27" s="56"/>
      <c r="N27" s="56"/>
      <c r="O27" s="56"/>
      <c r="P27" s="56"/>
      <c r="Q27" s="56"/>
      <c r="R27" s="56"/>
      <c r="S27" s="56"/>
      <c r="T27" s="56"/>
      <c r="U27" s="56"/>
      <c r="V27" s="56"/>
      <c r="W27" s="56"/>
      <c r="X27" s="56"/>
      <c r="Y27" s="56"/>
      <c r="Z27" s="56"/>
      <c r="AA27" s="56"/>
      <c r="AB27" s="56"/>
    </row>
    <row r="28">
      <c r="C28" s="85" t="s">
        <v>22</v>
      </c>
      <c r="D28" s="57" t="s">
        <v>253</v>
      </c>
      <c r="E28" s="86">
        <f>IFERROR(__xludf.DUMMYFUNCTION("COUNTA(SPLIT(D28,"" ""))/COUNTA(SPLIT($B$27,"" ""))"),0.2803738317757009)</f>
        <v>0.2803738318</v>
      </c>
      <c r="F28" s="7">
        <v>3.0</v>
      </c>
      <c r="G28" s="7">
        <v>5.0</v>
      </c>
      <c r="H28" s="7">
        <v>5.0</v>
      </c>
      <c r="I28" s="7">
        <v>3.0</v>
      </c>
      <c r="J28" s="7">
        <v>3.0</v>
      </c>
      <c r="K28" s="56"/>
      <c r="L28" s="56"/>
      <c r="M28" s="56"/>
      <c r="N28" s="56"/>
      <c r="O28" s="56"/>
      <c r="P28" s="56"/>
      <c r="Q28" s="56"/>
      <c r="R28" s="56"/>
      <c r="S28" s="56"/>
      <c r="T28" s="56"/>
      <c r="U28" s="56"/>
      <c r="V28" s="56"/>
      <c r="W28" s="56"/>
      <c r="X28" s="56"/>
      <c r="Y28" s="56"/>
      <c r="Z28" s="56"/>
      <c r="AA28" s="56"/>
      <c r="AB28" s="56"/>
    </row>
    <row r="29">
      <c r="C29" s="85" t="s">
        <v>8</v>
      </c>
      <c r="D29" s="57" t="s">
        <v>254</v>
      </c>
      <c r="E29" s="87">
        <f>IFERROR(__xludf.DUMMYFUNCTION("COUNTA(SPLIT(D29,"" ""))/COUNTA(SPLIT($B$27,"" ""))"),0.2336448598130841)</f>
        <v>0.2336448598</v>
      </c>
      <c r="F29" s="7">
        <v>3.0</v>
      </c>
      <c r="G29" s="7">
        <v>5.0</v>
      </c>
      <c r="H29" s="7">
        <v>5.0</v>
      </c>
      <c r="I29" s="7">
        <v>5.0</v>
      </c>
      <c r="J29" s="7">
        <v>3.0</v>
      </c>
      <c r="K29" s="56"/>
      <c r="L29" s="56"/>
      <c r="M29" s="56"/>
      <c r="N29" s="56"/>
      <c r="O29" s="56"/>
      <c r="P29" s="56"/>
      <c r="Q29" s="56"/>
      <c r="R29" s="56"/>
      <c r="S29" s="56"/>
      <c r="T29" s="56"/>
      <c r="U29" s="56"/>
      <c r="V29" s="56"/>
      <c r="W29" s="56"/>
      <c r="X29" s="56"/>
      <c r="Y29" s="56"/>
      <c r="Z29" s="56"/>
      <c r="AA29" s="56"/>
      <c r="AB29" s="56"/>
    </row>
    <row r="30">
      <c r="C30" s="85" t="s">
        <v>23</v>
      </c>
      <c r="D30" s="57" t="s">
        <v>255</v>
      </c>
      <c r="E30" s="88">
        <f>IFERROR(__xludf.DUMMYFUNCTION("COUNTA(SPLIT(D30,"" ""))/COUNTA(SPLIT($B$27,"" ""))"),0.17133956386292834)</f>
        <v>0.1713395639</v>
      </c>
      <c r="F30" s="7">
        <v>4.0</v>
      </c>
      <c r="G30" s="7">
        <v>5.0</v>
      </c>
      <c r="H30" s="7">
        <v>5.0</v>
      </c>
      <c r="I30" s="7">
        <v>4.0</v>
      </c>
      <c r="J30" s="7">
        <v>3.0</v>
      </c>
      <c r="K30" s="56"/>
      <c r="L30" s="56"/>
      <c r="M30" s="56"/>
      <c r="N30" s="56"/>
      <c r="O30" s="56"/>
      <c r="P30" s="56"/>
      <c r="Q30" s="56"/>
      <c r="R30" s="56"/>
      <c r="S30" s="56"/>
      <c r="T30" s="56"/>
      <c r="U30" s="56"/>
      <c r="V30" s="56"/>
      <c r="W30" s="56"/>
      <c r="X30" s="56"/>
      <c r="Y30" s="56"/>
      <c r="Z30" s="56"/>
      <c r="AA30" s="56"/>
      <c r="AB30" s="56"/>
    </row>
    <row r="31">
      <c r="A31" s="75"/>
      <c r="B31" s="69"/>
      <c r="C31" s="60"/>
      <c r="D31" s="61"/>
      <c r="E31" s="69"/>
      <c r="F31" s="60"/>
      <c r="G31" s="60"/>
      <c r="H31" s="60"/>
      <c r="I31" s="60"/>
      <c r="J31" s="60"/>
      <c r="K31" s="56"/>
      <c r="L31" s="56"/>
      <c r="M31" s="56"/>
      <c r="N31" s="56"/>
      <c r="O31" s="56"/>
      <c r="P31" s="56"/>
      <c r="Q31" s="56"/>
      <c r="R31" s="56"/>
      <c r="S31" s="56"/>
      <c r="T31" s="56"/>
      <c r="U31" s="56"/>
      <c r="V31" s="56"/>
      <c r="W31" s="56"/>
      <c r="X31" s="56"/>
      <c r="Y31" s="56"/>
      <c r="Z31" s="56"/>
      <c r="AA31" s="56"/>
      <c r="AB31" s="56"/>
    </row>
    <row r="32">
      <c r="A32" s="89" t="s">
        <v>57</v>
      </c>
      <c r="B32" s="90" t="s">
        <v>58</v>
      </c>
      <c r="C32" s="81" t="s">
        <v>21</v>
      </c>
      <c r="D32" s="82" t="s">
        <v>256</v>
      </c>
      <c r="E32" s="83">
        <f>IFERROR(__xludf.DUMMYFUNCTION("COUNTA(SPLIT(D32,"" ""))/COUNTA(SPLIT($B$32,"" ""))"),0.1141185076810534)</f>
        <v>0.1141185077</v>
      </c>
      <c r="F32" s="7">
        <v>4.0</v>
      </c>
      <c r="G32" s="7">
        <v>5.0</v>
      </c>
      <c r="H32" s="7">
        <v>5.0</v>
      </c>
      <c r="I32" s="7">
        <v>5.0</v>
      </c>
      <c r="J32" s="7">
        <v>3.0</v>
      </c>
      <c r="K32" s="56"/>
      <c r="L32" s="56"/>
      <c r="M32" s="56"/>
      <c r="N32" s="56"/>
      <c r="O32" s="56"/>
      <c r="P32" s="56"/>
      <c r="Q32" s="56"/>
      <c r="R32" s="56"/>
      <c r="S32" s="56"/>
      <c r="T32" s="56"/>
      <c r="U32" s="56"/>
      <c r="V32" s="56"/>
      <c r="W32" s="56"/>
      <c r="X32" s="56"/>
      <c r="Y32" s="56"/>
      <c r="Z32" s="56"/>
      <c r="AA32" s="56"/>
      <c r="AB32" s="56"/>
    </row>
    <row r="33">
      <c r="C33" s="85" t="s">
        <v>22</v>
      </c>
      <c r="D33" s="57" t="s">
        <v>257</v>
      </c>
      <c r="E33" s="86">
        <f>IFERROR(__xludf.DUMMYFUNCTION("COUNTA(SPLIT(D33,"" ""))/COUNTA(SPLIT($B$32,"" ""))"),0.14484272128749084)</f>
        <v>0.1448427213</v>
      </c>
      <c r="F33" s="7">
        <v>3.0</v>
      </c>
      <c r="G33" s="7">
        <v>5.0</v>
      </c>
      <c r="H33" s="7">
        <v>5.0</v>
      </c>
      <c r="I33" s="7">
        <v>5.0</v>
      </c>
      <c r="J33" s="7">
        <v>3.0</v>
      </c>
      <c r="K33" s="56"/>
      <c r="L33" s="56"/>
      <c r="M33" s="56"/>
      <c r="N33" s="56"/>
      <c r="O33" s="56"/>
      <c r="P33" s="56"/>
      <c r="Q33" s="56"/>
      <c r="R33" s="56"/>
      <c r="S33" s="56"/>
      <c r="T33" s="56"/>
      <c r="U33" s="56"/>
      <c r="V33" s="56"/>
      <c r="W33" s="56"/>
      <c r="X33" s="56"/>
      <c r="Y33" s="56"/>
      <c r="Z33" s="56"/>
      <c r="AA33" s="56"/>
      <c r="AB33" s="56"/>
    </row>
    <row r="34">
      <c r="C34" s="85" t="s">
        <v>8</v>
      </c>
      <c r="D34" s="57" t="s">
        <v>258</v>
      </c>
      <c r="E34" s="87">
        <f>IFERROR(__xludf.DUMMYFUNCTION("COUNTA(SPLIT(D34,"" ""))/COUNTA(SPLIT($B$32,"" ""))"),0.15947329919531822)</f>
        <v>0.1594732992</v>
      </c>
      <c r="F34" s="7">
        <v>3.0</v>
      </c>
      <c r="G34" s="7">
        <v>5.0</v>
      </c>
      <c r="H34" s="7">
        <v>5.0</v>
      </c>
      <c r="I34" s="7">
        <v>4.0</v>
      </c>
      <c r="J34" s="7">
        <v>3.0</v>
      </c>
      <c r="K34" s="56"/>
      <c r="L34" s="56"/>
      <c r="M34" s="56"/>
      <c r="N34" s="56"/>
      <c r="O34" s="56"/>
      <c r="P34" s="56"/>
      <c r="Q34" s="56"/>
      <c r="R34" s="56"/>
      <c r="S34" s="56"/>
      <c r="T34" s="56"/>
      <c r="U34" s="56"/>
      <c r="V34" s="56"/>
      <c r="W34" s="56"/>
      <c r="X34" s="56"/>
      <c r="Y34" s="56"/>
      <c r="Z34" s="56"/>
      <c r="AA34" s="56"/>
      <c r="AB34" s="56"/>
    </row>
    <row r="35">
      <c r="C35" s="85" t="s">
        <v>23</v>
      </c>
      <c r="D35" s="57" t="s">
        <v>259</v>
      </c>
      <c r="E35" s="88">
        <f>IFERROR(__xludf.DUMMYFUNCTION("COUNTA(SPLIT(D35,"" ""))/COUNTA(SPLIT($B$32,"" ""))"),0.07900512070226774)</f>
        <v>0.0790051207</v>
      </c>
      <c r="F35" s="7">
        <v>5.0</v>
      </c>
      <c r="G35" s="7">
        <v>5.0</v>
      </c>
      <c r="H35" s="7">
        <v>5.0</v>
      </c>
      <c r="I35" s="7">
        <v>5.0</v>
      </c>
      <c r="J35" s="7">
        <v>2.0</v>
      </c>
      <c r="K35" s="56"/>
      <c r="L35" s="56"/>
      <c r="M35" s="56"/>
      <c r="N35" s="56"/>
      <c r="O35" s="56"/>
      <c r="P35" s="56"/>
      <c r="Q35" s="56"/>
      <c r="R35" s="56"/>
      <c r="S35" s="56"/>
      <c r="T35" s="56"/>
      <c r="U35" s="56"/>
      <c r="V35" s="56"/>
      <c r="W35" s="56"/>
      <c r="X35" s="56"/>
      <c r="Y35" s="56"/>
      <c r="Z35" s="56"/>
      <c r="AA35" s="56"/>
      <c r="AB35" s="56"/>
    </row>
    <row r="36">
      <c r="A36" s="75"/>
      <c r="B36" s="69"/>
      <c r="C36" s="60"/>
      <c r="D36" s="61"/>
      <c r="E36" s="69"/>
      <c r="F36" s="60"/>
      <c r="G36" s="60"/>
      <c r="H36" s="60"/>
      <c r="I36" s="60"/>
      <c r="J36" s="60"/>
      <c r="K36" s="56"/>
      <c r="L36" s="56"/>
      <c r="M36" s="56"/>
      <c r="N36" s="56"/>
      <c r="O36" s="56"/>
      <c r="P36" s="56"/>
      <c r="Q36" s="56"/>
      <c r="R36" s="56"/>
      <c r="S36" s="56"/>
      <c r="T36" s="56"/>
      <c r="U36" s="56"/>
      <c r="V36" s="56"/>
      <c r="W36" s="56"/>
      <c r="X36" s="56"/>
      <c r="Y36" s="56"/>
      <c r="Z36" s="56"/>
      <c r="AA36" s="56"/>
      <c r="AB36" s="56"/>
    </row>
    <row r="37">
      <c r="A37" s="89" t="s">
        <v>61</v>
      </c>
      <c r="B37" s="90" t="s">
        <v>62</v>
      </c>
      <c r="C37" s="81" t="s">
        <v>21</v>
      </c>
      <c r="D37" s="82" t="s">
        <v>260</v>
      </c>
      <c r="E37" s="83">
        <f>IFERROR(__xludf.DUMMYFUNCTION("COUNTA(SPLIT(D37,"" ""))/COUNTA(SPLIT($B$37,"" ""))"),0.1327543424317618)</f>
        <v>0.1327543424</v>
      </c>
      <c r="F37" s="7">
        <v>5.0</v>
      </c>
      <c r="G37" s="7">
        <v>5.0</v>
      </c>
      <c r="H37" s="7">
        <v>5.0</v>
      </c>
      <c r="I37" s="7">
        <v>5.0</v>
      </c>
      <c r="J37" s="7">
        <v>3.0</v>
      </c>
      <c r="K37" s="56"/>
      <c r="L37" s="56"/>
      <c r="M37" s="56"/>
      <c r="N37" s="56"/>
      <c r="O37" s="56"/>
      <c r="P37" s="56"/>
      <c r="Q37" s="56"/>
      <c r="R37" s="56"/>
      <c r="S37" s="56"/>
      <c r="T37" s="56"/>
      <c r="U37" s="56"/>
      <c r="V37" s="56"/>
      <c r="W37" s="56"/>
      <c r="X37" s="56"/>
      <c r="Y37" s="56"/>
      <c r="Z37" s="56"/>
      <c r="AA37" s="56"/>
      <c r="AB37" s="56"/>
    </row>
    <row r="38">
      <c r="C38" s="85" t="s">
        <v>22</v>
      </c>
      <c r="D38" s="57" t="s">
        <v>261</v>
      </c>
      <c r="E38" s="86">
        <f>IFERROR(__xludf.DUMMYFUNCTION("COUNTA(SPLIT(D38,"" ""))/COUNTA(SPLIT($B$37,"" ""))"),0.14764267990074442)</f>
        <v>0.1476426799</v>
      </c>
      <c r="F38" s="7">
        <v>3.0</v>
      </c>
      <c r="G38" s="7">
        <v>5.0</v>
      </c>
      <c r="H38" s="7">
        <v>5.0</v>
      </c>
      <c r="I38" s="7">
        <v>4.0</v>
      </c>
      <c r="J38" s="7">
        <v>3.0</v>
      </c>
      <c r="K38" s="56"/>
      <c r="L38" s="56"/>
      <c r="M38" s="56"/>
      <c r="N38" s="56"/>
      <c r="O38" s="56"/>
      <c r="P38" s="56"/>
      <c r="Q38" s="56"/>
      <c r="R38" s="56"/>
      <c r="S38" s="56"/>
      <c r="T38" s="56"/>
      <c r="U38" s="56"/>
      <c r="V38" s="56"/>
      <c r="W38" s="56"/>
      <c r="X38" s="56"/>
      <c r="Y38" s="56"/>
      <c r="Z38" s="56"/>
      <c r="AA38" s="56"/>
      <c r="AB38" s="56"/>
    </row>
    <row r="39">
      <c r="C39" s="85" t="s">
        <v>8</v>
      </c>
      <c r="D39" s="57" t="s">
        <v>262</v>
      </c>
      <c r="E39" s="87">
        <f>IFERROR(__xludf.DUMMYFUNCTION("COUNTA(SPLIT(D39,"" ""))/COUNTA(SPLIT($B$37,"" ""))"),0.1513647642679901)</f>
        <v>0.1513647643</v>
      </c>
      <c r="F39" s="7">
        <v>3.0</v>
      </c>
      <c r="G39" s="7">
        <v>5.0</v>
      </c>
      <c r="H39" s="7">
        <v>5.0</v>
      </c>
      <c r="I39" s="7">
        <v>4.0</v>
      </c>
      <c r="J39" s="7">
        <v>5.0</v>
      </c>
      <c r="K39" s="56"/>
      <c r="L39" s="56"/>
      <c r="M39" s="56"/>
      <c r="N39" s="56"/>
      <c r="O39" s="56"/>
      <c r="P39" s="56"/>
      <c r="Q39" s="56"/>
      <c r="R39" s="56"/>
      <c r="S39" s="56"/>
      <c r="T39" s="56"/>
      <c r="U39" s="56"/>
      <c r="V39" s="56"/>
      <c r="W39" s="56"/>
      <c r="X39" s="56"/>
      <c r="Y39" s="56"/>
      <c r="Z39" s="56"/>
      <c r="AA39" s="56"/>
      <c r="AB39" s="56"/>
    </row>
    <row r="40">
      <c r="C40" s="85" t="s">
        <v>23</v>
      </c>
      <c r="D40" s="57" t="s">
        <v>263</v>
      </c>
      <c r="E40" s="88">
        <f>IFERROR(__xludf.DUMMYFUNCTION("COUNTA(SPLIT(D40,"" ""))/COUNTA(SPLIT($B$37,"" ""))"),0.07009925558312655)</f>
        <v>0.07009925558</v>
      </c>
      <c r="F40" s="7">
        <v>4.0</v>
      </c>
      <c r="G40" s="7">
        <v>5.0</v>
      </c>
      <c r="H40" s="7">
        <v>5.0</v>
      </c>
      <c r="I40" s="7">
        <v>5.0</v>
      </c>
      <c r="J40" s="7">
        <v>3.0</v>
      </c>
      <c r="K40" s="56"/>
      <c r="L40" s="56"/>
      <c r="M40" s="56"/>
      <c r="N40" s="56"/>
      <c r="O40" s="56"/>
      <c r="P40" s="56"/>
      <c r="Q40" s="56"/>
      <c r="R40" s="56"/>
      <c r="S40" s="56"/>
      <c r="T40" s="56"/>
      <c r="U40" s="56"/>
      <c r="V40" s="56"/>
      <c r="W40" s="56"/>
      <c r="X40" s="56"/>
      <c r="Y40" s="56"/>
      <c r="Z40" s="56"/>
      <c r="AA40" s="56"/>
      <c r="AB40" s="56"/>
    </row>
    <row r="41">
      <c r="A41" s="75"/>
      <c r="B41" s="69"/>
      <c r="C41" s="60"/>
      <c r="D41" s="61"/>
      <c r="E41" s="69"/>
      <c r="F41" s="60"/>
      <c r="G41" s="60"/>
      <c r="H41" s="60"/>
      <c r="I41" s="60"/>
      <c r="J41" s="60"/>
      <c r="K41" s="56"/>
      <c r="L41" s="56"/>
      <c r="M41" s="56"/>
      <c r="N41" s="56"/>
      <c r="O41" s="56"/>
      <c r="P41" s="56"/>
      <c r="Q41" s="56"/>
      <c r="R41" s="56"/>
      <c r="S41" s="56"/>
      <c r="T41" s="56"/>
      <c r="U41" s="56"/>
      <c r="V41" s="56"/>
      <c r="W41" s="56"/>
      <c r="X41" s="56"/>
      <c r="Y41" s="56"/>
      <c r="Z41" s="56"/>
      <c r="AA41" s="56"/>
      <c r="AB41" s="56"/>
    </row>
    <row r="42">
      <c r="A42" s="89" t="s">
        <v>65</v>
      </c>
      <c r="B42" s="90" t="s">
        <v>66</v>
      </c>
      <c r="C42" s="81" t="s">
        <v>21</v>
      </c>
      <c r="D42" s="82" t="s">
        <v>264</v>
      </c>
      <c r="E42" s="83">
        <f>IFERROR(__xludf.DUMMYFUNCTION("COUNTA(SPLIT(D42,"" ""))/COUNTA(SPLIT($B$42,"" ""))"),0.17286245353159851)</f>
        <v>0.1728624535</v>
      </c>
      <c r="F42" s="7">
        <v>5.0</v>
      </c>
      <c r="G42" s="7">
        <v>3.0</v>
      </c>
      <c r="H42" s="7">
        <v>5.0</v>
      </c>
      <c r="I42" s="7">
        <v>4.0</v>
      </c>
      <c r="J42" s="7">
        <v>4.0</v>
      </c>
      <c r="K42" s="56"/>
      <c r="L42" s="56"/>
      <c r="M42" s="56"/>
      <c r="N42" s="56"/>
      <c r="O42" s="56"/>
      <c r="P42" s="56"/>
      <c r="Q42" s="56"/>
      <c r="R42" s="56"/>
      <c r="S42" s="56"/>
      <c r="T42" s="56"/>
      <c r="U42" s="56"/>
      <c r="V42" s="56"/>
      <c r="W42" s="56"/>
      <c r="X42" s="56"/>
      <c r="Y42" s="56"/>
      <c r="Z42" s="56"/>
      <c r="AA42" s="56"/>
      <c r="AB42" s="56"/>
    </row>
    <row r="43">
      <c r="C43" s="85" t="s">
        <v>22</v>
      </c>
      <c r="D43" s="57" t="s">
        <v>265</v>
      </c>
      <c r="E43" s="86">
        <f>IFERROR(__xludf.DUMMYFUNCTION("COUNTA(SPLIT(D43,"" ""))/COUNTA(SPLIT($B$42,"" ""))"),0.26579925650557623)</f>
        <v>0.2657992565</v>
      </c>
      <c r="F43" s="7">
        <v>3.0</v>
      </c>
      <c r="G43" s="7">
        <v>4.0</v>
      </c>
      <c r="H43" s="7">
        <v>5.0</v>
      </c>
      <c r="I43" s="7">
        <v>3.0</v>
      </c>
      <c r="J43" s="7">
        <v>5.0</v>
      </c>
      <c r="K43" s="56"/>
      <c r="L43" s="56"/>
      <c r="M43" s="56"/>
      <c r="N43" s="56"/>
      <c r="O43" s="56"/>
      <c r="P43" s="56"/>
      <c r="Q43" s="56"/>
      <c r="R43" s="56"/>
      <c r="S43" s="56"/>
      <c r="T43" s="56"/>
      <c r="U43" s="56"/>
      <c r="V43" s="56"/>
      <c r="W43" s="56"/>
      <c r="X43" s="56"/>
      <c r="Y43" s="56"/>
      <c r="Z43" s="56"/>
      <c r="AA43" s="56"/>
      <c r="AB43" s="56"/>
    </row>
    <row r="44">
      <c r="C44" s="85" t="s">
        <v>8</v>
      </c>
      <c r="D44" s="57" t="s">
        <v>266</v>
      </c>
      <c r="E44" s="87">
        <f>IFERROR(__xludf.DUMMYFUNCTION("COUNTA(SPLIT(D44,"" ""))/COUNTA(SPLIT($B$42,"" ""))"),0.19144981412639406)</f>
        <v>0.1914498141</v>
      </c>
      <c r="F44" s="7">
        <v>3.0</v>
      </c>
      <c r="G44" s="7">
        <v>5.0</v>
      </c>
      <c r="H44" s="7">
        <v>5.0</v>
      </c>
      <c r="I44" s="7">
        <v>3.0</v>
      </c>
      <c r="J44" s="7">
        <v>3.0</v>
      </c>
      <c r="K44" s="56"/>
      <c r="L44" s="56"/>
      <c r="M44" s="56"/>
      <c r="N44" s="56"/>
      <c r="O44" s="56"/>
      <c r="P44" s="56"/>
      <c r="Q44" s="56"/>
      <c r="R44" s="56"/>
      <c r="S44" s="56"/>
      <c r="T44" s="56"/>
      <c r="U44" s="56"/>
      <c r="V44" s="56"/>
      <c r="W44" s="56"/>
      <c r="X44" s="56"/>
      <c r="Y44" s="56"/>
      <c r="Z44" s="56"/>
      <c r="AA44" s="56"/>
      <c r="AB44" s="56"/>
    </row>
    <row r="45">
      <c r="C45" s="85" t="s">
        <v>23</v>
      </c>
      <c r="D45" s="57" t="s">
        <v>267</v>
      </c>
      <c r="E45" s="88">
        <f>IFERROR(__xludf.DUMMYFUNCTION("COUNTA(SPLIT(D45,"" ""))/COUNTA(SPLIT($B$42,"" ""))"),0.10780669144981413)</f>
        <v>0.1078066914</v>
      </c>
      <c r="F45" s="7">
        <v>4.0</v>
      </c>
      <c r="G45" s="7">
        <v>5.0</v>
      </c>
      <c r="H45" s="7">
        <v>5.0</v>
      </c>
      <c r="I45" s="7">
        <v>5.0</v>
      </c>
      <c r="J45" s="7">
        <v>4.0</v>
      </c>
      <c r="K45" s="56"/>
      <c r="L45" s="56"/>
      <c r="M45" s="56"/>
      <c r="N45" s="56"/>
      <c r="O45" s="56"/>
      <c r="P45" s="56"/>
      <c r="Q45" s="56"/>
      <c r="R45" s="56"/>
      <c r="S45" s="56"/>
      <c r="T45" s="56"/>
      <c r="U45" s="56"/>
      <c r="V45" s="56"/>
      <c r="W45" s="56"/>
      <c r="X45" s="56"/>
      <c r="Y45" s="56"/>
      <c r="Z45" s="56"/>
      <c r="AA45" s="56"/>
      <c r="AB45" s="56"/>
    </row>
    <row r="46">
      <c r="A46" s="75"/>
      <c r="B46" s="69"/>
      <c r="C46" s="60"/>
      <c r="D46" s="61"/>
      <c r="E46" s="69"/>
      <c r="F46" s="60"/>
      <c r="G46" s="60"/>
      <c r="H46" s="60"/>
      <c r="I46" s="60"/>
      <c r="J46" s="60"/>
      <c r="K46" s="56"/>
      <c r="L46" s="56"/>
      <c r="M46" s="56"/>
      <c r="N46" s="56"/>
      <c r="O46" s="56"/>
      <c r="P46" s="56"/>
      <c r="Q46" s="56"/>
      <c r="R46" s="56"/>
      <c r="S46" s="56"/>
      <c r="T46" s="56"/>
      <c r="U46" s="56"/>
      <c r="V46" s="56"/>
      <c r="W46" s="56"/>
      <c r="X46" s="56"/>
      <c r="Y46" s="56"/>
      <c r="Z46" s="56"/>
      <c r="AA46" s="56"/>
      <c r="AB46" s="56"/>
    </row>
    <row r="47">
      <c r="A47" s="89" t="s">
        <v>69</v>
      </c>
      <c r="B47" s="90" t="s">
        <v>70</v>
      </c>
      <c r="C47" s="81" t="s">
        <v>21</v>
      </c>
      <c r="D47" s="82" t="s">
        <v>268</v>
      </c>
      <c r="E47" s="83">
        <f>IFERROR(__xludf.DUMMYFUNCTION("COUNTA(SPLIT(D47,"" ""))/COUNTA(SPLIT($B$47,"" ""))"),0.3058823529411765)</f>
        <v>0.3058823529</v>
      </c>
      <c r="F47" s="7">
        <v>3.0</v>
      </c>
      <c r="G47" s="7">
        <v>5.0</v>
      </c>
      <c r="H47" s="7">
        <v>5.0</v>
      </c>
      <c r="I47" s="7">
        <v>4.0</v>
      </c>
      <c r="J47" s="7">
        <v>5.0</v>
      </c>
      <c r="K47" s="56"/>
      <c r="L47" s="56"/>
      <c r="M47" s="56"/>
      <c r="N47" s="56"/>
      <c r="O47" s="56"/>
      <c r="P47" s="56"/>
      <c r="Q47" s="56"/>
      <c r="R47" s="56"/>
      <c r="S47" s="56"/>
      <c r="T47" s="56"/>
      <c r="U47" s="56"/>
      <c r="V47" s="56"/>
      <c r="W47" s="56"/>
      <c r="X47" s="56"/>
      <c r="Y47" s="56"/>
      <c r="Z47" s="56"/>
      <c r="AA47" s="56"/>
      <c r="AB47" s="56"/>
    </row>
    <row r="48">
      <c r="C48" s="85" t="s">
        <v>22</v>
      </c>
      <c r="D48" s="57" t="s">
        <v>269</v>
      </c>
      <c r="E48" s="86">
        <f>IFERROR(__xludf.DUMMYFUNCTION("COUNTA(SPLIT(D48,"" ""))/COUNTA(SPLIT($B$47,"" ""))"),0.4137254901960784)</f>
        <v>0.4137254902</v>
      </c>
      <c r="F48" s="7">
        <v>3.0</v>
      </c>
      <c r="G48" s="7">
        <v>5.0</v>
      </c>
      <c r="H48" s="7">
        <v>5.0</v>
      </c>
      <c r="I48" s="7">
        <v>4.0</v>
      </c>
      <c r="J48" s="7">
        <v>5.0</v>
      </c>
      <c r="K48" s="56"/>
      <c r="L48" s="56"/>
      <c r="M48" s="56"/>
      <c r="N48" s="56"/>
      <c r="O48" s="56"/>
      <c r="P48" s="56"/>
      <c r="Q48" s="56"/>
      <c r="R48" s="56"/>
      <c r="S48" s="56"/>
      <c r="T48" s="56"/>
      <c r="U48" s="56"/>
      <c r="V48" s="56"/>
      <c r="W48" s="56"/>
      <c r="X48" s="56"/>
      <c r="Y48" s="56"/>
      <c r="Z48" s="56"/>
      <c r="AA48" s="56"/>
      <c r="AB48" s="56"/>
    </row>
    <row r="49">
      <c r="C49" s="85" t="s">
        <v>8</v>
      </c>
      <c r="D49" s="57" t="s">
        <v>270</v>
      </c>
      <c r="E49" s="87">
        <f>IFERROR(__xludf.DUMMYFUNCTION("COUNTA(SPLIT(D49,"" ""))/COUNTA(SPLIT($B$47,"" ""))"),0.5098039215686274)</f>
        <v>0.5098039216</v>
      </c>
      <c r="F49" s="7">
        <v>3.0</v>
      </c>
      <c r="G49" s="7">
        <v>5.0</v>
      </c>
      <c r="H49" s="7">
        <v>5.0</v>
      </c>
      <c r="I49" s="7">
        <v>2.0</v>
      </c>
      <c r="J49" s="7">
        <v>4.0</v>
      </c>
      <c r="K49" s="56"/>
      <c r="L49" s="56"/>
      <c r="M49" s="56"/>
      <c r="N49" s="56"/>
      <c r="O49" s="56"/>
      <c r="P49" s="56"/>
      <c r="Q49" s="56"/>
      <c r="R49" s="56"/>
      <c r="S49" s="56"/>
      <c r="T49" s="56"/>
      <c r="U49" s="56"/>
      <c r="V49" s="56"/>
      <c r="W49" s="56"/>
      <c r="X49" s="56"/>
      <c r="Y49" s="56"/>
      <c r="Z49" s="56"/>
      <c r="AA49" s="56"/>
      <c r="AB49" s="56"/>
    </row>
    <row r="50">
      <c r="C50" s="85" t="s">
        <v>23</v>
      </c>
      <c r="D50" s="57" t="s">
        <v>271</v>
      </c>
      <c r="E50" s="88">
        <f>IFERROR(__xludf.DUMMYFUNCTION("COUNTA(SPLIT(D50,"" ""))/COUNTA(SPLIT($B$47,"" ""))"),0.14313725490196078)</f>
        <v>0.1431372549</v>
      </c>
      <c r="F50" s="7">
        <v>4.0</v>
      </c>
      <c r="G50" s="7">
        <v>5.0</v>
      </c>
      <c r="H50" s="7">
        <v>5.0</v>
      </c>
      <c r="I50" s="7">
        <v>5.0</v>
      </c>
      <c r="J50" s="7">
        <v>3.0</v>
      </c>
      <c r="K50" s="56"/>
      <c r="L50" s="56"/>
      <c r="M50" s="56"/>
      <c r="N50" s="56"/>
      <c r="O50" s="56"/>
      <c r="P50" s="56"/>
      <c r="Q50" s="56"/>
      <c r="R50" s="56"/>
      <c r="S50" s="56"/>
      <c r="T50" s="56"/>
      <c r="U50" s="56"/>
      <c r="V50" s="56"/>
      <c r="W50" s="56"/>
      <c r="X50" s="56"/>
      <c r="Y50" s="56"/>
      <c r="Z50" s="56"/>
      <c r="AA50" s="56"/>
      <c r="AB50" s="56"/>
    </row>
    <row r="51">
      <c r="A51" s="75"/>
      <c r="B51" s="69"/>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75"/>
      <c r="B52" s="69"/>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75"/>
      <c r="B53" s="69"/>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75"/>
      <c r="B54" s="69"/>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75"/>
      <c r="B55" s="69"/>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75"/>
      <c r="B56" s="69"/>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75"/>
      <c r="B57" s="69"/>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75"/>
      <c r="B58" s="69"/>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75"/>
      <c r="B59" s="69"/>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75"/>
      <c r="B60" s="69"/>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75"/>
      <c r="B61" s="69"/>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75"/>
      <c r="B62" s="69"/>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75"/>
      <c r="B63" s="69"/>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75"/>
      <c r="B64" s="69"/>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75"/>
      <c r="B65" s="69"/>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75"/>
      <c r="B66" s="69"/>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75"/>
      <c r="B67" s="69"/>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75"/>
      <c r="B68" s="69"/>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75"/>
      <c r="B69" s="69"/>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75"/>
      <c r="B70" s="69"/>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75"/>
      <c r="B71" s="69"/>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75"/>
      <c r="B72" s="69"/>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75"/>
      <c r="B73" s="69"/>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75"/>
      <c r="B74" s="69"/>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75"/>
      <c r="B75" s="69"/>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75"/>
      <c r="B76" s="69"/>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75"/>
      <c r="B77" s="69"/>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75"/>
      <c r="B78" s="69"/>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75"/>
      <c r="B79" s="69"/>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75"/>
      <c r="B80" s="69"/>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75"/>
      <c r="B81" s="69"/>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75"/>
      <c r="B82" s="69"/>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75"/>
      <c r="B83" s="69"/>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75"/>
      <c r="B84" s="69"/>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75"/>
      <c r="B85" s="69"/>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75"/>
      <c r="B86" s="69"/>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75"/>
      <c r="B87" s="69"/>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75"/>
      <c r="B88" s="69"/>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75"/>
      <c r="B89" s="69"/>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75"/>
      <c r="B90" s="69"/>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75"/>
      <c r="B91" s="69"/>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75"/>
      <c r="B92" s="69"/>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75"/>
      <c r="B93" s="69"/>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75"/>
      <c r="B94" s="69"/>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75"/>
      <c r="B95" s="69"/>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75"/>
      <c r="B96" s="69"/>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75"/>
      <c r="B97" s="69"/>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75"/>
      <c r="B98" s="69"/>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75"/>
      <c r="B99" s="69"/>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75"/>
      <c r="B100" s="69"/>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75"/>
      <c r="B101" s="69"/>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75"/>
      <c r="B102" s="69"/>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75"/>
      <c r="B103" s="69"/>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75"/>
      <c r="B104" s="69"/>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75"/>
      <c r="B105" s="69"/>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75"/>
      <c r="B106" s="69"/>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75"/>
      <c r="B107" s="69"/>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75"/>
      <c r="B108" s="69"/>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75"/>
      <c r="B109" s="69"/>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75"/>
      <c r="B110" s="69"/>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75"/>
      <c r="B111" s="69"/>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75"/>
      <c r="B112" s="69"/>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75"/>
      <c r="B113" s="69"/>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75"/>
      <c r="B114" s="69"/>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75"/>
      <c r="B115" s="69"/>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75"/>
      <c r="B116" s="69"/>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75"/>
      <c r="B117" s="69"/>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75"/>
      <c r="B118" s="69"/>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75"/>
      <c r="B119" s="69"/>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75"/>
      <c r="B120" s="69"/>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75"/>
      <c r="B121" s="69"/>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75"/>
      <c r="B122" s="69"/>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75"/>
      <c r="B123" s="69"/>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75"/>
      <c r="B124" s="69"/>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75"/>
      <c r="B125" s="69"/>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75"/>
      <c r="B126" s="69"/>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75"/>
      <c r="B127" s="69"/>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75"/>
      <c r="B128" s="69"/>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75"/>
      <c r="B129" s="69"/>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75"/>
      <c r="B130" s="69"/>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75"/>
      <c r="B131" s="69"/>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75"/>
      <c r="B132" s="69"/>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75"/>
      <c r="B133" s="69"/>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75"/>
      <c r="B134" s="69"/>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75"/>
      <c r="B135" s="69"/>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75"/>
      <c r="B136" s="69"/>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75"/>
      <c r="B137" s="69"/>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75"/>
      <c r="B138" s="69"/>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75"/>
      <c r="B139" s="69"/>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75"/>
      <c r="B140" s="69"/>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75"/>
      <c r="B141" s="69"/>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75"/>
      <c r="B142" s="69"/>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75"/>
      <c r="B143" s="69"/>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75"/>
      <c r="B144" s="69"/>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75"/>
      <c r="B145" s="69"/>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75"/>
      <c r="B146" s="69"/>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75"/>
      <c r="B147" s="69"/>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75"/>
      <c r="B148" s="69"/>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75"/>
      <c r="B149" s="69"/>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75"/>
      <c r="B150" s="69"/>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75"/>
      <c r="B151" s="69"/>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75"/>
      <c r="B152" s="69"/>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75"/>
      <c r="B153" s="69"/>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75"/>
      <c r="B154" s="69"/>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75"/>
      <c r="B155" s="69"/>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75"/>
      <c r="B156" s="69"/>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75"/>
      <c r="B157" s="69"/>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75"/>
      <c r="B158" s="69"/>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75"/>
      <c r="B159" s="69"/>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75"/>
      <c r="B160" s="69"/>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75"/>
      <c r="B161" s="69"/>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75"/>
      <c r="B162" s="69"/>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75"/>
      <c r="B163" s="69"/>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75"/>
      <c r="B164" s="69"/>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75"/>
      <c r="B165" s="69"/>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75"/>
      <c r="B166" s="69"/>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75"/>
      <c r="B167" s="69"/>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75"/>
      <c r="B168" s="69"/>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75"/>
      <c r="B169" s="69"/>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75"/>
      <c r="B170" s="69"/>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75"/>
      <c r="B171" s="69"/>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75"/>
      <c r="B172" s="69"/>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75"/>
      <c r="B173" s="69"/>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75"/>
      <c r="B174" s="69"/>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75"/>
      <c r="B175" s="69"/>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75"/>
      <c r="B176" s="69"/>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75"/>
      <c r="B177" s="69"/>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75"/>
      <c r="B178" s="69"/>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75"/>
      <c r="B179" s="69"/>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75"/>
      <c r="B180" s="69"/>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75"/>
      <c r="B181" s="69"/>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75"/>
      <c r="B182" s="69"/>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75"/>
      <c r="B183" s="69"/>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75"/>
      <c r="B184" s="69"/>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75"/>
      <c r="B185" s="69"/>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75"/>
      <c r="B186" s="69"/>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75"/>
      <c r="B187" s="69"/>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75"/>
      <c r="B188" s="69"/>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75"/>
      <c r="B189" s="69"/>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75"/>
      <c r="B190" s="69"/>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75"/>
      <c r="B191" s="69"/>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75"/>
      <c r="B192" s="69"/>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75"/>
      <c r="B193" s="69"/>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75"/>
      <c r="B194" s="69"/>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75"/>
      <c r="B195" s="69"/>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75"/>
      <c r="B196" s="69"/>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75"/>
      <c r="B197" s="69"/>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75"/>
      <c r="B198" s="69"/>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75"/>
      <c r="B199" s="69"/>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75"/>
      <c r="B200" s="69"/>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75"/>
      <c r="B201" s="69"/>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75"/>
      <c r="B202" s="69"/>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75"/>
      <c r="B203" s="69"/>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75"/>
      <c r="B204" s="69"/>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75"/>
      <c r="B205" s="69"/>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75"/>
      <c r="B206" s="69"/>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75"/>
      <c r="B207" s="69"/>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75"/>
      <c r="B208" s="69"/>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75"/>
      <c r="B209" s="69"/>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75"/>
      <c r="B210" s="69"/>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75"/>
      <c r="B211" s="69"/>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75"/>
      <c r="B212" s="69"/>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75"/>
      <c r="B213" s="69"/>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75"/>
      <c r="B214" s="69"/>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75"/>
      <c r="B215" s="69"/>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75"/>
      <c r="B216" s="69"/>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75"/>
      <c r="B217" s="69"/>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75"/>
      <c r="B218" s="69"/>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75"/>
      <c r="B219" s="69"/>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75"/>
      <c r="B220" s="69"/>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75"/>
      <c r="B221" s="69"/>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75"/>
      <c r="B222" s="69"/>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75"/>
      <c r="B223" s="69"/>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75"/>
      <c r="B224" s="69"/>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75"/>
      <c r="B225" s="69"/>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75"/>
      <c r="B226" s="69"/>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75"/>
      <c r="B227" s="69"/>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75"/>
      <c r="B228" s="69"/>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75"/>
      <c r="B229" s="69"/>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75"/>
      <c r="B230" s="69"/>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75"/>
      <c r="B231" s="69"/>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75"/>
      <c r="B232" s="69"/>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75"/>
      <c r="B233" s="69"/>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75"/>
      <c r="B234" s="69"/>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75"/>
      <c r="B235" s="69"/>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75"/>
      <c r="B236" s="69"/>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75"/>
      <c r="B237" s="69"/>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75"/>
      <c r="B238" s="69"/>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75"/>
      <c r="B239" s="69"/>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75"/>
      <c r="B240" s="69"/>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75"/>
      <c r="B241" s="69"/>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75"/>
      <c r="B242" s="69"/>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75"/>
      <c r="B243" s="69"/>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75"/>
      <c r="B244" s="69"/>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75"/>
      <c r="B245" s="69"/>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75"/>
      <c r="B246" s="69"/>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75"/>
      <c r="B247" s="69"/>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75"/>
      <c r="B248" s="69"/>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75"/>
      <c r="B249" s="69"/>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75"/>
      <c r="B250" s="69"/>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75"/>
      <c r="B251" s="69"/>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75"/>
      <c r="B252" s="69"/>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75"/>
      <c r="B253" s="69"/>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75"/>
      <c r="B254" s="69"/>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75"/>
      <c r="B255" s="69"/>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75"/>
      <c r="B256" s="69"/>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75"/>
      <c r="B257" s="69"/>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75"/>
      <c r="B258" s="69"/>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75"/>
      <c r="B259" s="69"/>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75"/>
      <c r="B260" s="69"/>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75"/>
      <c r="B261" s="69"/>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75"/>
      <c r="B262" s="69"/>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75"/>
      <c r="B263" s="69"/>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75"/>
      <c r="B264" s="69"/>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75"/>
      <c r="B265" s="69"/>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75"/>
      <c r="B266" s="69"/>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75"/>
      <c r="B267" s="69"/>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75"/>
      <c r="B268" s="69"/>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75"/>
      <c r="B269" s="69"/>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75"/>
      <c r="B270" s="69"/>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75"/>
      <c r="B271" s="69"/>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75"/>
      <c r="B272" s="69"/>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75"/>
      <c r="B273" s="69"/>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75"/>
      <c r="B274" s="69"/>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75"/>
      <c r="B275" s="69"/>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75"/>
      <c r="B276" s="69"/>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75"/>
      <c r="B277" s="69"/>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75"/>
      <c r="B278" s="69"/>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75"/>
      <c r="B279" s="69"/>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75"/>
      <c r="B280" s="69"/>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75"/>
      <c r="B281" s="69"/>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75"/>
      <c r="B282" s="69"/>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75"/>
      <c r="B283" s="69"/>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75"/>
      <c r="B284" s="69"/>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75"/>
      <c r="B285" s="69"/>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75"/>
      <c r="B286" s="69"/>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75"/>
      <c r="B287" s="69"/>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75"/>
      <c r="B288" s="69"/>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75"/>
      <c r="B289" s="69"/>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75"/>
      <c r="B290" s="69"/>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75"/>
      <c r="B291" s="69"/>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75"/>
      <c r="B292" s="69"/>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75"/>
      <c r="B293" s="69"/>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75"/>
      <c r="B294" s="69"/>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75"/>
      <c r="B295" s="69"/>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75"/>
      <c r="B296" s="69"/>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75"/>
      <c r="B297" s="69"/>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75"/>
      <c r="B298" s="69"/>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75"/>
      <c r="B299" s="69"/>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75"/>
      <c r="B300" s="69"/>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75"/>
      <c r="B301" s="69"/>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75"/>
      <c r="B302" s="69"/>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75"/>
      <c r="B303" s="69"/>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75"/>
      <c r="B304" s="69"/>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75"/>
      <c r="B305" s="69"/>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75"/>
      <c r="B306" s="69"/>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75"/>
      <c r="B307" s="69"/>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75"/>
      <c r="B308" s="69"/>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75"/>
      <c r="B309" s="69"/>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75"/>
      <c r="B310" s="69"/>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75"/>
      <c r="B311" s="69"/>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75"/>
      <c r="B312" s="69"/>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75"/>
      <c r="B313" s="69"/>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75"/>
      <c r="B314" s="69"/>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75"/>
      <c r="B315" s="69"/>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75"/>
      <c r="B316" s="69"/>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75"/>
      <c r="B317" s="69"/>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75"/>
      <c r="B318" s="69"/>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75"/>
      <c r="B319" s="69"/>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75"/>
      <c r="B320" s="69"/>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75"/>
      <c r="B321" s="69"/>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75"/>
      <c r="B322" s="69"/>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75"/>
      <c r="B323" s="69"/>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75"/>
      <c r="B324" s="69"/>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75"/>
      <c r="B325" s="69"/>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75"/>
      <c r="B326" s="69"/>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75"/>
      <c r="B327" s="69"/>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75"/>
      <c r="B328" s="69"/>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75"/>
      <c r="B329" s="69"/>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75"/>
      <c r="B330" s="69"/>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75"/>
      <c r="B331" s="69"/>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75"/>
      <c r="B332" s="69"/>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75"/>
      <c r="B333" s="69"/>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75"/>
      <c r="B334" s="69"/>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75"/>
      <c r="B335" s="69"/>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75"/>
      <c r="B336" s="69"/>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75"/>
      <c r="B337" s="69"/>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75"/>
      <c r="B338" s="69"/>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75"/>
      <c r="B339" s="69"/>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75"/>
      <c r="B340" s="69"/>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75"/>
      <c r="B341" s="69"/>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75"/>
      <c r="B342" s="69"/>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75"/>
      <c r="B343" s="69"/>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75"/>
      <c r="B344" s="69"/>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75"/>
      <c r="B345" s="69"/>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75"/>
      <c r="B346" s="69"/>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75"/>
      <c r="B347" s="69"/>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75"/>
      <c r="B348" s="69"/>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75"/>
      <c r="B349" s="69"/>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75"/>
      <c r="B350" s="69"/>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75"/>
      <c r="B351" s="69"/>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75"/>
      <c r="B352" s="69"/>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75"/>
      <c r="B353" s="69"/>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75"/>
      <c r="B354" s="69"/>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75"/>
      <c r="B355" s="69"/>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75"/>
      <c r="B356" s="69"/>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75"/>
      <c r="B357" s="69"/>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75"/>
      <c r="B358" s="69"/>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75"/>
      <c r="B359" s="69"/>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75"/>
      <c r="B360" s="69"/>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75"/>
      <c r="B361" s="69"/>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75"/>
      <c r="B362" s="69"/>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75"/>
      <c r="B363" s="69"/>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75"/>
      <c r="B364" s="69"/>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75"/>
      <c r="B365" s="69"/>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75"/>
      <c r="B366" s="69"/>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75"/>
      <c r="B367" s="69"/>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75"/>
      <c r="B368" s="69"/>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75"/>
      <c r="B369" s="69"/>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75"/>
      <c r="B370" s="69"/>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75"/>
      <c r="B371" s="69"/>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75"/>
      <c r="B372" s="69"/>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75"/>
      <c r="B373" s="69"/>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75"/>
      <c r="B374" s="69"/>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75"/>
      <c r="B375" s="69"/>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75"/>
      <c r="B376" s="69"/>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75"/>
      <c r="B377" s="69"/>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75"/>
      <c r="B378" s="69"/>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75"/>
      <c r="B379" s="69"/>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75"/>
      <c r="B380" s="69"/>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75"/>
      <c r="B381" s="69"/>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75"/>
      <c r="B382" s="69"/>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75"/>
      <c r="B383" s="69"/>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75"/>
      <c r="B384" s="69"/>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75"/>
      <c r="B385" s="69"/>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75"/>
      <c r="B386" s="69"/>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75"/>
      <c r="B387" s="69"/>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75"/>
      <c r="B388" s="69"/>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75"/>
      <c r="B389" s="69"/>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75"/>
      <c r="B390" s="69"/>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75"/>
      <c r="B391" s="69"/>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75"/>
      <c r="B392" s="69"/>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75"/>
      <c r="B393" s="69"/>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75"/>
      <c r="B394" s="69"/>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75"/>
      <c r="B395" s="69"/>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75"/>
      <c r="B396" s="69"/>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75"/>
      <c r="B397" s="69"/>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75"/>
      <c r="B398" s="69"/>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75"/>
      <c r="B399" s="69"/>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75"/>
      <c r="B400" s="69"/>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75"/>
      <c r="B401" s="69"/>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75"/>
      <c r="B402" s="69"/>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75"/>
      <c r="B403" s="69"/>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75"/>
      <c r="B404" s="69"/>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75"/>
      <c r="B405" s="69"/>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75"/>
      <c r="B406" s="69"/>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75"/>
      <c r="B407" s="69"/>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75"/>
      <c r="B408" s="69"/>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75"/>
      <c r="B409" s="69"/>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75"/>
      <c r="B410" s="69"/>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75"/>
      <c r="B411" s="69"/>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75"/>
      <c r="B412" s="69"/>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75"/>
      <c r="B413" s="69"/>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75"/>
      <c r="B414" s="69"/>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75"/>
      <c r="B415" s="69"/>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75"/>
      <c r="B416" s="69"/>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75"/>
      <c r="B417" s="69"/>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75"/>
      <c r="B418" s="69"/>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75"/>
      <c r="B419" s="69"/>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75"/>
      <c r="B420" s="69"/>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75"/>
      <c r="B421" s="69"/>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75"/>
      <c r="B422" s="69"/>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75"/>
      <c r="B423" s="69"/>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75"/>
      <c r="B424" s="69"/>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75"/>
      <c r="B425" s="69"/>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75"/>
      <c r="B426" s="69"/>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75"/>
      <c r="B427" s="69"/>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75"/>
      <c r="B428" s="69"/>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75"/>
      <c r="B429" s="69"/>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75"/>
      <c r="B430" s="69"/>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75"/>
      <c r="B431" s="69"/>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75"/>
      <c r="B432" s="69"/>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75"/>
      <c r="B433" s="69"/>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75"/>
      <c r="B434" s="69"/>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75"/>
      <c r="B435" s="69"/>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75"/>
      <c r="B436" s="69"/>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75"/>
      <c r="B437" s="69"/>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75"/>
      <c r="B438" s="69"/>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75"/>
      <c r="B439" s="69"/>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75"/>
      <c r="B440" s="69"/>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75"/>
      <c r="B441" s="69"/>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75"/>
      <c r="B442" s="69"/>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75"/>
      <c r="B443" s="69"/>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75"/>
      <c r="B444" s="69"/>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75"/>
      <c r="B445" s="69"/>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75"/>
      <c r="B446" s="69"/>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75"/>
      <c r="B447" s="69"/>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75"/>
      <c r="B448" s="69"/>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75"/>
      <c r="B449" s="69"/>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75"/>
      <c r="B450" s="69"/>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75"/>
      <c r="B451" s="69"/>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75"/>
      <c r="B452" s="69"/>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75"/>
      <c r="B453" s="69"/>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75"/>
      <c r="B454" s="69"/>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75"/>
      <c r="B455" s="69"/>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75"/>
      <c r="B456" s="69"/>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75"/>
      <c r="B457" s="69"/>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75"/>
      <c r="B458" s="69"/>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75"/>
      <c r="B459" s="69"/>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75"/>
      <c r="B460" s="69"/>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75"/>
      <c r="B461" s="69"/>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75"/>
      <c r="B462" s="69"/>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75"/>
      <c r="B463" s="69"/>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75"/>
      <c r="B464" s="69"/>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75"/>
      <c r="B465" s="69"/>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75"/>
      <c r="B466" s="69"/>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75"/>
      <c r="B467" s="69"/>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75"/>
      <c r="B468" s="69"/>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75"/>
      <c r="B469" s="69"/>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75"/>
      <c r="B470" s="69"/>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75"/>
      <c r="B471" s="69"/>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75"/>
      <c r="B472" s="69"/>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75"/>
      <c r="B473" s="69"/>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75"/>
      <c r="B474" s="69"/>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75"/>
      <c r="B475" s="69"/>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75"/>
      <c r="B476" s="69"/>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75"/>
      <c r="B477" s="69"/>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75"/>
      <c r="B478" s="69"/>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75"/>
      <c r="B479" s="69"/>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75"/>
      <c r="B480" s="69"/>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75"/>
      <c r="B481" s="69"/>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75"/>
      <c r="B482" s="69"/>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75"/>
      <c r="B483" s="69"/>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75"/>
      <c r="B484" s="69"/>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75"/>
      <c r="B485" s="69"/>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75"/>
      <c r="B486" s="69"/>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75"/>
      <c r="B487" s="69"/>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75"/>
      <c r="B488" s="69"/>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75"/>
      <c r="B489" s="69"/>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75"/>
      <c r="B490" s="69"/>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75"/>
      <c r="B491" s="69"/>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75"/>
      <c r="B492" s="69"/>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75"/>
      <c r="B493" s="69"/>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75"/>
      <c r="B494" s="69"/>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75"/>
      <c r="B495" s="69"/>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75"/>
      <c r="B496" s="69"/>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75"/>
      <c r="B497" s="69"/>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75"/>
      <c r="B498" s="69"/>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75"/>
      <c r="B499" s="69"/>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75"/>
      <c r="B500" s="69"/>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75"/>
      <c r="B501" s="69"/>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75"/>
      <c r="B502" s="69"/>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75"/>
      <c r="B503" s="69"/>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75"/>
      <c r="B504" s="69"/>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75"/>
      <c r="B505" s="69"/>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75"/>
      <c r="B506" s="69"/>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75"/>
      <c r="B507" s="69"/>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75"/>
      <c r="B508" s="69"/>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75"/>
      <c r="B509" s="69"/>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75"/>
      <c r="B510" s="69"/>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75"/>
      <c r="B511" s="69"/>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75"/>
      <c r="B512" s="69"/>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75"/>
      <c r="B513" s="69"/>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75"/>
      <c r="B514" s="69"/>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75"/>
      <c r="B515" s="69"/>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75"/>
      <c r="B516" s="69"/>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75"/>
      <c r="B517" s="69"/>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75"/>
      <c r="B518" s="69"/>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75"/>
      <c r="B519" s="69"/>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75"/>
      <c r="B520" s="69"/>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75"/>
      <c r="B521" s="69"/>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75"/>
      <c r="B522" s="69"/>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75"/>
      <c r="B523" s="69"/>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75"/>
      <c r="B524" s="69"/>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75"/>
      <c r="B525" s="69"/>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75"/>
      <c r="B526" s="69"/>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75"/>
      <c r="B527" s="69"/>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75"/>
      <c r="B528" s="69"/>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75"/>
      <c r="B529" s="69"/>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75"/>
      <c r="B530" s="69"/>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75"/>
      <c r="B531" s="69"/>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75"/>
      <c r="B532" s="69"/>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75"/>
      <c r="B533" s="69"/>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75"/>
      <c r="B534" s="69"/>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75"/>
      <c r="B535" s="69"/>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75"/>
      <c r="B536" s="69"/>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75"/>
      <c r="B537" s="69"/>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75"/>
      <c r="B538" s="69"/>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75"/>
      <c r="B539" s="69"/>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75"/>
      <c r="B540" s="69"/>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75"/>
      <c r="B541" s="69"/>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75"/>
      <c r="B542" s="69"/>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75"/>
      <c r="B543" s="69"/>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75"/>
      <c r="B544" s="69"/>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75"/>
      <c r="B545" s="69"/>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75"/>
      <c r="B546" s="69"/>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75"/>
      <c r="B547" s="69"/>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75"/>
      <c r="B548" s="69"/>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75"/>
      <c r="B549" s="69"/>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75"/>
      <c r="B550" s="69"/>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75"/>
      <c r="B551" s="69"/>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75"/>
      <c r="B552" s="69"/>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75"/>
      <c r="B553" s="69"/>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75"/>
      <c r="B554" s="69"/>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75"/>
      <c r="B555" s="69"/>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75"/>
      <c r="B556" s="69"/>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75"/>
      <c r="B557" s="69"/>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75"/>
      <c r="B558" s="69"/>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75"/>
      <c r="B559" s="69"/>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75"/>
      <c r="B560" s="69"/>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75"/>
      <c r="B561" s="69"/>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75"/>
      <c r="B562" s="69"/>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75"/>
      <c r="B563" s="69"/>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75"/>
      <c r="B564" s="69"/>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75"/>
      <c r="B565" s="69"/>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75"/>
      <c r="B566" s="69"/>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75"/>
      <c r="B567" s="69"/>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75"/>
      <c r="B568" s="69"/>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75"/>
      <c r="B569" s="69"/>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75"/>
      <c r="B570" s="69"/>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75"/>
      <c r="B571" s="69"/>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75"/>
      <c r="B572" s="69"/>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75"/>
      <c r="B573" s="69"/>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75"/>
      <c r="B574" s="69"/>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75"/>
      <c r="B575" s="69"/>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75"/>
      <c r="B576" s="69"/>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75"/>
      <c r="B577" s="69"/>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75"/>
      <c r="B578" s="69"/>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75"/>
      <c r="B579" s="69"/>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75"/>
      <c r="B580" s="69"/>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75"/>
      <c r="B581" s="69"/>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75"/>
      <c r="B582" s="69"/>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75"/>
      <c r="B583" s="69"/>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75"/>
      <c r="B584" s="69"/>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75"/>
      <c r="B585" s="69"/>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75"/>
      <c r="B586" s="69"/>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75"/>
      <c r="B587" s="69"/>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75"/>
      <c r="B588" s="69"/>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75"/>
      <c r="B589" s="69"/>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75"/>
      <c r="B590" s="69"/>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75"/>
      <c r="B591" s="69"/>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75"/>
      <c r="B592" s="69"/>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75"/>
      <c r="B593" s="69"/>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75"/>
      <c r="B594" s="69"/>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75"/>
      <c r="B595" s="69"/>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75"/>
      <c r="B596" s="69"/>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75"/>
      <c r="B597" s="69"/>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75"/>
      <c r="B598" s="69"/>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75"/>
      <c r="B599" s="69"/>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75"/>
      <c r="B600" s="69"/>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75"/>
      <c r="B601" s="69"/>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75"/>
      <c r="B602" s="69"/>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75"/>
      <c r="B603" s="69"/>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75"/>
      <c r="B604" s="69"/>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75"/>
      <c r="B605" s="69"/>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75"/>
      <c r="B606" s="69"/>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75"/>
      <c r="B607" s="69"/>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75"/>
      <c r="B608" s="69"/>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75"/>
      <c r="B609" s="69"/>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75"/>
      <c r="B610" s="69"/>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75"/>
      <c r="B611" s="69"/>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75"/>
      <c r="B612" s="69"/>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75"/>
      <c r="B613" s="69"/>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75"/>
      <c r="B614" s="69"/>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75"/>
      <c r="B615" s="69"/>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75"/>
      <c r="B616" s="69"/>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75"/>
      <c r="B617" s="69"/>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75"/>
      <c r="B618" s="69"/>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75"/>
      <c r="B619" s="69"/>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75"/>
      <c r="B620" s="69"/>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75"/>
      <c r="B621" s="69"/>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75"/>
      <c r="B622" s="69"/>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75"/>
      <c r="B623" s="69"/>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75"/>
      <c r="B624" s="69"/>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75"/>
      <c r="B625" s="69"/>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75"/>
      <c r="B626" s="69"/>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75"/>
      <c r="B627" s="69"/>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75"/>
      <c r="B628" s="69"/>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75"/>
      <c r="B629" s="69"/>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75"/>
      <c r="B630" s="69"/>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75"/>
      <c r="B631" s="69"/>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75"/>
      <c r="B632" s="69"/>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75"/>
      <c r="B633" s="69"/>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75"/>
      <c r="B634" s="69"/>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75"/>
      <c r="B635" s="69"/>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75"/>
      <c r="B636" s="69"/>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75"/>
      <c r="B637" s="69"/>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75"/>
      <c r="B638" s="69"/>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75"/>
      <c r="B639" s="69"/>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75"/>
      <c r="B640" s="69"/>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75"/>
      <c r="B641" s="69"/>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75"/>
      <c r="B642" s="69"/>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75"/>
      <c r="B643" s="69"/>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75"/>
      <c r="B644" s="69"/>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75"/>
      <c r="B645" s="69"/>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75"/>
      <c r="B646" s="69"/>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75"/>
      <c r="B647" s="69"/>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75"/>
      <c r="B648" s="69"/>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75"/>
      <c r="B649" s="69"/>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75"/>
      <c r="B650" s="69"/>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75"/>
      <c r="B651" s="69"/>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75"/>
      <c r="B652" s="69"/>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75"/>
      <c r="B653" s="69"/>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75"/>
      <c r="B654" s="69"/>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75"/>
      <c r="B655" s="69"/>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75"/>
      <c r="B656" s="69"/>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75"/>
      <c r="B657" s="69"/>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75"/>
      <c r="B658" s="69"/>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75"/>
      <c r="B659" s="69"/>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75"/>
      <c r="B660" s="69"/>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75"/>
      <c r="B661" s="69"/>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75"/>
      <c r="B662" s="69"/>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75"/>
      <c r="B663" s="69"/>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75"/>
      <c r="B664" s="69"/>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75"/>
      <c r="B665" s="69"/>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75"/>
      <c r="B666" s="69"/>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75"/>
      <c r="B667" s="69"/>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75"/>
      <c r="B668" s="69"/>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75"/>
      <c r="B669" s="69"/>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75"/>
      <c r="B670" s="69"/>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75"/>
      <c r="B671" s="69"/>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75"/>
      <c r="B672" s="69"/>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75"/>
      <c r="B673" s="69"/>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75"/>
      <c r="B674" s="69"/>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75"/>
      <c r="B675" s="69"/>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75"/>
      <c r="B676" s="69"/>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75"/>
      <c r="B677" s="69"/>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75"/>
      <c r="B678" s="69"/>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75"/>
      <c r="B679" s="69"/>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75"/>
      <c r="B680" s="69"/>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75"/>
      <c r="B681" s="69"/>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75"/>
      <c r="B682" s="69"/>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75"/>
      <c r="B683" s="69"/>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75"/>
      <c r="B684" s="69"/>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75"/>
      <c r="B685" s="69"/>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75"/>
      <c r="B686" s="69"/>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75"/>
      <c r="B687" s="69"/>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75"/>
      <c r="B688" s="69"/>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75"/>
      <c r="B689" s="69"/>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75"/>
      <c r="B690" s="69"/>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75"/>
      <c r="B691" s="69"/>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75"/>
      <c r="B692" s="69"/>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75"/>
      <c r="B693" s="69"/>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75"/>
      <c r="B694" s="69"/>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75"/>
      <c r="B695" s="69"/>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75"/>
      <c r="B696" s="69"/>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75"/>
      <c r="B697" s="69"/>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75"/>
      <c r="B698" s="69"/>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75"/>
      <c r="B699" s="69"/>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75"/>
      <c r="B700" s="69"/>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75"/>
      <c r="B701" s="69"/>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75"/>
      <c r="B702" s="69"/>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75"/>
      <c r="B703" s="69"/>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75"/>
      <c r="B704" s="69"/>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75"/>
      <c r="B705" s="69"/>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75"/>
      <c r="B706" s="69"/>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75"/>
      <c r="B707" s="69"/>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75"/>
      <c r="B708" s="69"/>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75"/>
      <c r="B709" s="69"/>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75"/>
      <c r="B710" s="69"/>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75"/>
      <c r="B711" s="69"/>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75"/>
      <c r="B712" s="69"/>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75"/>
      <c r="B713" s="69"/>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75"/>
      <c r="B714" s="69"/>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75"/>
      <c r="B715" s="69"/>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75"/>
      <c r="B716" s="69"/>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75"/>
      <c r="B717" s="69"/>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75"/>
      <c r="B718" s="69"/>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75"/>
      <c r="B719" s="69"/>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75"/>
      <c r="B720" s="69"/>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75"/>
      <c r="B721" s="69"/>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75"/>
      <c r="B722" s="69"/>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75"/>
      <c r="B723" s="69"/>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75"/>
      <c r="B724" s="69"/>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75"/>
      <c r="B725" s="69"/>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75"/>
      <c r="B726" s="69"/>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75"/>
      <c r="B727" s="69"/>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75"/>
      <c r="B728" s="69"/>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75"/>
      <c r="B729" s="69"/>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75"/>
      <c r="B730" s="69"/>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75"/>
      <c r="B731" s="69"/>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75"/>
      <c r="B732" s="69"/>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75"/>
      <c r="B733" s="69"/>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75"/>
      <c r="B734" s="69"/>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75"/>
      <c r="B735" s="69"/>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75"/>
      <c r="B736" s="69"/>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75"/>
      <c r="B737" s="69"/>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75"/>
      <c r="B738" s="69"/>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75"/>
      <c r="B739" s="69"/>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75"/>
      <c r="B740" s="69"/>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75"/>
      <c r="B741" s="69"/>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75"/>
      <c r="B742" s="69"/>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75"/>
      <c r="B743" s="69"/>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75"/>
      <c r="B744" s="69"/>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75"/>
      <c r="B745" s="69"/>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75"/>
      <c r="B746" s="69"/>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75"/>
      <c r="B747" s="69"/>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75"/>
      <c r="B748" s="69"/>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75"/>
      <c r="B749" s="69"/>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75"/>
      <c r="B750" s="69"/>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75"/>
      <c r="B751" s="69"/>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75"/>
      <c r="B752" s="69"/>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75"/>
      <c r="B753" s="69"/>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75"/>
      <c r="B754" s="69"/>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75"/>
      <c r="B755" s="69"/>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75"/>
      <c r="B756" s="69"/>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75"/>
      <c r="B757" s="69"/>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75"/>
      <c r="B758" s="69"/>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75"/>
      <c r="B759" s="69"/>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75"/>
      <c r="B760" s="69"/>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75"/>
      <c r="B761" s="69"/>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75"/>
      <c r="B762" s="69"/>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75"/>
      <c r="B763" s="69"/>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75"/>
      <c r="B764" s="69"/>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75"/>
      <c r="B765" s="69"/>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75"/>
      <c r="B766" s="69"/>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75"/>
      <c r="B767" s="69"/>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75"/>
      <c r="B768" s="69"/>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75"/>
      <c r="B769" s="69"/>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75"/>
      <c r="B770" s="69"/>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75"/>
      <c r="B771" s="69"/>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75"/>
      <c r="B772" s="69"/>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75"/>
      <c r="B773" s="69"/>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75"/>
      <c r="B774" s="69"/>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75"/>
      <c r="B775" s="69"/>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75"/>
      <c r="B776" s="69"/>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75"/>
      <c r="B777" s="69"/>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75"/>
      <c r="B778" s="69"/>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75"/>
      <c r="B779" s="69"/>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75"/>
      <c r="B780" s="69"/>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75"/>
      <c r="B781" s="69"/>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75"/>
      <c r="B782" s="69"/>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75"/>
      <c r="B783" s="69"/>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75"/>
      <c r="B784" s="69"/>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75"/>
      <c r="B785" s="69"/>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75"/>
      <c r="B786" s="69"/>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75"/>
      <c r="B787" s="69"/>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75"/>
      <c r="B788" s="69"/>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75"/>
      <c r="B789" s="69"/>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75"/>
      <c r="B790" s="69"/>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75"/>
      <c r="B791" s="69"/>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75"/>
      <c r="B792" s="69"/>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75"/>
      <c r="B793" s="69"/>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75"/>
      <c r="B794" s="69"/>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75"/>
      <c r="B795" s="69"/>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75"/>
      <c r="B796" s="69"/>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75"/>
      <c r="B797" s="69"/>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75"/>
      <c r="B798" s="69"/>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75"/>
      <c r="B799" s="69"/>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75"/>
      <c r="B800" s="69"/>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75"/>
      <c r="B801" s="69"/>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75"/>
      <c r="B802" s="69"/>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75"/>
      <c r="B803" s="69"/>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75"/>
      <c r="B804" s="69"/>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75"/>
      <c r="B805" s="69"/>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75"/>
      <c r="B806" s="69"/>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75"/>
      <c r="B807" s="69"/>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75"/>
      <c r="B808" s="69"/>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75"/>
      <c r="B809" s="69"/>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75"/>
      <c r="B810" s="69"/>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75"/>
      <c r="B811" s="69"/>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75"/>
      <c r="B812" s="69"/>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75"/>
      <c r="B813" s="69"/>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75"/>
      <c r="B814" s="69"/>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75"/>
      <c r="B815" s="69"/>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75"/>
      <c r="B816" s="69"/>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75"/>
      <c r="B817" s="69"/>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75"/>
      <c r="B818" s="69"/>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75"/>
      <c r="B819" s="69"/>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75"/>
      <c r="B820" s="69"/>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75"/>
      <c r="B821" s="69"/>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75"/>
      <c r="B822" s="69"/>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75"/>
      <c r="B823" s="69"/>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75"/>
      <c r="B824" s="69"/>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75"/>
      <c r="B825" s="69"/>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75"/>
      <c r="B826" s="69"/>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75"/>
      <c r="B827" s="69"/>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75"/>
      <c r="B828" s="69"/>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75"/>
      <c r="B829" s="69"/>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75"/>
      <c r="B830" s="69"/>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75"/>
      <c r="B831" s="69"/>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75"/>
      <c r="B832" s="69"/>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75"/>
      <c r="B833" s="69"/>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75"/>
      <c r="B834" s="69"/>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75"/>
      <c r="B835" s="69"/>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75"/>
      <c r="B836" s="69"/>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75"/>
      <c r="B837" s="69"/>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75"/>
      <c r="B838" s="69"/>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75"/>
      <c r="B839" s="69"/>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75"/>
      <c r="B840" s="69"/>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75"/>
      <c r="B841" s="69"/>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75"/>
      <c r="B842" s="69"/>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75"/>
      <c r="B843" s="69"/>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75"/>
      <c r="B844" s="69"/>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75"/>
      <c r="B845" s="69"/>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75"/>
      <c r="B846" s="69"/>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75"/>
      <c r="B847" s="69"/>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75"/>
      <c r="B848" s="69"/>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75"/>
      <c r="B849" s="69"/>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75"/>
      <c r="B850" s="69"/>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75"/>
      <c r="B851" s="69"/>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75"/>
      <c r="B852" s="69"/>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75"/>
      <c r="B853" s="69"/>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75"/>
      <c r="B854" s="69"/>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75"/>
      <c r="B855" s="69"/>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75"/>
      <c r="B856" s="69"/>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75"/>
      <c r="B857" s="69"/>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75"/>
      <c r="B858" s="69"/>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75"/>
      <c r="B859" s="69"/>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75"/>
      <c r="B860" s="69"/>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75"/>
      <c r="B861" s="69"/>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75"/>
      <c r="B862" s="69"/>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75"/>
      <c r="B863" s="69"/>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75"/>
      <c r="B864" s="69"/>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75"/>
      <c r="B865" s="69"/>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75"/>
      <c r="B866" s="69"/>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75"/>
      <c r="B867" s="69"/>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75"/>
      <c r="B868" s="69"/>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75"/>
      <c r="B869" s="69"/>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75"/>
      <c r="B870" s="69"/>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75"/>
      <c r="B871" s="69"/>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75"/>
      <c r="B872" s="69"/>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75"/>
      <c r="B873" s="69"/>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75"/>
      <c r="B874" s="69"/>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75"/>
      <c r="B875" s="69"/>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75"/>
      <c r="B876" s="69"/>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75"/>
      <c r="B877" s="69"/>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75"/>
      <c r="B878" s="69"/>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75"/>
      <c r="B879" s="69"/>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75"/>
      <c r="B880" s="69"/>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75"/>
      <c r="B881" s="69"/>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75"/>
      <c r="B882" s="69"/>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75"/>
      <c r="B883" s="69"/>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75"/>
      <c r="B884" s="69"/>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75"/>
      <c r="B885" s="69"/>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75"/>
      <c r="B886" s="69"/>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75"/>
      <c r="B887" s="69"/>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75"/>
      <c r="B888" s="69"/>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75"/>
      <c r="B889" s="69"/>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75"/>
      <c r="B890" s="69"/>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75"/>
      <c r="B891" s="69"/>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75"/>
      <c r="B892" s="69"/>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75"/>
      <c r="B893" s="69"/>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75"/>
      <c r="B894" s="69"/>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75"/>
      <c r="B895" s="69"/>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75"/>
      <c r="B896" s="69"/>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75"/>
      <c r="B897" s="69"/>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75"/>
      <c r="B898" s="69"/>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75"/>
      <c r="B899" s="69"/>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75"/>
      <c r="B900" s="69"/>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75"/>
      <c r="B901" s="69"/>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75"/>
      <c r="B902" s="69"/>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75"/>
      <c r="B903" s="69"/>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75"/>
      <c r="B904" s="69"/>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75"/>
      <c r="B905" s="69"/>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75"/>
      <c r="B906" s="69"/>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75"/>
      <c r="B907" s="69"/>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75"/>
      <c r="B908" s="69"/>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75"/>
      <c r="B909" s="69"/>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75"/>
      <c r="B910" s="69"/>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75"/>
      <c r="B911" s="69"/>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75"/>
      <c r="B912" s="69"/>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75"/>
      <c r="B913" s="69"/>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75"/>
      <c r="B914" s="69"/>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75"/>
      <c r="B915" s="69"/>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75"/>
      <c r="B916" s="69"/>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75"/>
      <c r="B917" s="69"/>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75"/>
      <c r="B918" s="69"/>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75"/>
      <c r="B919" s="69"/>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75"/>
      <c r="B920" s="69"/>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75"/>
      <c r="B921" s="69"/>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75"/>
      <c r="B922" s="69"/>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75"/>
      <c r="B923" s="69"/>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75"/>
      <c r="B924" s="69"/>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75"/>
      <c r="B925" s="69"/>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75"/>
      <c r="B926" s="69"/>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75"/>
      <c r="B927" s="69"/>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75"/>
      <c r="B928" s="69"/>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75"/>
      <c r="B929" s="69"/>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75"/>
      <c r="B930" s="69"/>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75"/>
      <c r="B931" s="69"/>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75"/>
      <c r="B932" s="69"/>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75"/>
      <c r="B933" s="69"/>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75"/>
      <c r="B934" s="69"/>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75"/>
      <c r="B935" s="69"/>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75"/>
      <c r="B936" s="69"/>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75"/>
      <c r="B937" s="69"/>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75"/>
      <c r="B938" s="69"/>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75"/>
      <c r="B939" s="69"/>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75"/>
      <c r="B940" s="69"/>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75"/>
      <c r="B941" s="69"/>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75"/>
      <c r="B942" s="69"/>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75"/>
      <c r="B943" s="69"/>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75"/>
      <c r="B944" s="69"/>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75"/>
      <c r="B945" s="69"/>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75"/>
      <c r="B946" s="69"/>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75"/>
      <c r="B947" s="69"/>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75"/>
      <c r="B948" s="69"/>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75"/>
      <c r="B949" s="69"/>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75"/>
      <c r="B950" s="69"/>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75"/>
      <c r="B951" s="69"/>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75"/>
      <c r="B952" s="69"/>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75"/>
      <c r="B953" s="69"/>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75"/>
      <c r="B954" s="69"/>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75"/>
      <c r="B955" s="69"/>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75"/>
      <c r="B956" s="69"/>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75"/>
      <c r="B957" s="69"/>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75"/>
      <c r="B958" s="69"/>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75"/>
      <c r="B959" s="69"/>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75"/>
      <c r="B960" s="69"/>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75"/>
      <c r="B961" s="69"/>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75"/>
      <c r="B962" s="69"/>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75"/>
      <c r="B963" s="69"/>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75"/>
      <c r="B964" s="69"/>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75"/>
      <c r="B965" s="69"/>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75"/>
      <c r="B966" s="69"/>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75"/>
      <c r="B967" s="69"/>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75"/>
      <c r="B968" s="69"/>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75"/>
      <c r="B969" s="69"/>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75"/>
      <c r="B970" s="69"/>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75"/>
      <c r="B971" s="69"/>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75"/>
      <c r="B972" s="69"/>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75"/>
      <c r="B973" s="69"/>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75"/>
      <c r="B974" s="69"/>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75"/>
      <c r="B975" s="69"/>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75"/>
      <c r="B976" s="69"/>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75"/>
      <c r="B977" s="69"/>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75"/>
      <c r="B978" s="69"/>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978">
    <cfRule type="colorScale" priority="1">
      <colorScale>
        <cfvo type="formula" val="0"/>
        <cfvo type="formula" val="1"/>
        <color rgb="FFFFFFFF"/>
        <color rgb="FFE67C73"/>
      </colorScale>
    </cfRule>
  </conditionalFormatting>
  <conditionalFormatting sqref="E2:E978">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75"/>
    <col hidden="1" min="10" max="11" width="12.63"/>
  </cols>
  <sheetData>
    <row r="1">
      <c r="A1" s="1" t="s">
        <v>0</v>
      </c>
      <c r="B1" s="1" t="s">
        <v>1</v>
      </c>
      <c r="C1" s="1" t="s">
        <v>2</v>
      </c>
      <c r="D1" s="1" t="s">
        <v>3</v>
      </c>
      <c r="E1" s="2" t="s">
        <v>4</v>
      </c>
      <c r="F1" s="2" t="s">
        <v>5</v>
      </c>
      <c r="G1" s="2" t="s">
        <v>6</v>
      </c>
      <c r="H1" s="2" t="s">
        <v>7</v>
      </c>
      <c r="I1" s="2" t="s">
        <v>8</v>
      </c>
      <c r="J1" s="1" t="s">
        <v>272</v>
      </c>
      <c r="K1" s="1" t="s">
        <v>273</v>
      </c>
    </row>
    <row r="2">
      <c r="A2" s="92" t="str">
        <f>'🤖 Claude Haiku 3.5'!$A$2</f>
        <v>http://elpais.com/ccaa/2019/08/01/catalunya/1564677368_810398.html</v>
      </c>
      <c r="B2" s="6" t="str">
        <f t="shared" ref="B2:B5" si="1">"Claude Sonnet 3.5"</f>
        <v>Claude Sonnet 3.5</v>
      </c>
      <c r="C2" s="7" t="str">
        <f>'🤖 Claude Haiku 3.5'!C2</f>
        <v>Base</v>
      </c>
      <c r="D2" s="93">
        <f>'🤖 Claude Haiku 3.5'!E2</f>
        <v>0.1897142857</v>
      </c>
      <c r="E2" s="7">
        <f>'🤖 Claude Haiku 3.5'!F2</f>
        <v>4</v>
      </c>
      <c r="F2" s="7">
        <f>'🤖 Claude Haiku 3.5'!G2</f>
        <v>5</v>
      </c>
      <c r="G2" s="7">
        <f>'🤖 Claude Haiku 3.5'!H2</f>
        <v>5</v>
      </c>
      <c r="H2" s="7">
        <f>'🤖 Claude Haiku 3.5'!I2</f>
        <v>4</v>
      </c>
      <c r="I2" s="7">
        <f>'🤖 Claude Haiku 3.5'!J2</f>
        <v>5</v>
      </c>
    </row>
    <row r="3">
      <c r="A3" s="92" t="str">
        <f>'🤖 Claude Haiku 3.5'!$A$2</f>
        <v>http://elpais.com/ccaa/2019/08/01/catalunya/1564677368_810398.html</v>
      </c>
      <c r="B3" s="6" t="str">
        <f t="shared" si="1"/>
        <v>Claude Sonnet 3.5</v>
      </c>
      <c r="C3" s="7" t="str">
        <f>'🤖 Claude Haiku 3.5'!C3</f>
        <v>CoT</v>
      </c>
      <c r="D3" s="93">
        <f>'🤖 Claude Haiku 3.5'!E3</f>
        <v>0.1371428571</v>
      </c>
      <c r="E3" s="7">
        <f>'🤖 Claude Haiku 3.5'!F3</f>
        <v>3</v>
      </c>
      <c r="F3" s="7">
        <f>'🤖 Claude Haiku 3.5'!G3</f>
        <v>5</v>
      </c>
      <c r="G3" s="7">
        <f>'🤖 Claude Haiku 3.5'!H3</f>
        <v>5</v>
      </c>
      <c r="H3" s="7">
        <f>'🤖 Claude Haiku 3.5'!I3</f>
        <v>4</v>
      </c>
      <c r="I3" s="7">
        <f>'🤖 Claude Haiku 3.5'!J3</f>
        <v>5</v>
      </c>
    </row>
    <row r="4">
      <c r="A4" s="92" t="str">
        <f>'🤖 Claude Haiku 3.5'!$A$2</f>
        <v>http://elpais.com/ccaa/2019/08/01/catalunya/1564677368_810398.html</v>
      </c>
      <c r="B4" s="6" t="str">
        <f t="shared" si="1"/>
        <v>Claude Sonnet 3.5</v>
      </c>
      <c r="C4" s="7" t="str">
        <f>'🤖 Claude Haiku 3.5'!C4</f>
        <v>5W1H</v>
      </c>
      <c r="D4" s="93">
        <f>'🤖 Claude Haiku 3.5'!E4</f>
        <v>0.1462857143</v>
      </c>
      <c r="E4" s="7">
        <f>'🤖 Claude Haiku 3.5'!F4</f>
        <v>3</v>
      </c>
      <c r="F4" s="7">
        <f>'🤖 Claude Haiku 3.5'!G4</f>
        <v>5</v>
      </c>
      <c r="G4" s="7">
        <f>'🤖 Claude Haiku 3.5'!H4</f>
        <v>5</v>
      </c>
      <c r="H4" s="7">
        <f>'🤖 Claude Haiku 3.5'!I4</f>
        <v>4</v>
      </c>
      <c r="I4" s="7">
        <f>'🤖 Claude Haiku 3.5'!J4</f>
        <v>5</v>
      </c>
    </row>
    <row r="5">
      <c r="A5" s="92" t="str">
        <f>'🤖 Claude Haiku 3.5'!$A$2</f>
        <v>http://elpais.com/ccaa/2019/08/01/catalunya/1564677368_810398.html</v>
      </c>
      <c r="B5" s="6" t="str">
        <f t="shared" si="1"/>
        <v>Claude Sonnet 3.5</v>
      </c>
      <c r="C5" s="7" t="str">
        <f>'🤖 Claude Haiku 3.5'!C5</f>
        <v>tldr</v>
      </c>
      <c r="D5" s="93">
        <f>'🤖 Claude Haiku 3.5'!E5</f>
        <v>0.1771428571</v>
      </c>
      <c r="E5" s="7">
        <f>'🤖 Claude Haiku 3.5'!F5</f>
        <v>3</v>
      </c>
      <c r="F5" s="7">
        <f>'🤖 Claude Haiku 3.5'!G5</f>
        <v>5</v>
      </c>
      <c r="G5" s="7">
        <f>'🤖 Claude Haiku 3.5'!H5</f>
        <v>1</v>
      </c>
      <c r="H5" s="7">
        <f>'🤖 Claude Haiku 3.5'!I5</f>
        <v>4</v>
      </c>
      <c r="I5" s="7">
        <f>'🤖 Claude Haiku 3.5'!J5</f>
        <v>5</v>
      </c>
    </row>
    <row r="6">
      <c r="A6" s="94"/>
      <c r="B6" s="6"/>
      <c r="C6" s="7"/>
      <c r="D6" s="3"/>
      <c r="E6" s="7"/>
      <c r="F6" s="7"/>
      <c r="G6" s="7"/>
      <c r="H6" s="7"/>
      <c r="I6" s="7"/>
    </row>
    <row r="7">
      <c r="A7" s="92" t="str">
        <f>'🤖 Claude Haiku 3.5'!$A$7</f>
        <v>http://elpais.com/internacional/2019/09/22/mexico/1569184390_537370.html</v>
      </c>
      <c r="B7" s="6" t="str">
        <f t="shared" ref="B7:B10" si="2">"Claude Sonnet 3.5"</f>
        <v>Claude Sonnet 3.5</v>
      </c>
      <c r="C7" s="7" t="str">
        <f>'🤖 Claude Haiku 3.5'!C7</f>
        <v>Base</v>
      </c>
      <c r="D7" s="93">
        <f>'🤖 Claude Haiku 3.5'!E7</f>
        <v>0.2028985507</v>
      </c>
      <c r="E7" s="7">
        <f>'🤖 Claude Haiku 3.5'!F7</f>
        <v>4</v>
      </c>
      <c r="F7" s="7">
        <f>'🤖 Claude Haiku 3.5'!G7</f>
        <v>5</v>
      </c>
      <c r="G7" s="7">
        <f>'🤖 Claude Haiku 3.5'!H7</f>
        <v>5</v>
      </c>
      <c r="H7" s="7">
        <f>'🤖 Claude Haiku 3.5'!I7</f>
        <v>4</v>
      </c>
      <c r="I7" s="7">
        <f>'🤖 Claude Haiku 3.5'!J7</f>
        <v>5</v>
      </c>
    </row>
    <row r="8">
      <c r="A8" s="92" t="str">
        <f>'🤖 Claude Haiku 3.5'!$A$7</f>
        <v>http://elpais.com/internacional/2019/09/22/mexico/1569184390_537370.html</v>
      </c>
      <c r="B8" s="6" t="str">
        <f t="shared" si="2"/>
        <v>Claude Sonnet 3.5</v>
      </c>
      <c r="C8" s="7" t="str">
        <f>'🤖 Claude Haiku 3.5'!C8</f>
        <v>CoT</v>
      </c>
      <c r="D8" s="93">
        <f>'🤖 Claude Haiku 3.5'!E8</f>
        <v>0.1847826087</v>
      </c>
      <c r="E8" s="7">
        <f>'🤖 Claude Haiku 3.5'!F8</f>
        <v>3</v>
      </c>
      <c r="F8" s="7">
        <f>'🤖 Claude Haiku 3.5'!G8</f>
        <v>5</v>
      </c>
      <c r="G8" s="7">
        <f>'🤖 Claude Haiku 3.5'!H8</f>
        <v>5</v>
      </c>
      <c r="H8" s="7">
        <f>'🤖 Claude Haiku 3.5'!I8</f>
        <v>4</v>
      </c>
      <c r="I8" s="7">
        <f>'🤖 Claude Haiku 3.5'!J8</f>
        <v>4</v>
      </c>
    </row>
    <row r="9">
      <c r="A9" s="92" t="str">
        <f>'🤖 Claude Haiku 3.5'!$A$7</f>
        <v>http://elpais.com/internacional/2019/09/22/mexico/1569184390_537370.html</v>
      </c>
      <c r="B9" s="6" t="str">
        <f t="shared" si="2"/>
        <v>Claude Sonnet 3.5</v>
      </c>
      <c r="C9" s="7" t="str">
        <f>'🤖 Claude Haiku 3.5'!C9</f>
        <v>5W1H</v>
      </c>
      <c r="D9" s="93">
        <f>'🤖 Claude Haiku 3.5'!E9</f>
        <v>0.1437198068</v>
      </c>
      <c r="E9" s="7">
        <f>'🤖 Claude Haiku 3.5'!F9</f>
        <v>3</v>
      </c>
      <c r="F9" s="7">
        <f>'🤖 Claude Haiku 3.5'!G9</f>
        <v>4</v>
      </c>
      <c r="G9" s="7">
        <f>'🤖 Claude Haiku 3.5'!H9</f>
        <v>5</v>
      </c>
      <c r="H9" s="7">
        <f>'🤖 Claude Haiku 3.5'!I9</f>
        <v>4</v>
      </c>
      <c r="I9" s="7">
        <f>'🤖 Claude Haiku 3.5'!J9</f>
        <v>3</v>
      </c>
    </row>
    <row r="10">
      <c r="A10" s="92" t="str">
        <f>'🤖 Claude Haiku 3.5'!$A$7</f>
        <v>http://elpais.com/internacional/2019/09/22/mexico/1569184390_537370.html</v>
      </c>
      <c r="B10" s="6" t="str">
        <f t="shared" si="2"/>
        <v>Claude Sonnet 3.5</v>
      </c>
      <c r="C10" s="7" t="str">
        <f>'🤖 Claude Haiku 3.5'!C10</f>
        <v>tldr</v>
      </c>
      <c r="D10" s="93">
        <f>'🤖 Claude Haiku 3.5'!E10</f>
        <v>0.2125603865</v>
      </c>
      <c r="E10" s="7">
        <f>'🤖 Claude Haiku 3.5'!F10</f>
        <v>3</v>
      </c>
      <c r="F10" s="7">
        <f>'🤖 Claude Haiku 3.5'!G10</f>
        <v>5</v>
      </c>
      <c r="G10" s="7">
        <f>'🤖 Claude Haiku 3.5'!H10</f>
        <v>1</v>
      </c>
      <c r="H10" s="7">
        <f>'🤖 Claude Haiku 3.5'!I10</f>
        <v>4</v>
      </c>
      <c r="I10" s="7">
        <f>'🤖 Claude Haiku 3.5'!J10</f>
        <v>4</v>
      </c>
    </row>
    <row r="11">
      <c r="A11" s="94"/>
      <c r="B11" s="6"/>
      <c r="C11" s="7"/>
      <c r="D11" s="3"/>
      <c r="E11" s="7"/>
      <c r="F11" s="7"/>
      <c r="G11" s="7"/>
      <c r="H11" s="7"/>
      <c r="I11" s="7"/>
    </row>
    <row r="12">
      <c r="A12" s="92" t="str">
        <f>'🤖 Claude Haiku 3.5'!$A$12</f>
        <v>http://elpais.com/ccaa/2019/07/16/catalunya/1563306455_802927.html</v>
      </c>
      <c r="B12" s="6" t="str">
        <f t="shared" ref="B12:B15" si="3">"Claude Sonnet 3.5"</f>
        <v>Claude Sonnet 3.5</v>
      </c>
      <c r="C12" s="7" t="str">
        <f>'🤖 Claude Haiku 3.5'!C12</f>
        <v>Base</v>
      </c>
      <c r="D12" s="93">
        <f>'🤖 Claude Haiku 3.5'!E12</f>
        <v>0.1799544419</v>
      </c>
      <c r="E12" s="7">
        <f>'🤖 Claude Haiku 3.5'!F12</f>
        <v>3</v>
      </c>
      <c r="F12" s="7">
        <f>'🤖 Claude Haiku 3.5'!G12</f>
        <v>4</v>
      </c>
      <c r="G12" s="7">
        <f>'🤖 Claude Haiku 3.5'!H12</f>
        <v>5</v>
      </c>
      <c r="H12" s="7">
        <f>'🤖 Claude Haiku 3.5'!I12</f>
        <v>4</v>
      </c>
      <c r="I12" s="7">
        <f>'🤖 Claude Haiku 3.5'!J12</f>
        <v>3</v>
      </c>
    </row>
    <row r="13">
      <c r="A13" s="92" t="str">
        <f>'🤖 Claude Haiku 3.5'!$A$12</f>
        <v>http://elpais.com/ccaa/2019/07/16/catalunya/1563306455_802927.html</v>
      </c>
      <c r="B13" s="6" t="str">
        <f t="shared" si="3"/>
        <v>Claude Sonnet 3.5</v>
      </c>
      <c r="C13" s="7" t="str">
        <f>'🤖 Claude Haiku 3.5'!C13</f>
        <v>CoT</v>
      </c>
      <c r="D13" s="93">
        <f>'🤖 Claude Haiku 3.5'!E13</f>
        <v>0.1298405467</v>
      </c>
      <c r="E13" s="7">
        <f>'🤖 Claude Haiku 3.5'!F13</f>
        <v>2</v>
      </c>
      <c r="F13" s="7">
        <f>'🤖 Claude Haiku 3.5'!G13</f>
        <v>4</v>
      </c>
      <c r="G13" s="7">
        <f>'🤖 Claude Haiku 3.5'!H13</f>
        <v>5</v>
      </c>
      <c r="H13" s="7">
        <f>'🤖 Claude Haiku 3.5'!I13</f>
        <v>4</v>
      </c>
      <c r="I13" s="7">
        <f>'🤖 Claude Haiku 3.5'!J13</f>
        <v>3</v>
      </c>
    </row>
    <row r="14">
      <c r="A14" s="92" t="str">
        <f>'🤖 Claude Haiku 3.5'!$A$12</f>
        <v>http://elpais.com/ccaa/2019/07/16/catalunya/1563306455_802927.html</v>
      </c>
      <c r="B14" s="6" t="str">
        <f t="shared" si="3"/>
        <v>Claude Sonnet 3.5</v>
      </c>
      <c r="C14" s="7" t="str">
        <f>'🤖 Claude Haiku 3.5'!C14</f>
        <v>5W1H</v>
      </c>
      <c r="D14" s="93">
        <f>'🤖 Claude Haiku 3.5'!E14</f>
        <v>0.1400911162</v>
      </c>
      <c r="E14" s="7">
        <f>'🤖 Claude Haiku 3.5'!F14</f>
        <v>2</v>
      </c>
      <c r="F14" s="7">
        <f>'🤖 Claude Haiku 3.5'!G14</f>
        <v>5</v>
      </c>
      <c r="G14" s="7">
        <f>'🤖 Claude Haiku 3.5'!H14</f>
        <v>5</v>
      </c>
      <c r="H14" s="7">
        <f>'🤖 Claude Haiku 3.5'!I14</f>
        <v>4</v>
      </c>
      <c r="I14" s="7">
        <f>'🤖 Claude Haiku 3.5'!J14</f>
        <v>5</v>
      </c>
    </row>
    <row r="15">
      <c r="A15" s="92" t="str">
        <f>'🤖 Claude Haiku 3.5'!$A$12</f>
        <v>http://elpais.com/ccaa/2019/07/16/catalunya/1563306455_802927.html</v>
      </c>
      <c r="B15" s="6" t="str">
        <f t="shared" si="3"/>
        <v>Claude Sonnet 3.5</v>
      </c>
      <c r="C15" s="7" t="str">
        <f>'🤖 Claude Haiku 3.5'!C15</f>
        <v>tldr</v>
      </c>
      <c r="D15" s="93">
        <f>'🤖 Claude Haiku 3.5'!E15</f>
        <v>0.2209567198</v>
      </c>
      <c r="E15" s="7">
        <f>'🤖 Claude Haiku 3.5'!F15</f>
        <v>3</v>
      </c>
      <c r="F15" s="7">
        <f>'🤖 Claude Haiku 3.5'!G15</f>
        <v>4</v>
      </c>
      <c r="G15" s="7">
        <f>'🤖 Claude Haiku 3.5'!H15</f>
        <v>1</v>
      </c>
      <c r="H15" s="7">
        <f>'🤖 Claude Haiku 3.5'!I15</f>
        <v>4</v>
      </c>
      <c r="I15" s="7">
        <f>'🤖 Claude Haiku 3.5'!J15</f>
        <v>3</v>
      </c>
    </row>
    <row r="16">
      <c r="A16" s="94"/>
      <c r="B16" s="6"/>
      <c r="C16" s="7"/>
      <c r="D16" s="3"/>
      <c r="E16" s="7"/>
      <c r="F16" s="7"/>
      <c r="G16" s="7"/>
      <c r="H16" s="7"/>
      <c r="I16" s="7"/>
    </row>
    <row r="17">
      <c r="A17" s="92" t="str">
        <f>'🤖 Claude Haiku 3.5'!$A$17</f>
        <v>http://elpais.com/elpais/2019/08/02/estilo/1564708605_360745.html</v>
      </c>
      <c r="B17" s="6" t="str">
        <f t="shared" ref="B17:B20" si="4">"Claude Sonnet 3.5"</f>
        <v>Claude Sonnet 3.5</v>
      </c>
      <c r="C17" s="7" t="str">
        <f>'🤖 Claude Haiku 3.5'!C17</f>
        <v>Base</v>
      </c>
      <c r="D17" s="93">
        <f>'🤖 Claude Haiku 3.5'!E17</f>
        <v>0.2260536398</v>
      </c>
      <c r="E17" s="7">
        <f>'🤖 Claude Haiku 3.5'!F17</f>
        <v>5</v>
      </c>
      <c r="F17" s="7">
        <f>'🤖 Claude Haiku 3.5'!G17</f>
        <v>4</v>
      </c>
      <c r="G17" s="7">
        <f>'🤖 Claude Haiku 3.5'!H17</f>
        <v>5</v>
      </c>
      <c r="H17" s="7">
        <f>'🤖 Claude Haiku 3.5'!I17</f>
        <v>4</v>
      </c>
      <c r="I17" s="7">
        <f>'🤖 Claude Haiku 3.5'!J17</f>
        <v>5</v>
      </c>
    </row>
    <row r="18">
      <c r="A18" s="92" t="str">
        <f>'🤖 Claude Haiku 3.5'!$A$17</f>
        <v>http://elpais.com/elpais/2019/08/02/estilo/1564708605_360745.html</v>
      </c>
      <c r="B18" s="6" t="str">
        <f t="shared" si="4"/>
        <v>Claude Sonnet 3.5</v>
      </c>
      <c r="C18" s="7" t="str">
        <f>'🤖 Claude Haiku 3.5'!C18</f>
        <v>CoT</v>
      </c>
      <c r="D18" s="93">
        <f>'🤖 Claude Haiku 3.5'!E18</f>
        <v>0.1519795658</v>
      </c>
      <c r="E18" s="7">
        <f>'🤖 Claude Haiku 3.5'!F18</f>
        <v>3</v>
      </c>
      <c r="F18" s="7">
        <f>'🤖 Claude Haiku 3.5'!G18</f>
        <v>5</v>
      </c>
      <c r="G18" s="7">
        <f>'🤖 Claude Haiku 3.5'!H18</f>
        <v>5</v>
      </c>
      <c r="H18" s="7">
        <f>'🤖 Claude Haiku 3.5'!I18</f>
        <v>4</v>
      </c>
      <c r="I18" s="7">
        <f>'🤖 Claude Haiku 3.5'!J18</f>
        <v>5</v>
      </c>
    </row>
    <row r="19">
      <c r="A19" s="92" t="str">
        <f>'🤖 Claude Haiku 3.5'!$A$17</f>
        <v>http://elpais.com/elpais/2019/08/02/estilo/1564708605_360745.html</v>
      </c>
      <c r="B19" s="6" t="str">
        <f t="shared" si="4"/>
        <v>Claude Sonnet 3.5</v>
      </c>
      <c r="C19" s="7" t="str">
        <f>'🤖 Claude Haiku 3.5'!C19</f>
        <v>5W1H</v>
      </c>
      <c r="D19" s="93">
        <f>'🤖 Claude Haiku 3.5'!E19</f>
        <v>0.1468710089</v>
      </c>
      <c r="E19" s="7">
        <f>'🤖 Claude Haiku 3.5'!F19</f>
        <v>3</v>
      </c>
      <c r="F19" s="7">
        <f>'🤖 Claude Haiku 3.5'!G19</f>
        <v>5</v>
      </c>
      <c r="G19" s="7">
        <f>'🤖 Claude Haiku 3.5'!H19</f>
        <v>5</v>
      </c>
      <c r="H19" s="7">
        <f>'🤖 Claude Haiku 3.5'!I19</f>
        <v>4</v>
      </c>
      <c r="I19" s="7">
        <f>'🤖 Claude Haiku 3.5'!J19</f>
        <v>5</v>
      </c>
    </row>
    <row r="20">
      <c r="A20" s="92" t="str">
        <f>'🤖 Claude Haiku 3.5'!$A$17</f>
        <v>http://elpais.com/elpais/2019/08/02/estilo/1564708605_360745.html</v>
      </c>
      <c r="B20" s="6" t="str">
        <f t="shared" si="4"/>
        <v>Claude Sonnet 3.5</v>
      </c>
      <c r="C20" s="7" t="str">
        <f>'🤖 Claude Haiku 3.5'!C20</f>
        <v>tldr</v>
      </c>
      <c r="D20" s="93">
        <f>'🤖 Claude Haiku 3.5'!E20</f>
        <v>0.1647509579</v>
      </c>
      <c r="E20" s="7">
        <f>'🤖 Claude Haiku 3.5'!F20</f>
        <v>3</v>
      </c>
      <c r="F20" s="7">
        <f>'🤖 Claude Haiku 3.5'!G20</f>
        <v>4</v>
      </c>
      <c r="G20" s="7">
        <f>'🤖 Claude Haiku 3.5'!H20</f>
        <v>1</v>
      </c>
      <c r="H20" s="7">
        <f>'🤖 Claude Haiku 3.5'!I20</f>
        <v>4</v>
      </c>
      <c r="I20" s="7">
        <f>'🤖 Claude Haiku 3.5'!J20</f>
        <v>5</v>
      </c>
    </row>
    <row r="21">
      <c r="A21" s="94"/>
      <c r="B21" s="6"/>
      <c r="C21" s="7"/>
      <c r="D21" s="3"/>
      <c r="E21" s="7"/>
      <c r="F21" s="7"/>
      <c r="G21" s="7"/>
      <c r="H21" s="7"/>
      <c r="I21" s="7"/>
    </row>
    <row r="22">
      <c r="A22" s="92" t="str">
        <f>'🤖 Claude Haiku 3.5'!$A$22</f>
        <v>http://elpais.com/economia/2019/09/21/actualidad/1569020936_816409.html</v>
      </c>
      <c r="B22" s="6" t="str">
        <f t="shared" ref="B22:B25" si="5">"Claude Sonnet 3.5"</f>
        <v>Claude Sonnet 3.5</v>
      </c>
      <c r="C22" s="7" t="str">
        <f>'🤖 Claude Haiku 3.5'!C22</f>
        <v>Base</v>
      </c>
      <c r="D22" s="93">
        <f>'🤖 Claude Haiku 3.5'!E22</f>
        <v>0.2607802875</v>
      </c>
      <c r="E22" s="7">
        <f>'🤖 Claude Haiku 3.5'!F22</f>
        <v>3</v>
      </c>
      <c r="F22" s="7">
        <f>'🤖 Claude Haiku 3.5'!G22</f>
        <v>5</v>
      </c>
      <c r="G22" s="7">
        <f>'🤖 Claude Haiku 3.5'!H22</f>
        <v>5</v>
      </c>
      <c r="H22" s="7">
        <f>'🤖 Claude Haiku 3.5'!I22</f>
        <v>3</v>
      </c>
      <c r="I22" s="7">
        <f>'🤖 Claude Haiku 3.5'!J22</f>
        <v>5</v>
      </c>
    </row>
    <row r="23">
      <c r="A23" s="92" t="str">
        <f>'🤖 Claude Haiku 3.5'!$A$22</f>
        <v>http://elpais.com/economia/2019/09/21/actualidad/1569020936_816409.html</v>
      </c>
      <c r="B23" s="6" t="str">
        <f t="shared" si="5"/>
        <v>Claude Sonnet 3.5</v>
      </c>
      <c r="C23" s="7" t="str">
        <f>'🤖 Claude Haiku 3.5'!C23</f>
        <v>CoT</v>
      </c>
      <c r="D23" s="93">
        <f>'🤖 Claude Haiku 3.5'!E23</f>
        <v>0.2525667351</v>
      </c>
      <c r="E23" s="7">
        <f>'🤖 Claude Haiku 3.5'!F23</f>
        <v>3</v>
      </c>
      <c r="F23" s="7">
        <f>'🤖 Claude Haiku 3.5'!G23</f>
        <v>5</v>
      </c>
      <c r="G23" s="7">
        <f>'🤖 Claude Haiku 3.5'!H23</f>
        <v>5</v>
      </c>
      <c r="H23" s="7">
        <f>'🤖 Claude Haiku 3.5'!I23</f>
        <v>3</v>
      </c>
      <c r="I23" s="7">
        <f>'🤖 Claude Haiku 3.5'!J23</f>
        <v>5</v>
      </c>
    </row>
    <row r="24">
      <c r="A24" s="92" t="str">
        <f>'🤖 Claude Haiku 3.5'!$A$22</f>
        <v>http://elpais.com/economia/2019/09/21/actualidad/1569020936_816409.html</v>
      </c>
      <c r="B24" s="6" t="str">
        <f t="shared" si="5"/>
        <v>Claude Sonnet 3.5</v>
      </c>
      <c r="C24" s="7" t="str">
        <f>'🤖 Claude Haiku 3.5'!C24</f>
        <v>5W1H</v>
      </c>
      <c r="D24" s="93">
        <f>'🤖 Claude Haiku 3.5'!E24</f>
        <v>0.2464065708</v>
      </c>
      <c r="E24" s="7">
        <f>'🤖 Claude Haiku 3.5'!F24</f>
        <v>3</v>
      </c>
      <c r="F24" s="7">
        <f>'🤖 Claude Haiku 3.5'!G24</f>
        <v>5</v>
      </c>
      <c r="G24" s="7">
        <f>'🤖 Claude Haiku 3.5'!H24</f>
        <v>5</v>
      </c>
      <c r="H24" s="7">
        <f>'🤖 Claude Haiku 3.5'!I24</f>
        <v>4</v>
      </c>
      <c r="I24" s="7">
        <f>'🤖 Claude Haiku 3.5'!J24</f>
        <v>4</v>
      </c>
    </row>
    <row r="25">
      <c r="A25" s="92" t="str">
        <f>'🤖 Claude Haiku 3.5'!$A$22</f>
        <v>http://elpais.com/economia/2019/09/21/actualidad/1569020936_816409.html</v>
      </c>
      <c r="B25" s="6" t="str">
        <f t="shared" si="5"/>
        <v>Claude Sonnet 3.5</v>
      </c>
      <c r="C25" s="7" t="str">
        <f>'🤖 Claude Haiku 3.5'!C25</f>
        <v>tldr</v>
      </c>
      <c r="D25" s="93">
        <f>'🤖 Claude Haiku 3.5'!E25</f>
        <v>0.2217659138</v>
      </c>
      <c r="E25" s="7">
        <f>'🤖 Claude Haiku 3.5'!F25</f>
        <v>3</v>
      </c>
      <c r="F25" s="7">
        <f>'🤖 Claude Haiku 3.5'!G25</f>
        <v>5</v>
      </c>
      <c r="G25" s="7">
        <f>'🤖 Claude Haiku 3.5'!H25</f>
        <v>1</v>
      </c>
      <c r="H25" s="7">
        <f>'🤖 Claude Haiku 3.5'!I25</f>
        <v>3</v>
      </c>
      <c r="I25" s="7">
        <f>'🤖 Claude Haiku 3.5'!J25</f>
        <v>5</v>
      </c>
    </row>
    <row r="26">
      <c r="A26" s="94"/>
      <c r="B26" s="6"/>
      <c r="C26" s="7"/>
      <c r="D26" s="3"/>
      <c r="E26" s="7"/>
      <c r="F26" s="7"/>
      <c r="G26" s="7"/>
      <c r="H26" s="7"/>
      <c r="I26" s="7"/>
    </row>
    <row r="27">
      <c r="A27" s="92" t="str">
        <f>'🤖 Command R+'!$A$2</f>
        <v>http://elpais.com/ccaa/2019/08/01/catalunya/1564677368_810398.html</v>
      </c>
      <c r="B27" s="6" t="s">
        <v>24</v>
      </c>
      <c r="C27" s="7" t="str">
        <f>'🤖 Command R+'!C2</f>
        <v>Base</v>
      </c>
      <c r="D27" s="93">
        <f>'🤖 Command R+'!E2</f>
        <v>0.2937142857</v>
      </c>
      <c r="E27" s="7">
        <f>'🤖 Command R+'!F2</f>
        <v>4</v>
      </c>
      <c r="F27" s="7">
        <f>'🤖 Command R+'!G2</f>
        <v>5</v>
      </c>
      <c r="G27" s="7">
        <f>'🤖 Command R+'!H2</f>
        <v>5</v>
      </c>
      <c r="H27" s="7">
        <f>'🤖 Command R+'!I2</f>
        <v>4</v>
      </c>
      <c r="I27" s="7">
        <f>'🤖 Command R+'!J2</f>
        <v>5</v>
      </c>
    </row>
    <row r="28">
      <c r="A28" s="92" t="str">
        <f>'🤖 Command R+'!$A$2</f>
        <v>http://elpais.com/ccaa/2019/08/01/catalunya/1564677368_810398.html</v>
      </c>
      <c r="B28" s="6" t="s">
        <v>24</v>
      </c>
      <c r="C28" s="7" t="str">
        <f>'🤖 Command R+'!C3</f>
        <v>CoT</v>
      </c>
      <c r="D28" s="93">
        <f>'🤖 Command R+'!E3</f>
        <v>0.1291428571</v>
      </c>
      <c r="E28" s="7">
        <f>'🤖 Command R+'!F3</f>
        <v>4</v>
      </c>
      <c r="F28" s="7">
        <f>'🤖 Command R+'!G3</f>
        <v>5</v>
      </c>
      <c r="G28" s="7">
        <f>'🤖 Command R+'!H3</f>
        <v>5</v>
      </c>
      <c r="H28" s="7">
        <f>'🤖 Command R+'!I3</f>
        <v>5</v>
      </c>
      <c r="I28" s="7">
        <f>'🤖 Command R+'!J3</f>
        <v>4</v>
      </c>
    </row>
    <row r="29">
      <c r="A29" s="92" t="str">
        <f>'🤖 Command R+'!$A$2</f>
        <v>http://elpais.com/ccaa/2019/08/01/catalunya/1564677368_810398.html</v>
      </c>
      <c r="B29" s="6" t="s">
        <v>24</v>
      </c>
      <c r="C29" s="7" t="str">
        <f>'🤖 Command R+'!C4</f>
        <v>5W1H</v>
      </c>
      <c r="D29" s="93">
        <f>'🤖 Command R+'!E4</f>
        <v>0.224</v>
      </c>
      <c r="E29" s="7">
        <f>'🤖 Command R+'!F4</f>
        <v>3</v>
      </c>
      <c r="F29" s="7">
        <f>'🤖 Command R+'!G4</f>
        <v>5</v>
      </c>
      <c r="G29" s="7">
        <f>'🤖 Command R+'!H4</f>
        <v>5</v>
      </c>
      <c r="H29" s="7">
        <f>'🤖 Command R+'!I4</f>
        <v>4</v>
      </c>
      <c r="I29" s="7">
        <f>'🤖 Command R+'!J4</f>
        <v>4</v>
      </c>
    </row>
    <row r="30">
      <c r="A30" s="92" t="str">
        <f>'🤖 Command R+'!$A$2</f>
        <v>http://elpais.com/ccaa/2019/08/01/catalunya/1564677368_810398.html</v>
      </c>
      <c r="B30" s="6" t="s">
        <v>24</v>
      </c>
      <c r="C30" s="7" t="str">
        <f>'🤖 Command R+'!C5</f>
        <v>tldr</v>
      </c>
      <c r="D30" s="93">
        <f>'🤖 Command R+'!E5</f>
        <v>0.184</v>
      </c>
      <c r="E30" s="7">
        <f>'🤖 Command R+'!F5</f>
        <v>4</v>
      </c>
      <c r="F30" s="7">
        <f>'🤖 Command R+'!G5</f>
        <v>5</v>
      </c>
      <c r="G30" s="7">
        <f>'🤖 Command R+'!H5</f>
        <v>5</v>
      </c>
      <c r="H30" s="7">
        <f>'🤖 Command R+'!I5</f>
        <v>4</v>
      </c>
      <c r="I30" s="7">
        <f>'🤖 Command R+'!J5</f>
        <v>4</v>
      </c>
    </row>
    <row r="31">
      <c r="A31" s="94"/>
      <c r="B31" s="6"/>
      <c r="C31" s="7"/>
      <c r="D31" s="3"/>
      <c r="E31" s="7"/>
      <c r="F31" s="7"/>
      <c r="G31" s="7"/>
      <c r="H31" s="7"/>
      <c r="I31" s="7"/>
    </row>
    <row r="32">
      <c r="A32" s="92" t="str">
        <f>'🤖 Command R+'!$A$7</f>
        <v>http://elpais.com/internacional/2019/09/22/mexico/1569184390_537370.html</v>
      </c>
      <c r="B32" s="6" t="s">
        <v>24</v>
      </c>
      <c r="C32" s="7" t="str">
        <f>'🤖 Command R+'!C7</f>
        <v>Base</v>
      </c>
      <c r="D32" s="93">
        <f>'🤖 Command R+'!E7</f>
        <v>0.1896135266</v>
      </c>
      <c r="E32" s="7">
        <f>'🤖 Command R+'!F7</f>
        <v>5</v>
      </c>
      <c r="F32" s="7">
        <f>'🤖 Command R+'!G7</f>
        <v>5</v>
      </c>
      <c r="G32" s="7">
        <f>'🤖 Command R+'!H7</f>
        <v>5</v>
      </c>
      <c r="H32" s="7">
        <f>'🤖 Command R+'!I7</f>
        <v>4</v>
      </c>
      <c r="I32" s="7">
        <f>'🤖 Command R+'!J7</f>
        <v>4</v>
      </c>
    </row>
    <row r="33">
      <c r="A33" s="92" t="str">
        <f>'🤖 Command R+'!$A$7</f>
        <v>http://elpais.com/internacional/2019/09/22/mexico/1569184390_537370.html</v>
      </c>
      <c r="B33" s="6" t="s">
        <v>24</v>
      </c>
      <c r="C33" s="7" t="str">
        <f>'🤖 Command R+'!C8</f>
        <v>CoT</v>
      </c>
      <c r="D33" s="93">
        <f>'🤖 Command R+'!E8</f>
        <v>0.09782608696</v>
      </c>
      <c r="E33" s="7">
        <f>'🤖 Command R+'!F8</f>
        <v>5</v>
      </c>
      <c r="F33" s="7">
        <f>'🤖 Command R+'!G8</f>
        <v>5</v>
      </c>
      <c r="G33" s="7">
        <f>'🤖 Command R+'!H8</f>
        <v>5</v>
      </c>
      <c r="H33" s="7">
        <f>'🤖 Command R+'!I8</f>
        <v>5</v>
      </c>
      <c r="I33" s="7">
        <f>'🤖 Command R+'!J8</f>
        <v>3</v>
      </c>
    </row>
    <row r="34">
      <c r="A34" s="92" t="str">
        <f>'🤖 Command R+'!$A$7</f>
        <v>http://elpais.com/internacional/2019/09/22/mexico/1569184390_537370.html</v>
      </c>
      <c r="B34" s="6" t="s">
        <v>24</v>
      </c>
      <c r="C34" s="7" t="str">
        <f>'🤖 Command R+'!C9</f>
        <v>5W1H</v>
      </c>
      <c r="D34" s="93">
        <f>'🤖 Command R+'!E9</f>
        <v>0.1316425121</v>
      </c>
      <c r="E34" s="7">
        <f>'🤖 Command R+'!F9</f>
        <v>3</v>
      </c>
      <c r="F34" s="7">
        <f>'🤖 Command R+'!G9</f>
        <v>4</v>
      </c>
      <c r="G34" s="7">
        <f>'🤖 Command R+'!H9</f>
        <v>5</v>
      </c>
      <c r="H34" s="7">
        <f>'🤖 Command R+'!I9</f>
        <v>4</v>
      </c>
      <c r="I34" s="7">
        <f>'🤖 Command R+'!J9</f>
        <v>3</v>
      </c>
    </row>
    <row r="35">
      <c r="A35" s="92" t="str">
        <f>'🤖 Command R+'!$A$7</f>
        <v>http://elpais.com/internacional/2019/09/22/mexico/1569184390_537370.html</v>
      </c>
      <c r="B35" s="6" t="s">
        <v>24</v>
      </c>
      <c r="C35" s="7" t="str">
        <f>'🤖 Command R+'!C10</f>
        <v>tldr</v>
      </c>
      <c r="D35" s="93">
        <f>'🤖 Command R+'!E10</f>
        <v>0.2330917874</v>
      </c>
      <c r="E35" s="7">
        <f>'🤖 Command R+'!F10</f>
        <v>4</v>
      </c>
      <c r="F35" s="7">
        <f>'🤖 Command R+'!G10</f>
        <v>5</v>
      </c>
      <c r="G35" s="7">
        <f>'🤖 Command R+'!H10</f>
        <v>5</v>
      </c>
      <c r="H35" s="7">
        <f>'🤖 Command R+'!I10</f>
        <v>3</v>
      </c>
      <c r="I35" s="7">
        <f>'🤖 Command R+'!J10</f>
        <v>4</v>
      </c>
    </row>
    <row r="36">
      <c r="A36" s="94"/>
      <c r="B36" s="6"/>
      <c r="C36" s="7"/>
      <c r="D36" s="3"/>
      <c r="E36" s="7"/>
      <c r="F36" s="7"/>
      <c r="G36" s="7"/>
      <c r="H36" s="7"/>
      <c r="I36" s="7"/>
    </row>
    <row r="37">
      <c r="A37" s="92" t="str">
        <f>'🤖 Command R+'!$A$12</f>
        <v>http://elpais.com/ccaa/2019/07/16/catalunya/1563306455_802927.html</v>
      </c>
      <c r="B37" s="6" t="s">
        <v>24</v>
      </c>
      <c r="C37" s="7" t="str">
        <f>'🤖 Command R+'!C12</f>
        <v>Base</v>
      </c>
      <c r="D37" s="93">
        <f>'🤖 Command R+'!E12</f>
        <v>0.2323462415</v>
      </c>
      <c r="E37" s="7">
        <f>'🤖 Command R+'!F12</f>
        <v>5</v>
      </c>
      <c r="F37" s="7">
        <f>'🤖 Command R+'!G12</f>
        <v>5</v>
      </c>
      <c r="G37" s="7">
        <f>'🤖 Command R+'!H12</f>
        <v>5</v>
      </c>
      <c r="H37" s="7">
        <f>'🤖 Command R+'!I12</f>
        <v>5</v>
      </c>
      <c r="I37" s="7">
        <f>'🤖 Command R+'!J12</f>
        <v>4</v>
      </c>
    </row>
    <row r="38">
      <c r="A38" s="92" t="str">
        <f>'🤖 Command R+'!$A$12</f>
        <v>http://elpais.com/ccaa/2019/07/16/catalunya/1563306455_802927.html</v>
      </c>
      <c r="B38" s="6" t="s">
        <v>24</v>
      </c>
      <c r="C38" s="7" t="str">
        <f>'🤖 Command R+'!C13</f>
        <v>CoT</v>
      </c>
      <c r="D38" s="93">
        <f>'🤖 Command R+'!E13</f>
        <v>0.1731207289</v>
      </c>
      <c r="E38" s="7">
        <f>'🤖 Command R+'!F13</f>
        <v>5</v>
      </c>
      <c r="F38" s="7">
        <f>'🤖 Command R+'!G13</f>
        <v>4</v>
      </c>
      <c r="G38" s="7">
        <f>'🤖 Command R+'!H13</f>
        <v>5</v>
      </c>
      <c r="H38" s="7">
        <f>'🤖 Command R+'!I13</f>
        <v>5</v>
      </c>
      <c r="I38" s="7">
        <f>'🤖 Command R+'!J13</f>
        <v>3</v>
      </c>
    </row>
    <row r="39">
      <c r="A39" s="92" t="str">
        <f>'🤖 Command R+'!$A$12</f>
        <v>http://elpais.com/ccaa/2019/07/16/catalunya/1563306455_802927.html</v>
      </c>
      <c r="B39" s="6" t="s">
        <v>24</v>
      </c>
      <c r="C39" s="7" t="str">
        <f>'🤖 Command R+'!C14</f>
        <v>5W1H</v>
      </c>
      <c r="D39" s="93">
        <f>'🤖 Command R+'!E14</f>
        <v>0.1879271071</v>
      </c>
      <c r="E39" s="7">
        <f>'🤖 Command R+'!F14</f>
        <v>3</v>
      </c>
      <c r="F39" s="7">
        <f>'🤖 Command R+'!G14</f>
        <v>4</v>
      </c>
      <c r="G39" s="7">
        <f>'🤖 Command R+'!H14</f>
        <v>5</v>
      </c>
      <c r="H39" s="7">
        <f>'🤖 Command R+'!I14</f>
        <v>5</v>
      </c>
      <c r="I39" s="7">
        <f>'🤖 Command R+'!J14</f>
        <v>5</v>
      </c>
    </row>
    <row r="40">
      <c r="A40" s="92" t="str">
        <f>'🤖 Command R+'!$A$12</f>
        <v>http://elpais.com/ccaa/2019/07/16/catalunya/1563306455_802927.html</v>
      </c>
      <c r="B40" s="6" t="s">
        <v>24</v>
      </c>
      <c r="C40" s="7" t="str">
        <f>'🤖 Command R+'!C15</f>
        <v>tldr</v>
      </c>
      <c r="D40" s="93">
        <f>'🤖 Command R+'!E15</f>
        <v>0.2369020501</v>
      </c>
      <c r="E40" s="7">
        <f>'🤖 Command R+'!F15</f>
        <v>3</v>
      </c>
      <c r="F40" s="7">
        <f>'🤖 Command R+'!G15</f>
        <v>5</v>
      </c>
      <c r="G40" s="7">
        <f>'🤖 Command R+'!H15</f>
        <v>5</v>
      </c>
      <c r="H40" s="7">
        <f>'🤖 Command R+'!I15</f>
        <v>5</v>
      </c>
      <c r="I40" s="7">
        <f>'🤖 Command R+'!J15</f>
        <v>3</v>
      </c>
    </row>
    <row r="41">
      <c r="A41" s="94"/>
      <c r="B41" s="6"/>
      <c r="C41" s="7"/>
      <c r="D41" s="3"/>
      <c r="E41" s="7"/>
      <c r="F41" s="7"/>
      <c r="G41" s="7"/>
      <c r="H41" s="7"/>
      <c r="I41" s="7"/>
    </row>
    <row r="42">
      <c r="A42" s="92" t="str">
        <f>'🤖 Command R+'!$A$17</f>
        <v>http://elpais.com/elpais/2019/08/02/estilo/1564708605_360745.html</v>
      </c>
      <c r="B42" s="6" t="s">
        <v>24</v>
      </c>
      <c r="C42" s="7" t="str">
        <f>'🤖 Command R+'!C17</f>
        <v>Base</v>
      </c>
      <c r="D42" s="93">
        <f>'🤖 Command R+'!E17</f>
        <v>0.1698595147</v>
      </c>
      <c r="E42" s="7">
        <f>'🤖 Command R+'!F17</f>
        <v>4</v>
      </c>
      <c r="F42" s="7">
        <f>'🤖 Command R+'!G17</f>
        <v>5</v>
      </c>
      <c r="G42" s="7">
        <f>'🤖 Command R+'!H17</f>
        <v>5</v>
      </c>
      <c r="H42" s="7">
        <f>'🤖 Command R+'!I17</f>
        <v>5</v>
      </c>
      <c r="I42" s="7">
        <f>'🤖 Command R+'!J17</f>
        <v>4</v>
      </c>
    </row>
    <row r="43">
      <c r="A43" s="92" t="str">
        <f>'🤖 Command R+'!$A$17</f>
        <v>http://elpais.com/elpais/2019/08/02/estilo/1564708605_360745.html</v>
      </c>
      <c r="B43" s="6" t="s">
        <v>24</v>
      </c>
      <c r="C43" s="7" t="str">
        <f>'🤖 Command R+'!C18</f>
        <v>CoT</v>
      </c>
      <c r="D43" s="93">
        <f>'🤖 Command R+'!E18</f>
        <v>0.08173690932</v>
      </c>
      <c r="E43" s="7">
        <f>'🤖 Command R+'!F18</f>
        <v>4</v>
      </c>
      <c r="F43" s="7">
        <f>'🤖 Command R+'!G18</f>
        <v>5</v>
      </c>
      <c r="G43" s="7">
        <f>'🤖 Command R+'!H18</f>
        <v>5</v>
      </c>
      <c r="H43" s="7">
        <f>'🤖 Command R+'!I18</f>
        <v>5</v>
      </c>
      <c r="I43" s="7">
        <f>'🤖 Command R+'!J18</f>
        <v>3</v>
      </c>
    </row>
    <row r="44">
      <c r="A44" s="92" t="str">
        <f>'🤖 Command R+'!$A$17</f>
        <v>http://elpais.com/elpais/2019/08/02/estilo/1564708605_360745.html</v>
      </c>
      <c r="B44" s="6" t="s">
        <v>24</v>
      </c>
      <c r="C44" s="7" t="str">
        <f>'🤖 Command R+'!C19</f>
        <v>5W1H</v>
      </c>
      <c r="D44" s="93">
        <f>'🤖 Command R+'!E19</f>
        <v>0.2362707535</v>
      </c>
      <c r="E44" s="7">
        <f>'🤖 Command R+'!F19</f>
        <v>3</v>
      </c>
      <c r="F44" s="7">
        <f>'🤖 Command R+'!G19</f>
        <v>5</v>
      </c>
      <c r="G44" s="7">
        <f>'🤖 Command R+'!H19</f>
        <v>5</v>
      </c>
      <c r="H44" s="7">
        <f>'🤖 Command R+'!I19</f>
        <v>5</v>
      </c>
      <c r="I44" s="7">
        <f>'🤖 Command R+'!J19</f>
        <v>5</v>
      </c>
    </row>
    <row r="45">
      <c r="A45" s="92" t="str">
        <f>'🤖 Command R+'!$A$17</f>
        <v>http://elpais.com/elpais/2019/08/02/estilo/1564708605_360745.html</v>
      </c>
      <c r="B45" s="6" t="s">
        <v>24</v>
      </c>
      <c r="C45" s="7" t="str">
        <f>'🤖 Command R+'!C20</f>
        <v>tldr</v>
      </c>
      <c r="D45" s="93">
        <f>'🤖 Command R+'!E20</f>
        <v>0.3384418902</v>
      </c>
      <c r="E45" s="7">
        <f>'🤖 Command R+'!F20</f>
        <v>5</v>
      </c>
      <c r="F45" s="7">
        <f>'🤖 Command R+'!G20</f>
        <v>5</v>
      </c>
      <c r="G45" s="7">
        <f>'🤖 Command R+'!H20</f>
        <v>5</v>
      </c>
      <c r="H45" s="7">
        <f>'🤖 Command R+'!I20</f>
        <v>4</v>
      </c>
      <c r="I45" s="7">
        <f>'🤖 Command R+'!J20</f>
        <v>4</v>
      </c>
    </row>
    <row r="46">
      <c r="A46" s="94"/>
      <c r="B46" s="6"/>
      <c r="C46" s="7"/>
      <c r="D46" s="3"/>
      <c r="E46" s="7"/>
      <c r="F46" s="7"/>
      <c r="G46" s="7"/>
      <c r="H46" s="7"/>
      <c r="I46" s="7"/>
    </row>
    <row r="47">
      <c r="A47" s="92" t="str">
        <f>'🤖 Command R+'!$A$22</f>
        <v>http://elpais.com/economia/2019/09/21/actualidad/1569020936_816409.html</v>
      </c>
      <c r="B47" s="6" t="s">
        <v>24</v>
      </c>
      <c r="C47" s="7" t="str">
        <f>'🤖 Command R+'!C22</f>
        <v>Base</v>
      </c>
      <c r="D47" s="93">
        <f>'🤖 Command R+'!E22</f>
        <v>0.2833675565</v>
      </c>
      <c r="E47" s="7">
        <f>'🤖 Command R+'!F22</f>
        <v>4</v>
      </c>
      <c r="F47" s="7">
        <f>'🤖 Command R+'!G22</f>
        <v>5</v>
      </c>
      <c r="G47" s="7">
        <f>'🤖 Command R+'!H22</f>
        <v>5</v>
      </c>
      <c r="H47" s="7">
        <f>'🤖 Command R+'!I22</f>
        <v>5</v>
      </c>
      <c r="I47" s="7">
        <f>'🤖 Command R+'!J22</f>
        <v>5</v>
      </c>
    </row>
    <row r="48">
      <c r="A48" s="92" t="str">
        <f>'🤖 Command R+'!$A$22</f>
        <v>http://elpais.com/economia/2019/09/21/actualidad/1569020936_816409.html</v>
      </c>
      <c r="B48" s="6" t="s">
        <v>24</v>
      </c>
      <c r="C48" s="7" t="str">
        <f>'🤖 Command R+'!C23</f>
        <v>CoT</v>
      </c>
      <c r="D48" s="93">
        <f>'🤖 Command R+'!E23</f>
        <v>0.1088295688</v>
      </c>
      <c r="E48" s="7">
        <f>'🤖 Command R+'!F23</f>
        <v>4</v>
      </c>
      <c r="F48" s="7">
        <f>'🤖 Command R+'!G23</f>
        <v>5</v>
      </c>
      <c r="G48" s="7">
        <f>'🤖 Command R+'!H23</f>
        <v>5</v>
      </c>
      <c r="H48" s="7">
        <f>'🤖 Command R+'!I23</f>
        <v>5</v>
      </c>
      <c r="I48" s="7">
        <f>'🤖 Command R+'!J23</f>
        <v>3</v>
      </c>
    </row>
    <row r="49">
      <c r="A49" s="92" t="str">
        <f>'🤖 Command R+'!$A$22</f>
        <v>http://elpais.com/economia/2019/09/21/actualidad/1569020936_816409.html</v>
      </c>
      <c r="B49" s="6" t="s">
        <v>24</v>
      </c>
      <c r="C49" s="7" t="str">
        <f>'🤖 Command R+'!C24</f>
        <v>5W1H</v>
      </c>
      <c r="D49" s="93">
        <f>'🤖 Command R+'!E24</f>
        <v>0.2997946612</v>
      </c>
      <c r="E49" s="7">
        <f>'🤖 Command R+'!F24</f>
        <v>3</v>
      </c>
      <c r="F49" s="7">
        <f>'🤖 Command R+'!G24</f>
        <v>5</v>
      </c>
      <c r="G49" s="7">
        <f>'🤖 Command R+'!H24</f>
        <v>5</v>
      </c>
      <c r="H49" s="7">
        <f>'🤖 Command R+'!I24</f>
        <v>4</v>
      </c>
      <c r="I49" s="7">
        <f>'🤖 Command R+'!J24</f>
        <v>5</v>
      </c>
    </row>
    <row r="50">
      <c r="A50" s="92" t="str">
        <f>'🤖 Command R+'!$A$22</f>
        <v>http://elpais.com/economia/2019/09/21/actualidad/1569020936_816409.html</v>
      </c>
      <c r="B50" s="6" t="s">
        <v>24</v>
      </c>
      <c r="C50" s="7" t="str">
        <f>'🤖 Command R+'!C25</f>
        <v>tldr</v>
      </c>
      <c r="D50" s="93">
        <f>'🤖 Command R+'!E25</f>
        <v>0.273100616</v>
      </c>
      <c r="E50" s="7">
        <f>'🤖 Command R+'!F25</f>
        <v>5</v>
      </c>
      <c r="F50" s="7">
        <f>'🤖 Command R+'!G25</f>
        <v>5</v>
      </c>
      <c r="G50" s="7">
        <f>'🤖 Command R+'!H25</f>
        <v>5</v>
      </c>
      <c r="H50" s="7">
        <f>'🤖 Command R+'!I25</f>
        <v>4</v>
      </c>
      <c r="I50" s="7">
        <f>'🤖 Command R+'!J25</f>
        <v>5</v>
      </c>
    </row>
    <row r="51">
      <c r="A51" s="94"/>
      <c r="B51" s="6"/>
      <c r="C51" s="7"/>
      <c r="D51" s="3"/>
      <c r="E51" s="7"/>
      <c r="F51" s="7"/>
      <c r="G51" s="7"/>
      <c r="H51" s="7"/>
      <c r="I51" s="7"/>
    </row>
    <row r="52">
      <c r="A52" s="92" t="str">
        <f>'🤖 GPT 4o'!$A$2</f>
        <v>http://elpais.com/ccaa/2019/08/01/catalunya/1564677368_810398.html</v>
      </c>
      <c r="B52" s="6" t="s">
        <v>25</v>
      </c>
      <c r="C52" s="7" t="str">
        <f>'🤖 GPT 4o'!C2</f>
        <v>Base</v>
      </c>
      <c r="D52" s="93">
        <f>'🤖 GPT 4o'!E2</f>
        <v>0.1485714286</v>
      </c>
      <c r="E52" s="7">
        <f>'🤖 GPT 4o'!F2</f>
        <v>5</v>
      </c>
      <c r="F52" s="7">
        <f>'🤖 GPT 4o'!G2</f>
        <v>5</v>
      </c>
      <c r="G52" s="7">
        <f>'🤖 GPT 4o'!H2</f>
        <v>5</v>
      </c>
      <c r="H52" s="7">
        <f>'🤖 GPT 4o'!I2</f>
        <v>5</v>
      </c>
      <c r="I52" s="7">
        <f>'🤖 GPT 4o'!J2</f>
        <v>5</v>
      </c>
    </row>
    <row r="53">
      <c r="A53" s="92" t="str">
        <f>'🤖 GPT 4o'!$A$2</f>
        <v>http://elpais.com/ccaa/2019/08/01/catalunya/1564677368_810398.html</v>
      </c>
      <c r="B53" s="6" t="s">
        <v>25</v>
      </c>
      <c r="C53" s="7" t="str">
        <f>'🤖 GPT 4o'!C3</f>
        <v>CoT</v>
      </c>
      <c r="D53" s="93">
        <f>'🤖 GPT 4o'!E3</f>
        <v>0.1771428571</v>
      </c>
      <c r="E53" s="7">
        <f>'🤖 GPT 4o'!F3</f>
        <v>5</v>
      </c>
      <c r="F53" s="7">
        <f>'🤖 GPT 4o'!G3</f>
        <v>5</v>
      </c>
      <c r="G53" s="7">
        <f>'🤖 GPT 4o'!H3</f>
        <v>5</v>
      </c>
      <c r="H53" s="7">
        <f>'🤖 GPT 4o'!I3</f>
        <v>5</v>
      </c>
      <c r="I53" s="7">
        <f>'🤖 GPT 4o'!J3</f>
        <v>5</v>
      </c>
    </row>
    <row r="54">
      <c r="A54" s="92" t="str">
        <f>'🤖 GPT 4o'!$A$2</f>
        <v>http://elpais.com/ccaa/2019/08/01/catalunya/1564677368_810398.html</v>
      </c>
      <c r="B54" s="6" t="s">
        <v>25</v>
      </c>
      <c r="C54" s="7" t="str">
        <f>'🤖 GPT 4o'!C4</f>
        <v>5W1H</v>
      </c>
      <c r="D54" s="93">
        <f>'🤖 GPT 4o'!E4</f>
        <v>0.2285714286</v>
      </c>
      <c r="E54" s="7">
        <f>'🤖 GPT 4o'!F4</f>
        <v>3</v>
      </c>
      <c r="F54" s="7">
        <f>'🤖 GPT 4o'!G4</f>
        <v>5</v>
      </c>
      <c r="G54" s="7">
        <f>'🤖 GPT 4o'!H4</f>
        <v>5</v>
      </c>
      <c r="H54" s="7">
        <f>'🤖 GPT 4o'!I4</f>
        <v>4</v>
      </c>
      <c r="I54" s="7">
        <f>'🤖 GPT 4o'!J4</f>
        <v>5</v>
      </c>
    </row>
    <row r="55">
      <c r="A55" s="92" t="str">
        <f>'🤖 GPT 4o'!$A$2</f>
        <v>http://elpais.com/ccaa/2019/08/01/catalunya/1564677368_810398.html</v>
      </c>
      <c r="B55" s="6" t="s">
        <v>25</v>
      </c>
      <c r="C55" s="7" t="str">
        <f>'🤖 GPT 4o'!C5</f>
        <v>tldr</v>
      </c>
      <c r="D55" s="93">
        <f>'🤖 GPT 4o'!E5</f>
        <v>0.1462857143</v>
      </c>
      <c r="E55" s="7">
        <f>'🤖 GPT 4o'!F5</f>
        <v>4</v>
      </c>
      <c r="F55" s="7">
        <f>'🤖 GPT 4o'!G5</f>
        <v>5</v>
      </c>
      <c r="G55" s="7">
        <f>'🤖 GPT 4o'!H5</f>
        <v>5</v>
      </c>
      <c r="H55" s="7">
        <f>'🤖 GPT 4o'!I5</f>
        <v>5</v>
      </c>
      <c r="I55" s="7">
        <f>'🤖 GPT 4o'!J5</f>
        <v>4</v>
      </c>
    </row>
    <row r="56">
      <c r="A56" s="94"/>
      <c r="B56" s="6"/>
      <c r="C56" s="7"/>
      <c r="D56" s="3"/>
      <c r="E56" s="7"/>
      <c r="F56" s="7"/>
      <c r="G56" s="7"/>
      <c r="H56" s="7"/>
      <c r="I56" s="7"/>
    </row>
    <row r="57">
      <c r="A57" s="92" t="str">
        <f>'🤖 GPT 4o'!$A$7</f>
        <v>http://elpais.com/internacional/2019/09/22/mexico/1569184390_537370.html</v>
      </c>
      <c r="B57" s="6" t="s">
        <v>25</v>
      </c>
      <c r="C57" s="7" t="str">
        <f>'🤖 GPT 4o'!C7</f>
        <v>Base</v>
      </c>
      <c r="D57" s="93">
        <f>'🤖 GPT 4o'!E7</f>
        <v>0.1630434783</v>
      </c>
      <c r="E57" s="7">
        <f>'🤖 GPT 4o'!F7</f>
        <v>5</v>
      </c>
      <c r="F57" s="7">
        <f>'🤖 GPT 4o'!G7</f>
        <v>5</v>
      </c>
      <c r="G57" s="7">
        <f>'🤖 GPT 4o'!H7</f>
        <v>5</v>
      </c>
      <c r="H57" s="7">
        <f>'🤖 GPT 4o'!I7</f>
        <v>5</v>
      </c>
      <c r="I57" s="7">
        <f>'🤖 GPT 4o'!J7</f>
        <v>3</v>
      </c>
    </row>
    <row r="58">
      <c r="A58" s="92" t="str">
        <f>'🤖 GPT 4o'!$A$7</f>
        <v>http://elpais.com/internacional/2019/09/22/mexico/1569184390_537370.html</v>
      </c>
      <c r="B58" s="6" t="s">
        <v>25</v>
      </c>
      <c r="C58" s="7" t="str">
        <f>'🤖 GPT 4o'!C8</f>
        <v>CoT</v>
      </c>
      <c r="D58" s="93">
        <f>'🤖 GPT 4o'!E8</f>
        <v>0.2041062802</v>
      </c>
      <c r="E58" s="7">
        <f>'🤖 GPT 4o'!F8</f>
        <v>5</v>
      </c>
      <c r="F58" s="7">
        <f>'🤖 GPT 4o'!G8</f>
        <v>5</v>
      </c>
      <c r="G58" s="7">
        <f>'🤖 GPT 4o'!H8</f>
        <v>5</v>
      </c>
      <c r="H58" s="7">
        <f>'🤖 GPT 4o'!I8</f>
        <v>4</v>
      </c>
      <c r="I58" s="7">
        <f>'🤖 GPT 4o'!J8</f>
        <v>4</v>
      </c>
    </row>
    <row r="59">
      <c r="A59" s="92" t="str">
        <f>'🤖 GPT 4o'!$A$7</f>
        <v>http://elpais.com/internacional/2019/09/22/mexico/1569184390_537370.html</v>
      </c>
      <c r="B59" s="6" t="s">
        <v>25</v>
      </c>
      <c r="C59" s="7" t="str">
        <f>'🤖 GPT 4o'!C9</f>
        <v>5W1H</v>
      </c>
      <c r="D59" s="93">
        <f>'🤖 GPT 4o'!E9</f>
        <v>0.2536231884</v>
      </c>
      <c r="E59" s="7">
        <f>'🤖 GPT 4o'!F9</f>
        <v>3</v>
      </c>
      <c r="F59" s="7">
        <f>'🤖 GPT 4o'!G9</f>
        <v>5</v>
      </c>
      <c r="G59" s="7">
        <f>'🤖 GPT 4o'!H9</f>
        <v>5</v>
      </c>
      <c r="H59" s="7">
        <f>'🤖 GPT 4o'!I9</f>
        <v>4</v>
      </c>
      <c r="I59" s="7">
        <f>'🤖 GPT 4o'!J9</f>
        <v>4</v>
      </c>
    </row>
    <row r="60">
      <c r="A60" s="92" t="str">
        <f>'🤖 GPT 4o'!$A$7</f>
        <v>http://elpais.com/internacional/2019/09/22/mexico/1569184390_537370.html</v>
      </c>
      <c r="B60" s="6" t="s">
        <v>25</v>
      </c>
      <c r="C60" s="7" t="str">
        <f>'🤖 GPT 4o'!C10</f>
        <v>tldr</v>
      </c>
      <c r="D60" s="93">
        <f>'🤖 GPT 4o'!E10</f>
        <v>0.1400966184</v>
      </c>
      <c r="E60" s="7">
        <f>'🤖 GPT 4o'!F10</f>
        <v>4</v>
      </c>
      <c r="F60" s="7">
        <f>'🤖 GPT 4o'!G10</f>
        <v>4</v>
      </c>
      <c r="G60" s="7">
        <f>'🤖 GPT 4o'!H10</f>
        <v>5</v>
      </c>
      <c r="H60" s="7">
        <f>'🤖 GPT 4o'!I10</f>
        <v>4</v>
      </c>
      <c r="I60" s="7">
        <f>'🤖 GPT 4o'!J10</f>
        <v>3</v>
      </c>
    </row>
    <row r="61">
      <c r="A61" s="94"/>
      <c r="B61" s="6"/>
      <c r="C61" s="7"/>
      <c r="D61" s="3"/>
      <c r="E61" s="7"/>
      <c r="F61" s="7"/>
      <c r="G61" s="7"/>
      <c r="H61" s="7"/>
      <c r="I61" s="7"/>
    </row>
    <row r="62">
      <c r="A62" s="92" t="str">
        <f>'🤖 GPT 4o'!$A$12</f>
        <v>http://elpais.com/ccaa/2019/07/16/catalunya/1563306455_802927.html</v>
      </c>
      <c r="B62" s="6" t="s">
        <v>25</v>
      </c>
      <c r="C62" s="7" t="str">
        <f>'🤖 GPT 4o'!C12</f>
        <v>Base</v>
      </c>
      <c r="D62" s="93">
        <f>'🤖 GPT 4o'!E12</f>
        <v>0.1742596811</v>
      </c>
      <c r="E62" s="7">
        <f>'🤖 GPT 4o'!F12</f>
        <v>5</v>
      </c>
      <c r="F62" s="7">
        <f>'🤖 GPT 4o'!G12</f>
        <v>5</v>
      </c>
      <c r="G62" s="7">
        <f>'🤖 GPT 4o'!H12</f>
        <v>5</v>
      </c>
      <c r="H62" s="7">
        <f>'🤖 GPT 4o'!I12</f>
        <v>5</v>
      </c>
      <c r="I62" s="7">
        <f>'🤖 GPT 4o'!J12</f>
        <v>4</v>
      </c>
    </row>
    <row r="63">
      <c r="A63" s="92" t="str">
        <f>'🤖 GPT 4o'!$A$12</f>
        <v>http://elpais.com/ccaa/2019/07/16/catalunya/1563306455_802927.html</v>
      </c>
      <c r="B63" s="6" t="s">
        <v>25</v>
      </c>
      <c r="C63" s="7" t="str">
        <f>'🤖 GPT 4o'!C13</f>
        <v>CoT</v>
      </c>
      <c r="D63" s="93">
        <f>'🤖 GPT 4o'!E13</f>
        <v>0.2129840547</v>
      </c>
      <c r="E63" s="7">
        <f>'🤖 GPT 4o'!F13</f>
        <v>3</v>
      </c>
      <c r="F63" s="7">
        <f>'🤖 GPT 4o'!G13</f>
        <v>5</v>
      </c>
      <c r="G63" s="7">
        <f>'🤖 GPT 4o'!H13</f>
        <v>5</v>
      </c>
      <c r="H63" s="7">
        <f>'🤖 GPT 4o'!I13</f>
        <v>4</v>
      </c>
      <c r="I63" s="7">
        <f>'🤖 GPT 4o'!J13</f>
        <v>4</v>
      </c>
    </row>
    <row r="64">
      <c r="A64" s="92" t="str">
        <f>'🤖 GPT 4o'!$A$12</f>
        <v>http://elpais.com/ccaa/2019/07/16/catalunya/1563306455_802927.html</v>
      </c>
      <c r="B64" s="6" t="s">
        <v>25</v>
      </c>
      <c r="C64" s="7" t="str">
        <f>'🤖 GPT 4o'!C14</f>
        <v>5W1H</v>
      </c>
      <c r="D64" s="93">
        <f>'🤖 GPT 4o'!E14</f>
        <v>0.1685649203</v>
      </c>
      <c r="E64" s="7">
        <f>'🤖 GPT 4o'!F14</f>
        <v>3</v>
      </c>
      <c r="F64" s="7">
        <f>'🤖 GPT 4o'!G14</f>
        <v>5</v>
      </c>
      <c r="G64" s="7">
        <f>'🤖 GPT 4o'!H14</f>
        <v>5</v>
      </c>
      <c r="H64" s="7">
        <f>'🤖 GPT 4o'!I14</f>
        <v>4</v>
      </c>
      <c r="I64" s="7">
        <f>'🤖 GPT 4o'!J14</f>
        <v>3</v>
      </c>
    </row>
    <row r="65">
      <c r="A65" s="92" t="str">
        <f>'🤖 GPT 4o'!$A$12</f>
        <v>http://elpais.com/ccaa/2019/07/16/catalunya/1563306455_802927.html</v>
      </c>
      <c r="B65" s="6" t="s">
        <v>25</v>
      </c>
      <c r="C65" s="7" t="str">
        <f>'🤖 GPT 4o'!C15</f>
        <v>tldr</v>
      </c>
      <c r="D65" s="93">
        <f>'🤖 GPT 4o'!E15</f>
        <v>0.1958997722</v>
      </c>
      <c r="E65" s="7">
        <f>'🤖 GPT 4o'!F15</f>
        <v>3</v>
      </c>
      <c r="F65" s="7">
        <f>'🤖 GPT 4o'!G15</f>
        <v>5</v>
      </c>
      <c r="G65" s="7">
        <f>'🤖 GPT 4o'!H15</f>
        <v>5</v>
      </c>
      <c r="H65" s="7">
        <f>'🤖 GPT 4o'!I15</f>
        <v>5</v>
      </c>
      <c r="I65" s="7">
        <f>'🤖 GPT 4o'!J15</f>
        <v>5</v>
      </c>
    </row>
    <row r="66">
      <c r="A66" s="94"/>
      <c r="B66" s="6"/>
      <c r="C66" s="7"/>
      <c r="D66" s="3"/>
      <c r="E66" s="7"/>
      <c r="F66" s="7"/>
      <c r="G66" s="7"/>
      <c r="H66" s="7"/>
      <c r="I66" s="7"/>
    </row>
    <row r="67">
      <c r="A67" s="92" t="str">
        <f>'🤖 GPT 4o'!$A$17</f>
        <v>http://elpais.com/elpais/2019/08/02/estilo/1564708605_360745.html</v>
      </c>
      <c r="B67" s="6" t="s">
        <v>25</v>
      </c>
      <c r="C67" s="7" t="str">
        <f>'🤖 GPT 4o'!C17</f>
        <v>Base</v>
      </c>
      <c r="D67" s="93">
        <f>'🤖 GPT 4o'!E17</f>
        <v>0.2286079183</v>
      </c>
      <c r="E67" s="7">
        <f>'🤖 GPT 4o'!F17</f>
        <v>4</v>
      </c>
      <c r="F67" s="7">
        <f>'🤖 GPT 4o'!G17</f>
        <v>4</v>
      </c>
      <c r="G67" s="7">
        <f>'🤖 GPT 4o'!H17</f>
        <v>5</v>
      </c>
      <c r="H67" s="7">
        <f>'🤖 GPT 4o'!I17</f>
        <v>5</v>
      </c>
      <c r="I67" s="7">
        <f>'🤖 GPT 4o'!J17</f>
        <v>5</v>
      </c>
    </row>
    <row r="68">
      <c r="A68" s="92" t="str">
        <f>'🤖 GPT 4o'!$A$17</f>
        <v>http://elpais.com/elpais/2019/08/02/estilo/1564708605_360745.html</v>
      </c>
      <c r="B68" s="6" t="s">
        <v>25</v>
      </c>
      <c r="C68" s="7" t="str">
        <f>'🤖 GPT 4o'!C18</f>
        <v>CoT</v>
      </c>
      <c r="D68" s="93">
        <f>'🤖 GPT 4o'!E18</f>
        <v>0.1851851852</v>
      </c>
      <c r="E68" s="7">
        <f>'🤖 GPT 4o'!F18</f>
        <v>4</v>
      </c>
      <c r="F68" s="7">
        <f>'🤖 GPT 4o'!G18</f>
        <v>5</v>
      </c>
      <c r="G68" s="7">
        <f>'🤖 GPT 4o'!H18</f>
        <v>5</v>
      </c>
      <c r="H68" s="7">
        <f>'🤖 GPT 4o'!I18</f>
        <v>5</v>
      </c>
      <c r="I68" s="7">
        <f>'🤖 GPT 4o'!J18</f>
        <v>5</v>
      </c>
    </row>
    <row r="69">
      <c r="A69" s="92" t="str">
        <f>'🤖 GPT 4o'!$A$17</f>
        <v>http://elpais.com/elpais/2019/08/02/estilo/1564708605_360745.html</v>
      </c>
      <c r="B69" s="6" t="s">
        <v>25</v>
      </c>
      <c r="C69" s="7" t="str">
        <f>'🤖 GPT 4o'!C19</f>
        <v>5W1H</v>
      </c>
      <c r="D69" s="93">
        <f>'🤖 GPT 4o'!E19</f>
        <v>0.2068965517</v>
      </c>
      <c r="E69" s="7">
        <f>'🤖 GPT 4o'!F19</f>
        <v>3</v>
      </c>
      <c r="F69" s="7">
        <f>'🤖 GPT 4o'!G19</f>
        <v>5</v>
      </c>
      <c r="G69" s="7">
        <f>'🤖 GPT 4o'!H19</f>
        <v>5</v>
      </c>
      <c r="H69" s="7">
        <f>'🤖 GPT 4o'!I19</f>
        <v>5</v>
      </c>
      <c r="I69" s="7">
        <f>'🤖 GPT 4o'!J19</f>
        <v>5</v>
      </c>
    </row>
    <row r="70">
      <c r="A70" s="92" t="str">
        <f>'🤖 GPT 4o'!$A$17</f>
        <v>http://elpais.com/elpais/2019/08/02/estilo/1564708605_360745.html</v>
      </c>
      <c r="B70" s="6" t="s">
        <v>25</v>
      </c>
      <c r="C70" s="7" t="str">
        <f>'🤖 GPT 4o'!C20</f>
        <v>tldr</v>
      </c>
      <c r="D70" s="93">
        <f>'🤖 GPT 4o'!E20</f>
        <v>0.1417624521</v>
      </c>
      <c r="E70" s="7">
        <f>'🤖 GPT 4o'!F20</f>
        <v>4</v>
      </c>
      <c r="F70" s="7">
        <f>'🤖 GPT 4o'!G20</f>
        <v>5</v>
      </c>
      <c r="G70" s="7">
        <f>'🤖 GPT 4o'!H20</f>
        <v>5</v>
      </c>
      <c r="H70" s="7">
        <f>'🤖 GPT 4o'!I20</f>
        <v>5</v>
      </c>
      <c r="I70" s="7">
        <f>'🤖 GPT 4o'!J20</f>
        <v>5</v>
      </c>
    </row>
    <row r="71">
      <c r="A71" s="94"/>
      <c r="B71" s="6"/>
      <c r="C71" s="7"/>
      <c r="D71" s="3"/>
      <c r="E71" s="7"/>
      <c r="F71" s="7"/>
      <c r="G71" s="7"/>
      <c r="H71" s="7"/>
      <c r="I71" s="7"/>
    </row>
    <row r="72">
      <c r="A72" s="92" t="str">
        <f>'🤖 GPT 4o'!$A$22</f>
        <v>http://elpais.com/economia/2019/09/21/actualidad/1569020936_816409.html</v>
      </c>
      <c r="B72" s="6" t="s">
        <v>25</v>
      </c>
      <c r="C72" s="7" t="str">
        <f>'🤖 GPT 4o'!C22</f>
        <v>Base</v>
      </c>
      <c r="D72" s="93">
        <f>'🤖 GPT 4o'!E22</f>
        <v>0.2895277207</v>
      </c>
      <c r="E72" s="7">
        <f>'🤖 GPT 4o'!F22</f>
        <v>4</v>
      </c>
      <c r="F72" s="7">
        <f>'🤖 GPT 4o'!G22</f>
        <v>5</v>
      </c>
      <c r="G72" s="7">
        <f>'🤖 GPT 4o'!H22</f>
        <v>5</v>
      </c>
      <c r="H72" s="7">
        <f>'🤖 GPT 4o'!I22</f>
        <v>4</v>
      </c>
      <c r="I72" s="7">
        <f>'🤖 GPT 4o'!J22</f>
        <v>5</v>
      </c>
    </row>
    <row r="73">
      <c r="A73" s="92" t="str">
        <f>'🤖 GPT 4o'!$A$22</f>
        <v>http://elpais.com/economia/2019/09/21/actualidad/1569020936_816409.html</v>
      </c>
      <c r="B73" s="6" t="s">
        <v>25</v>
      </c>
      <c r="C73" s="7" t="str">
        <f>'🤖 GPT 4o'!C23</f>
        <v>CoT</v>
      </c>
      <c r="D73" s="93">
        <f>'🤖 GPT 4o'!E23</f>
        <v>0.1971252567</v>
      </c>
      <c r="E73" s="7">
        <f>'🤖 GPT 4o'!F23</f>
        <v>4</v>
      </c>
      <c r="F73" s="7">
        <f>'🤖 GPT 4o'!G23</f>
        <v>5</v>
      </c>
      <c r="G73" s="7">
        <f>'🤖 GPT 4o'!H23</f>
        <v>5</v>
      </c>
      <c r="H73" s="7">
        <f>'🤖 GPT 4o'!I23</f>
        <v>4</v>
      </c>
      <c r="I73" s="7">
        <f>'🤖 GPT 4o'!J23</f>
        <v>4</v>
      </c>
    </row>
    <row r="74">
      <c r="A74" s="92" t="str">
        <f>'🤖 GPT 4o'!$A$22</f>
        <v>http://elpais.com/economia/2019/09/21/actualidad/1569020936_816409.html</v>
      </c>
      <c r="B74" s="6" t="s">
        <v>25</v>
      </c>
      <c r="C74" s="7" t="str">
        <f>'🤖 GPT 4o'!C24</f>
        <v>5W1H</v>
      </c>
      <c r="D74" s="93">
        <f>'🤖 GPT 4o'!E24</f>
        <v>0.4004106776</v>
      </c>
      <c r="E74" s="7">
        <f>'🤖 GPT 4o'!F24</f>
        <v>3</v>
      </c>
      <c r="F74" s="7">
        <f>'🤖 GPT 4o'!G24</f>
        <v>5</v>
      </c>
      <c r="G74" s="7">
        <f>'🤖 GPT 4o'!H24</f>
        <v>5</v>
      </c>
      <c r="H74" s="7">
        <f>'🤖 GPT 4o'!I24</f>
        <v>4</v>
      </c>
      <c r="I74" s="7">
        <f>'🤖 GPT 4o'!J24</f>
        <v>5</v>
      </c>
    </row>
    <row r="75">
      <c r="A75" s="92" t="str">
        <f>'🤖 GPT 4o'!$A$22</f>
        <v>http://elpais.com/economia/2019/09/21/actualidad/1569020936_816409.html</v>
      </c>
      <c r="B75" s="6" t="s">
        <v>25</v>
      </c>
      <c r="C75" s="7" t="str">
        <f>'🤖 GPT 4o'!C25</f>
        <v>tldr</v>
      </c>
      <c r="D75" s="93">
        <f>'🤖 GPT 4o'!E25</f>
        <v>0.2238193018</v>
      </c>
      <c r="E75" s="7">
        <f>'🤖 GPT 4o'!F25</f>
        <v>4</v>
      </c>
      <c r="F75" s="7">
        <f>'🤖 GPT 4o'!G25</f>
        <v>5</v>
      </c>
      <c r="G75" s="7">
        <f>'🤖 GPT 4o'!H25</f>
        <v>5</v>
      </c>
      <c r="H75" s="7">
        <f>'🤖 GPT 4o'!I25</f>
        <v>5</v>
      </c>
      <c r="I75" s="7">
        <f>'🤖 GPT 4o'!J25</f>
        <v>5</v>
      </c>
    </row>
    <row r="76">
      <c r="A76" s="94"/>
      <c r="B76" s="6"/>
      <c r="C76" s="7"/>
      <c r="D76" s="3"/>
      <c r="E76" s="7"/>
      <c r="F76" s="7"/>
      <c r="G76" s="7"/>
      <c r="H76" s="7"/>
      <c r="I76" s="7"/>
    </row>
    <row r="77">
      <c r="A77" s="92" t="str">
        <f>'🤖 Reka Flash'!$A$2</f>
        <v>http://elpais.com/ccaa/2019/08/01/catalunya/1564677368_810398.html</v>
      </c>
      <c r="B77" s="6" t="s">
        <v>26</v>
      </c>
      <c r="C77" s="7" t="str">
        <f>'🤖 Reka Flash'!C2</f>
        <v>Base</v>
      </c>
      <c r="D77" s="93">
        <f>'🤖 Reka Flash'!E2</f>
        <v>0.1862857143</v>
      </c>
      <c r="E77" s="7">
        <f>'🤖 Reka Flash'!F2</f>
        <v>4</v>
      </c>
      <c r="F77" s="7">
        <f>'🤖 Reka Flash'!G2</f>
        <v>5</v>
      </c>
      <c r="G77" s="7">
        <f>'🤖 Reka Flash'!H2</f>
        <v>5</v>
      </c>
      <c r="H77" s="7">
        <f>'🤖 Reka Flash'!I2</f>
        <v>4</v>
      </c>
      <c r="I77" s="7">
        <f>'🤖 Reka Flash'!J2</f>
        <v>4</v>
      </c>
    </row>
    <row r="78">
      <c r="A78" s="92" t="str">
        <f>'🤖 Reka Flash'!$A$2</f>
        <v>http://elpais.com/ccaa/2019/08/01/catalunya/1564677368_810398.html</v>
      </c>
      <c r="B78" s="6" t="s">
        <v>26</v>
      </c>
      <c r="C78" s="7" t="str">
        <f>'🤖 Reka Flash'!C3</f>
        <v>CoT</v>
      </c>
      <c r="D78" s="93">
        <f>'🤖 Reka Flash'!E3</f>
        <v>0.168</v>
      </c>
      <c r="E78" s="7">
        <f>'🤖 Reka Flash'!F3</f>
        <v>4</v>
      </c>
      <c r="F78" s="7">
        <f>'🤖 Reka Flash'!G3</f>
        <v>5</v>
      </c>
      <c r="G78" s="7">
        <f>'🤖 Reka Flash'!H3</f>
        <v>4</v>
      </c>
      <c r="H78" s="7">
        <f>'🤖 Reka Flash'!I3</f>
        <v>4</v>
      </c>
      <c r="I78" s="7">
        <f>'🤖 Reka Flash'!J3</f>
        <v>4</v>
      </c>
    </row>
    <row r="79">
      <c r="A79" s="92" t="str">
        <f>'🤖 Reka Flash'!$A$2</f>
        <v>http://elpais.com/ccaa/2019/08/01/catalunya/1564677368_810398.html</v>
      </c>
      <c r="B79" s="6" t="s">
        <v>26</v>
      </c>
      <c r="C79" s="7" t="str">
        <f>'🤖 Reka Flash'!C4</f>
        <v>5W1H</v>
      </c>
      <c r="D79" s="93">
        <f>'🤖 Reka Flash'!E4</f>
        <v>0.2045714286</v>
      </c>
      <c r="E79" s="7">
        <f>'🤖 Reka Flash'!F4</f>
        <v>3</v>
      </c>
      <c r="F79" s="7">
        <f>'🤖 Reka Flash'!G4</f>
        <v>5</v>
      </c>
      <c r="G79" s="7">
        <f>'🤖 Reka Flash'!H4</f>
        <v>5</v>
      </c>
      <c r="H79" s="7">
        <f>'🤖 Reka Flash'!I4</f>
        <v>4</v>
      </c>
      <c r="I79" s="7">
        <f>'🤖 Reka Flash'!J4</f>
        <v>4</v>
      </c>
    </row>
    <row r="80">
      <c r="A80" s="92" t="str">
        <f>'🤖 Reka Flash'!$A$2</f>
        <v>http://elpais.com/ccaa/2019/08/01/catalunya/1564677368_810398.html</v>
      </c>
      <c r="B80" s="6" t="s">
        <v>26</v>
      </c>
      <c r="C80" s="7" t="str">
        <f>'🤖 Reka Flash'!C5</f>
        <v>tldr</v>
      </c>
      <c r="D80" s="93">
        <f>'🤖 Reka Flash'!E5</f>
        <v>0.1462857143</v>
      </c>
      <c r="E80" s="7">
        <f>'🤖 Reka Flash'!F5</f>
        <v>4</v>
      </c>
      <c r="F80" s="7">
        <f>'🤖 Reka Flash'!G5</f>
        <v>5</v>
      </c>
      <c r="G80" s="7">
        <f>'🤖 Reka Flash'!H5</f>
        <v>5</v>
      </c>
      <c r="H80" s="7">
        <f>'🤖 Reka Flash'!I5</f>
        <v>4</v>
      </c>
      <c r="I80" s="7">
        <f>'🤖 Reka Flash'!J5</f>
        <v>4</v>
      </c>
    </row>
    <row r="81">
      <c r="A81" s="94"/>
      <c r="B81" s="6"/>
      <c r="C81" s="7"/>
      <c r="D81" s="3"/>
      <c r="E81" s="7"/>
      <c r="F81" s="7"/>
      <c r="G81" s="7"/>
      <c r="H81" s="7"/>
      <c r="I81" s="7"/>
    </row>
    <row r="82">
      <c r="A82" s="92" t="str">
        <f>'🤖 Reka Flash'!$A$7</f>
        <v>http://elpais.com/internacional/2019/09/22/mexico/1569184390_537370.html</v>
      </c>
      <c r="B82" s="6" t="s">
        <v>26</v>
      </c>
      <c r="C82" s="7" t="str">
        <f>'🤖 Reka Flash'!C7</f>
        <v>Base</v>
      </c>
      <c r="D82" s="93">
        <f>'🤖 Reka Flash'!E7</f>
        <v>0.2149758454</v>
      </c>
      <c r="E82" s="7">
        <f>'🤖 Reka Flash'!F7</f>
        <v>4</v>
      </c>
      <c r="F82" s="7">
        <f>'🤖 Reka Flash'!G7</f>
        <v>5</v>
      </c>
      <c r="G82" s="7">
        <f>'🤖 Reka Flash'!H7</f>
        <v>4</v>
      </c>
      <c r="H82" s="7">
        <f>'🤖 Reka Flash'!I7</f>
        <v>4</v>
      </c>
      <c r="I82" s="7">
        <f>'🤖 Reka Flash'!J7</f>
        <v>4</v>
      </c>
    </row>
    <row r="83">
      <c r="A83" s="92" t="str">
        <f>'🤖 Reka Flash'!$A$7</f>
        <v>http://elpais.com/internacional/2019/09/22/mexico/1569184390_537370.html</v>
      </c>
      <c r="B83" s="6" t="s">
        <v>26</v>
      </c>
      <c r="C83" s="7" t="str">
        <f>'🤖 Reka Flash'!C8</f>
        <v>CoT</v>
      </c>
      <c r="D83" s="93">
        <f>'🤖 Reka Flash'!E8</f>
        <v>0.1509661836</v>
      </c>
      <c r="E83" s="7">
        <f>'🤖 Reka Flash'!F8</f>
        <v>4</v>
      </c>
      <c r="F83" s="7">
        <f>'🤖 Reka Flash'!G8</f>
        <v>5</v>
      </c>
      <c r="G83" s="7">
        <f>'🤖 Reka Flash'!H8</f>
        <v>5</v>
      </c>
      <c r="H83" s="7">
        <f>'🤖 Reka Flash'!I8</f>
        <v>4</v>
      </c>
      <c r="I83" s="7">
        <f>'🤖 Reka Flash'!J8</f>
        <v>3</v>
      </c>
    </row>
    <row r="84">
      <c r="A84" s="92" t="str">
        <f>'🤖 Reka Flash'!$A$7</f>
        <v>http://elpais.com/internacional/2019/09/22/mexico/1569184390_537370.html</v>
      </c>
      <c r="B84" s="6" t="s">
        <v>26</v>
      </c>
      <c r="C84" s="7" t="str">
        <f>'🤖 Reka Flash'!C9</f>
        <v>5W1H</v>
      </c>
      <c r="D84" s="93">
        <f>'🤖 Reka Flash'!E9</f>
        <v>0.190821256</v>
      </c>
      <c r="E84" s="7">
        <f>'🤖 Reka Flash'!F9</f>
        <v>3</v>
      </c>
      <c r="F84" s="7">
        <f>'🤖 Reka Flash'!G9</f>
        <v>5</v>
      </c>
      <c r="G84" s="7">
        <f>'🤖 Reka Flash'!H9</f>
        <v>5</v>
      </c>
      <c r="H84" s="7">
        <f>'🤖 Reka Flash'!I9</f>
        <v>4</v>
      </c>
      <c r="I84" s="7">
        <f>'🤖 Reka Flash'!J9</f>
        <v>3</v>
      </c>
    </row>
    <row r="85">
      <c r="A85" s="92" t="str">
        <f>'🤖 Reka Flash'!$A$7</f>
        <v>http://elpais.com/internacional/2019/09/22/mexico/1569184390_537370.html</v>
      </c>
      <c r="B85" s="6" t="s">
        <v>26</v>
      </c>
      <c r="C85" s="7" t="str">
        <f>'🤖 Reka Flash'!C10</f>
        <v>tldr</v>
      </c>
      <c r="D85" s="93">
        <f>'🤖 Reka Flash'!E10</f>
        <v>0.1835748792</v>
      </c>
      <c r="E85" s="7">
        <f>'🤖 Reka Flash'!F10</f>
        <v>4</v>
      </c>
      <c r="F85" s="7">
        <f>'🤖 Reka Flash'!G10</f>
        <v>5</v>
      </c>
      <c r="G85" s="7">
        <f>'🤖 Reka Flash'!H10</f>
        <v>5</v>
      </c>
      <c r="H85" s="7">
        <f>'🤖 Reka Flash'!I10</f>
        <v>5</v>
      </c>
      <c r="I85" s="7">
        <f>'🤖 Reka Flash'!J10</f>
        <v>4</v>
      </c>
    </row>
    <row r="86">
      <c r="A86" s="94"/>
      <c r="B86" s="6"/>
      <c r="C86" s="7"/>
      <c r="D86" s="3"/>
      <c r="E86" s="7"/>
      <c r="F86" s="7"/>
      <c r="G86" s="7"/>
      <c r="H86" s="7"/>
      <c r="I86" s="7"/>
    </row>
    <row r="87">
      <c r="A87" s="92" t="str">
        <f>'🤖 Reka Flash'!$A$12</f>
        <v>http://elpais.com/ccaa/2019/07/16/catalunya/1563306455_802927.html</v>
      </c>
      <c r="B87" s="6" t="s">
        <v>26</v>
      </c>
      <c r="C87" s="7" t="str">
        <f>'🤖 Reka Flash'!C12</f>
        <v>Base</v>
      </c>
      <c r="D87" s="93">
        <f>'🤖 Reka Flash'!E12</f>
        <v>0.1867881549</v>
      </c>
      <c r="E87" s="7">
        <f>'🤖 Reka Flash'!F12</f>
        <v>5</v>
      </c>
      <c r="F87" s="7">
        <f>'🤖 Reka Flash'!G12</f>
        <v>4</v>
      </c>
      <c r="G87" s="7">
        <f>'🤖 Reka Flash'!H12</f>
        <v>5</v>
      </c>
      <c r="H87" s="7">
        <f>'🤖 Reka Flash'!I12</f>
        <v>5</v>
      </c>
      <c r="I87" s="7">
        <f>'🤖 Reka Flash'!J12</f>
        <v>4</v>
      </c>
    </row>
    <row r="88">
      <c r="A88" s="92" t="str">
        <f>'🤖 Reka Flash'!$A$12</f>
        <v>http://elpais.com/ccaa/2019/07/16/catalunya/1563306455_802927.html</v>
      </c>
      <c r="B88" s="6" t="s">
        <v>26</v>
      </c>
      <c r="C88" s="7" t="str">
        <f>'🤖 Reka Flash'!C13</f>
        <v>CoT</v>
      </c>
      <c r="D88" s="93">
        <f>'🤖 Reka Flash'!E13</f>
        <v>0.1605922551</v>
      </c>
      <c r="E88" s="7">
        <f>'🤖 Reka Flash'!F13</f>
        <v>5</v>
      </c>
      <c r="F88" s="7">
        <f>'🤖 Reka Flash'!G13</f>
        <v>4</v>
      </c>
      <c r="G88" s="7">
        <f>'🤖 Reka Flash'!H13</f>
        <v>5</v>
      </c>
      <c r="H88" s="7">
        <f>'🤖 Reka Flash'!I13</f>
        <v>4</v>
      </c>
      <c r="I88" s="7">
        <f>'🤖 Reka Flash'!J13</f>
        <v>4</v>
      </c>
    </row>
    <row r="89">
      <c r="A89" s="92" t="str">
        <f>'🤖 Reka Flash'!$A$12</f>
        <v>http://elpais.com/ccaa/2019/07/16/catalunya/1563306455_802927.html</v>
      </c>
      <c r="B89" s="6" t="s">
        <v>26</v>
      </c>
      <c r="C89" s="7" t="str">
        <f>'🤖 Reka Flash'!C14</f>
        <v>5W1H</v>
      </c>
      <c r="D89" s="93">
        <f>'🤖 Reka Flash'!E14</f>
        <v>0.2072892938</v>
      </c>
      <c r="E89" s="7">
        <f>'🤖 Reka Flash'!F14</f>
        <v>3</v>
      </c>
      <c r="F89" s="7">
        <f>'🤖 Reka Flash'!G14</f>
        <v>3</v>
      </c>
      <c r="G89" s="7">
        <f>'🤖 Reka Flash'!H14</f>
        <v>5</v>
      </c>
      <c r="H89" s="7">
        <f>'🤖 Reka Flash'!I14</f>
        <v>4</v>
      </c>
      <c r="I89" s="7">
        <f>'🤖 Reka Flash'!J14</f>
        <v>4</v>
      </c>
    </row>
    <row r="90">
      <c r="A90" s="92" t="str">
        <f>'🤖 Reka Flash'!$A$12</f>
        <v>http://elpais.com/ccaa/2019/07/16/catalunya/1563306455_802927.html</v>
      </c>
      <c r="B90" s="6" t="s">
        <v>26</v>
      </c>
      <c r="C90" s="7" t="str">
        <f>'🤖 Reka Flash'!C15</f>
        <v>tldr</v>
      </c>
      <c r="D90" s="93">
        <f>'🤖 Reka Flash'!E15</f>
        <v>0.1241457859</v>
      </c>
      <c r="E90" s="7">
        <f>'🤖 Reka Flash'!F15</f>
        <v>4</v>
      </c>
      <c r="F90" s="7">
        <f>'🤖 Reka Flash'!G15</f>
        <v>3</v>
      </c>
      <c r="G90" s="7">
        <f>'🤖 Reka Flash'!H15</f>
        <v>5</v>
      </c>
      <c r="H90" s="7">
        <f>'🤖 Reka Flash'!I15</f>
        <v>5</v>
      </c>
      <c r="I90" s="7">
        <f>'🤖 Reka Flash'!J15</f>
        <v>4</v>
      </c>
    </row>
    <row r="91">
      <c r="A91" s="94"/>
      <c r="B91" s="6"/>
      <c r="C91" s="7"/>
      <c r="D91" s="3"/>
      <c r="E91" s="7"/>
      <c r="F91" s="7"/>
      <c r="G91" s="7"/>
      <c r="H91" s="7"/>
      <c r="I91" s="7"/>
    </row>
    <row r="92">
      <c r="A92" s="92" t="str">
        <f>'🤖 Reka Flash'!$A$17</f>
        <v>http://elpais.com/elpais/2019/08/02/estilo/1564708605_360745.html</v>
      </c>
      <c r="B92" s="6" t="s">
        <v>26</v>
      </c>
      <c r="C92" s="7" t="str">
        <f>'🤖 Reka Flash'!C17</f>
        <v>Base</v>
      </c>
      <c r="D92" s="93">
        <f>'🤖 Reka Flash'!E17</f>
        <v>0.282247765</v>
      </c>
      <c r="E92" s="7">
        <f>'🤖 Reka Flash'!F17</f>
        <v>5</v>
      </c>
      <c r="F92" s="7">
        <f>'🤖 Reka Flash'!G17</f>
        <v>5</v>
      </c>
      <c r="G92" s="7">
        <f>'🤖 Reka Flash'!H17</f>
        <v>5</v>
      </c>
      <c r="H92" s="7">
        <f>'🤖 Reka Flash'!I17</f>
        <v>5</v>
      </c>
      <c r="I92" s="7">
        <f>'🤖 Reka Flash'!J17</f>
        <v>4</v>
      </c>
    </row>
    <row r="93">
      <c r="A93" s="92" t="str">
        <f>'🤖 Reka Flash'!$A$17</f>
        <v>http://elpais.com/elpais/2019/08/02/estilo/1564708605_360745.html</v>
      </c>
      <c r="B93" s="6" t="s">
        <v>26</v>
      </c>
      <c r="C93" s="7" t="str">
        <f>'🤖 Reka Flash'!C18</f>
        <v>CoT</v>
      </c>
      <c r="D93" s="93">
        <f>'🤖 Reka Flash'!E18</f>
        <v>0.251596424</v>
      </c>
      <c r="E93" s="7">
        <f>'🤖 Reka Flash'!F18</f>
        <v>4</v>
      </c>
      <c r="F93" s="7">
        <f>'🤖 Reka Flash'!G18</f>
        <v>5</v>
      </c>
      <c r="G93" s="7">
        <f>'🤖 Reka Flash'!H18</f>
        <v>5</v>
      </c>
      <c r="H93" s="7">
        <f>'🤖 Reka Flash'!I18</f>
        <v>5</v>
      </c>
      <c r="I93" s="7">
        <f>'🤖 Reka Flash'!J18</f>
        <v>4</v>
      </c>
    </row>
    <row r="94">
      <c r="A94" s="92" t="str">
        <f>'🤖 Reka Flash'!$A$17</f>
        <v>http://elpais.com/elpais/2019/08/02/estilo/1564708605_360745.html</v>
      </c>
      <c r="B94" s="6" t="s">
        <v>26</v>
      </c>
      <c r="C94" s="7" t="str">
        <f>'🤖 Reka Flash'!C19</f>
        <v>5W1H</v>
      </c>
      <c r="D94" s="93">
        <f>'🤖 Reka Flash'!E19</f>
        <v>0.2528735632</v>
      </c>
      <c r="E94" s="7">
        <f>'🤖 Reka Flash'!F19</f>
        <v>3</v>
      </c>
      <c r="F94" s="7">
        <f>'🤖 Reka Flash'!G19</f>
        <v>5</v>
      </c>
      <c r="G94" s="7">
        <f>'🤖 Reka Flash'!H19</f>
        <v>5</v>
      </c>
      <c r="H94" s="7">
        <f>'🤖 Reka Flash'!I19</f>
        <v>5</v>
      </c>
      <c r="I94" s="7">
        <f>'🤖 Reka Flash'!J19</f>
        <v>5</v>
      </c>
    </row>
    <row r="95">
      <c r="A95" s="92" t="str">
        <f>'🤖 Reka Flash'!$A$17</f>
        <v>http://elpais.com/elpais/2019/08/02/estilo/1564708605_360745.html</v>
      </c>
      <c r="B95" s="6" t="s">
        <v>26</v>
      </c>
      <c r="C95" s="7" t="str">
        <f>'🤖 Reka Flash'!C20</f>
        <v>tldr</v>
      </c>
      <c r="D95" s="93">
        <f>'🤖 Reka Flash'!E20</f>
        <v>0.1711366539</v>
      </c>
      <c r="E95" s="7">
        <f>'🤖 Reka Flash'!F20</f>
        <v>4</v>
      </c>
      <c r="F95" s="7">
        <f>'🤖 Reka Flash'!G20</f>
        <v>5</v>
      </c>
      <c r="G95" s="7">
        <f>'🤖 Reka Flash'!H20</f>
        <v>5</v>
      </c>
      <c r="H95" s="7">
        <f>'🤖 Reka Flash'!I20</f>
        <v>5</v>
      </c>
      <c r="I95" s="7">
        <f>'🤖 Reka Flash'!J20</f>
        <v>4</v>
      </c>
    </row>
    <row r="96">
      <c r="A96" s="94"/>
      <c r="B96" s="6"/>
      <c r="C96" s="7"/>
      <c r="D96" s="3"/>
      <c r="E96" s="7"/>
      <c r="F96" s="7"/>
      <c r="G96" s="7"/>
      <c r="H96" s="7"/>
      <c r="I96" s="7"/>
    </row>
    <row r="97">
      <c r="A97" s="92" t="str">
        <f>'🤖 Reka Flash'!$A$22</f>
        <v>http://elpais.com/economia/2019/09/21/actualidad/1569020936_816409.html</v>
      </c>
      <c r="B97" s="6" t="s">
        <v>26</v>
      </c>
      <c r="C97" s="7" t="str">
        <f>'🤖 Reka Flash'!C22</f>
        <v>Base</v>
      </c>
      <c r="D97" s="93">
        <f>'🤖 Reka Flash'!E22</f>
        <v>0.3100616016</v>
      </c>
      <c r="E97" s="7">
        <f>'🤖 Reka Flash'!F22</f>
        <v>4</v>
      </c>
      <c r="F97" s="7">
        <f>'🤖 Reka Flash'!G22</f>
        <v>5</v>
      </c>
      <c r="G97" s="7">
        <f>'🤖 Reka Flash'!H22</f>
        <v>5</v>
      </c>
      <c r="H97" s="7">
        <f>'🤖 Reka Flash'!I22</f>
        <v>4</v>
      </c>
      <c r="I97" s="7">
        <f>'🤖 Reka Flash'!J22</f>
        <v>5</v>
      </c>
    </row>
    <row r="98">
      <c r="A98" s="92" t="str">
        <f>'🤖 Reka Flash'!$A$22</f>
        <v>http://elpais.com/economia/2019/09/21/actualidad/1569020936_816409.html</v>
      </c>
      <c r="B98" s="6" t="s">
        <v>26</v>
      </c>
      <c r="C98" s="7" t="str">
        <f>'🤖 Reka Flash'!C23</f>
        <v>CoT</v>
      </c>
      <c r="D98" s="93">
        <f>'🤖 Reka Flash'!E23</f>
        <v>0.1930184805</v>
      </c>
      <c r="E98" s="7">
        <f>'🤖 Reka Flash'!F23</f>
        <v>4</v>
      </c>
      <c r="F98" s="7">
        <f>'🤖 Reka Flash'!G23</f>
        <v>5</v>
      </c>
      <c r="G98" s="7">
        <f>'🤖 Reka Flash'!H23</f>
        <v>5</v>
      </c>
      <c r="H98" s="7">
        <f>'🤖 Reka Flash'!I23</f>
        <v>4</v>
      </c>
      <c r="I98" s="7">
        <f>'🤖 Reka Flash'!J23</f>
        <v>4</v>
      </c>
    </row>
    <row r="99">
      <c r="A99" s="92" t="str">
        <f>'🤖 Reka Flash'!$A$22</f>
        <v>http://elpais.com/economia/2019/09/21/actualidad/1569020936_816409.html</v>
      </c>
      <c r="B99" s="6" t="s">
        <v>26</v>
      </c>
      <c r="C99" s="7" t="str">
        <f>'🤖 Reka Flash'!C24</f>
        <v>5W1H</v>
      </c>
      <c r="D99" s="93">
        <f>'🤖 Reka Flash'!E24</f>
        <v>0.3490759754</v>
      </c>
      <c r="E99" s="7">
        <f>'🤖 Reka Flash'!F24</f>
        <v>3</v>
      </c>
      <c r="F99" s="7">
        <f>'🤖 Reka Flash'!G24</f>
        <v>5</v>
      </c>
      <c r="G99" s="7">
        <f>'🤖 Reka Flash'!H24</f>
        <v>5</v>
      </c>
      <c r="H99" s="7">
        <f>'🤖 Reka Flash'!I24</f>
        <v>4</v>
      </c>
      <c r="I99" s="7">
        <f>'🤖 Reka Flash'!J24</f>
        <v>5</v>
      </c>
    </row>
    <row r="100">
      <c r="A100" s="92" t="str">
        <f>'🤖 Reka Flash'!$A$22</f>
        <v>http://elpais.com/economia/2019/09/21/actualidad/1569020936_816409.html</v>
      </c>
      <c r="B100" s="6" t="s">
        <v>26</v>
      </c>
      <c r="C100" s="7" t="str">
        <f>'🤖 Reka Flash'!C25</f>
        <v>tldr</v>
      </c>
      <c r="D100" s="93">
        <f>'🤖 Reka Flash'!E25</f>
        <v>0.1704312115</v>
      </c>
      <c r="E100" s="7">
        <f>'🤖 Reka Flash'!F25</f>
        <v>4</v>
      </c>
      <c r="F100" s="7">
        <f>'🤖 Reka Flash'!G25</f>
        <v>5</v>
      </c>
      <c r="G100" s="7">
        <f>'🤖 Reka Flash'!H25</f>
        <v>5</v>
      </c>
      <c r="H100" s="7">
        <f>'🤖 Reka Flash'!I25</f>
        <v>5</v>
      </c>
      <c r="I100" s="7">
        <f>'🤖 Reka Flash'!J25</f>
        <v>4</v>
      </c>
    </row>
    <row r="101">
      <c r="A101" s="94"/>
      <c r="B101" s="6"/>
      <c r="C101" s="7"/>
      <c r="D101" s="3"/>
      <c r="E101" s="7"/>
      <c r="F101" s="7"/>
      <c r="G101" s="7"/>
      <c r="H101" s="7"/>
      <c r="I101" s="7"/>
    </row>
    <row r="102">
      <c r="A102" s="95" t="str">
        <f>'🖐🏾 Human'!$A$2</f>
        <v>http://elpais.com/ccaa/2019/08/01/catalunya/1564677368_810398.html</v>
      </c>
      <c r="B102" s="6" t="s">
        <v>15</v>
      </c>
      <c r="C102" s="7" t="str">
        <f>'🖐🏾 Human'!C2</f>
        <v>Heading</v>
      </c>
      <c r="D102" s="93">
        <f>'🖐🏾 Human'!E2</f>
        <v>0.02628571429</v>
      </c>
      <c r="E102" s="7">
        <f>'🖐🏾 Human'!F2</f>
        <v>5</v>
      </c>
      <c r="F102" s="7">
        <f>'🖐🏾 Human'!G2</f>
        <v>5</v>
      </c>
      <c r="G102" s="7">
        <f>'🖐🏾 Human'!H2</f>
        <v>5</v>
      </c>
      <c r="H102" s="7">
        <f>'🖐🏾 Human'!I2</f>
        <v>5</v>
      </c>
      <c r="I102" s="7">
        <f>'🖐🏾 Human'!J2</f>
        <v>2</v>
      </c>
    </row>
    <row r="103">
      <c r="A103" s="95" t="str">
        <f>'🖐🏾 Human'!$A$2</f>
        <v>http://elpais.com/ccaa/2019/08/01/catalunya/1564677368_810398.html</v>
      </c>
      <c r="B103" s="6" t="s">
        <v>15</v>
      </c>
      <c r="C103" s="7" t="str">
        <f>'🖐🏾 Human'!C3</f>
        <v>Jeremy</v>
      </c>
      <c r="D103" s="93">
        <f>'🖐🏾 Human'!E3</f>
        <v>0.1782857143</v>
      </c>
      <c r="E103" s="7" t="str">
        <f>'🖐🏾 Human'!F3</f>
        <v/>
      </c>
      <c r="F103" s="7" t="str">
        <f>'🖐🏾 Human'!G3</f>
        <v/>
      </c>
      <c r="G103" s="7" t="str">
        <f>'🖐🏾 Human'!H3</f>
        <v/>
      </c>
      <c r="H103" s="7" t="str">
        <f>'🖐🏾 Human'!I3</f>
        <v/>
      </c>
      <c r="I103" s="7" t="str">
        <f>'🖐🏾 Human'!J3</f>
        <v/>
      </c>
    </row>
    <row r="104">
      <c r="A104" s="95" t="str">
        <f>'🖐🏾 Human'!$A$2</f>
        <v>http://elpais.com/ccaa/2019/08/01/catalunya/1564677368_810398.html</v>
      </c>
      <c r="B104" s="6" t="s">
        <v>15</v>
      </c>
      <c r="C104" s="7" t="str">
        <f>'🖐🏾 Human'!C4</f>
        <v>Begoña</v>
      </c>
      <c r="D104" s="93">
        <f>'🖐🏾 Human'!E4</f>
        <v>0.001142857143</v>
      </c>
      <c r="E104" s="7" t="str">
        <f>'🖐🏾 Human'!F4</f>
        <v/>
      </c>
      <c r="F104" s="7" t="str">
        <f>'🖐🏾 Human'!G4</f>
        <v/>
      </c>
      <c r="G104" s="7" t="str">
        <f>'🖐🏾 Human'!H4</f>
        <v/>
      </c>
      <c r="H104" s="7" t="str">
        <f>'🖐🏾 Human'!I4</f>
        <v/>
      </c>
      <c r="I104" s="7" t="str">
        <f>'🖐🏾 Human'!J4</f>
        <v/>
      </c>
    </row>
    <row r="105">
      <c r="A105" s="95" t="str">
        <f>'🖐🏾 Human'!$A$2</f>
        <v>http://elpais.com/ccaa/2019/08/01/catalunya/1564677368_810398.html</v>
      </c>
      <c r="B105" s="6" t="s">
        <v>15</v>
      </c>
      <c r="C105" s="7" t="str">
        <f>'🖐🏾 Human'!C5</f>
        <v>Alba</v>
      </c>
      <c r="D105" s="93">
        <f>'🖐🏾 Human'!E5</f>
        <v>0.001142857143</v>
      </c>
      <c r="E105" s="7" t="str">
        <f>'🖐🏾 Human'!F5</f>
        <v/>
      </c>
      <c r="F105" s="7" t="str">
        <f>'🖐🏾 Human'!G5</f>
        <v/>
      </c>
      <c r="G105" s="7" t="str">
        <f>'🖐🏾 Human'!H5</f>
        <v/>
      </c>
      <c r="H105" s="7" t="str">
        <f>'🖐🏾 Human'!I5</f>
        <v/>
      </c>
      <c r="I105" s="7" t="str">
        <f>'🖐🏾 Human'!J5</f>
        <v/>
      </c>
    </row>
    <row r="106">
      <c r="A106" s="96"/>
      <c r="B106" s="6"/>
      <c r="C106" s="7"/>
      <c r="D106" s="3"/>
      <c r="E106" s="7"/>
      <c r="F106" s="7"/>
      <c r="G106" s="7"/>
      <c r="H106" s="7"/>
      <c r="I106" s="7"/>
    </row>
    <row r="107">
      <c r="A107" s="95" t="str">
        <f>'🖐🏾 Human'!$A$7</f>
        <v>http://elpais.com/internacional/2019/09/22/mexico/1569184390_537370.html</v>
      </c>
      <c r="B107" s="6" t="s">
        <v>15</v>
      </c>
      <c r="C107" s="7" t="str">
        <f>'🖐🏾 Human'!C7</f>
        <v>Heading</v>
      </c>
      <c r="D107" s="93">
        <f>'🖐🏾 Human'!E7</f>
        <v>0.03140096618</v>
      </c>
      <c r="E107" s="7">
        <f>'🖐🏾 Human'!F7</f>
        <v>5</v>
      </c>
      <c r="F107" s="7">
        <f>'🖐🏾 Human'!G7</f>
        <v>5</v>
      </c>
      <c r="G107" s="7">
        <f>'🖐🏾 Human'!H7</f>
        <v>5</v>
      </c>
      <c r="H107" s="7">
        <f>'🖐🏾 Human'!I7</f>
        <v>5</v>
      </c>
      <c r="I107" s="7">
        <f>'🖐🏾 Human'!J7</f>
        <v>2</v>
      </c>
    </row>
    <row r="108">
      <c r="A108" s="95" t="str">
        <f>'🖐🏾 Human'!$A$7</f>
        <v>http://elpais.com/internacional/2019/09/22/mexico/1569184390_537370.html</v>
      </c>
      <c r="B108" s="6" t="s">
        <v>15</v>
      </c>
      <c r="C108" s="7" t="str">
        <f>'🖐🏾 Human'!C8</f>
        <v>Jeremy</v>
      </c>
      <c r="D108" s="93">
        <f>'🖐🏾 Human'!E8</f>
        <v>0.2173913043</v>
      </c>
      <c r="E108" s="7" t="str">
        <f>'🖐🏾 Human'!F8</f>
        <v/>
      </c>
      <c r="F108" s="7" t="str">
        <f>'🖐🏾 Human'!G8</f>
        <v/>
      </c>
      <c r="G108" s="7" t="str">
        <f>'🖐🏾 Human'!H8</f>
        <v/>
      </c>
      <c r="H108" s="7" t="str">
        <f>'🖐🏾 Human'!I8</f>
        <v/>
      </c>
      <c r="I108" s="7" t="str">
        <f>'🖐🏾 Human'!J8</f>
        <v/>
      </c>
    </row>
    <row r="109">
      <c r="A109" s="95" t="str">
        <f>'🖐🏾 Human'!$A$7</f>
        <v>http://elpais.com/internacional/2019/09/22/mexico/1569184390_537370.html</v>
      </c>
      <c r="B109" s="6" t="s">
        <v>15</v>
      </c>
      <c r="C109" s="7" t="str">
        <f>'🖐🏾 Human'!C9</f>
        <v>Begoña</v>
      </c>
      <c r="D109" s="93">
        <f>'🖐🏾 Human'!E9</f>
        <v>0.001207729469</v>
      </c>
      <c r="E109" s="7" t="str">
        <f>'🖐🏾 Human'!F9</f>
        <v/>
      </c>
      <c r="F109" s="7" t="str">
        <f>'🖐🏾 Human'!G9</f>
        <v/>
      </c>
      <c r="G109" s="7" t="str">
        <f>'🖐🏾 Human'!H9</f>
        <v/>
      </c>
      <c r="H109" s="7" t="str">
        <f>'🖐🏾 Human'!I9</f>
        <v/>
      </c>
      <c r="I109" s="7" t="str">
        <f>'🖐🏾 Human'!J9</f>
        <v/>
      </c>
    </row>
    <row r="110">
      <c r="A110" s="95" t="str">
        <f>'🖐🏾 Human'!$A$7</f>
        <v>http://elpais.com/internacional/2019/09/22/mexico/1569184390_537370.html</v>
      </c>
      <c r="B110" s="6" t="s">
        <v>15</v>
      </c>
      <c r="C110" s="7" t="str">
        <f>'🖐🏾 Human'!C10</f>
        <v>Alba</v>
      </c>
      <c r="D110" s="93">
        <f>'🖐🏾 Human'!E10</f>
        <v>0.001207729469</v>
      </c>
      <c r="E110" s="7" t="str">
        <f>'🖐🏾 Human'!F10</f>
        <v/>
      </c>
      <c r="F110" s="7" t="str">
        <f>'🖐🏾 Human'!G10</f>
        <v/>
      </c>
      <c r="G110" s="7" t="str">
        <f>'🖐🏾 Human'!H10</f>
        <v/>
      </c>
      <c r="H110" s="7" t="str">
        <f>'🖐🏾 Human'!I10</f>
        <v/>
      </c>
      <c r="I110" s="7" t="str">
        <f>'🖐🏾 Human'!J10</f>
        <v/>
      </c>
    </row>
    <row r="111">
      <c r="A111" s="96"/>
      <c r="B111" s="6"/>
      <c r="C111" s="7"/>
      <c r="D111" s="3"/>
      <c r="E111" s="7"/>
      <c r="F111" s="7"/>
      <c r="G111" s="7"/>
      <c r="H111" s="7"/>
      <c r="I111" s="7"/>
    </row>
    <row r="112">
      <c r="A112" s="95" t="str">
        <f>'🖐🏾 Human'!$A$12</f>
        <v>http://elpais.com/ccaa/2019/07/16/catalunya/1563306455_802927.html</v>
      </c>
      <c r="B112" s="6" t="s">
        <v>15</v>
      </c>
      <c r="C112" s="7" t="str">
        <f>'🖐🏾 Human'!C12</f>
        <v>Heading</v>
      </c>
      <c r="D112" s="93">
        <f>'🖐🏾 Human'!E12</f>
        <v>0.03416856492</v>
      </c>
      <c r="E112" s="7">
        <f>'🖐🏾 Human'!F12</f>
        <v>4</v>
      </c>
      <c r="F112" s="7">
        <f>'🖐🏾 Human'!G12</f>
        <v>5</v>
      </c>
      <c r="G112" s="7">
        <f>'🖐🏾 Human'!H12</f>
        <v>5</v>
      </c>
      <c r="H112" s="7">
        <f>'🖐🏾 Human'!I12</f>
        <v>5</v>
      </c>
      <c r="I112" s="7">
        <f>'🖐🏾 Human'!J12</f>
        <v>2</v>
      </c>
    </row>
    <row r="113">
      <c r="A113" s="95" t="str">
        <f>'🖐🏾 Human'!$A$12</f>
        <v>http://elpais.com/ccaa/2019/07/16/catalunya/1563306455_802927.html</v>
      </c>
      <c r="B113" s="6" t="s">
        <v>15</v>
      </c>
      <c r="C113" s="7" t="str">
        <f>'🖐🏾 Human'!C13</f>
        <v>Jeremy</v>
      </c>
      <c r="D113" s="93">
        <f>'🖐🏾 Human'!E13</f>
        <v>0.1822323462</v>
      </c>
      <c r="E113" s="7" t="str">
        <f>'🖐🏾 Human'!F13</f>
        <v/>
      </c>
      <c r="F113" s="7" t="str">
        <f>'🖐🏾 Human'!G13</f>
        <v/>
      </c>
      <c r="G113" s="7" t="str">
        <f>'🖐🏾 Human'!H13</f>
        <v/>
      </c>
      <c r="H113" s="7" t="str">
        <f>'🖐🏾 Human'!I13</f>
        <v/>
      </c>
      <c r="I113" s="7" t="str">
        <f>'🖐🏾 Human'!J13</f>
        <v/>
      </c>
    </row>
    <row r="114">
      <c r="A114" s="95" t="str">
        <f>'🖐🏾 Human'!$A$12</f>
        <v>http://elpais.com/ccaa/2019/07/16/catalunya/1563306455_802927.html</v>
      </c>
      <c r="B114" s="6" t="s">
        <v>15</v>
      </c>
      <c r="C114" s="7" t="str">
        <f>'🖐🏾 Human'!C14</f>
        <v>Begoña</v>
      </c>
      <c r="D114" s="93">
        <f>'🖐🏾 Human'!E14</f>
        <v>0.001138952164</v>
      </c>
      <c r="E114" s="7" t="str">
        <f>'🖐🏾 Human'!F14</f>
        <v/>
      </c>
      <c r="F114" s="7" t="str">
        <f>'🖐🏾 Human'!G14</f>
        <v/>
      </c>
      <c r="G114" s="7" t="str">
        <f>'🖐🏾 Human'!H14</f>
        <v/>
      </c>
      <c r="H114" s="7" t="str">
        <f>'🖐🏾 Human'!I14</f>
        <v/>
      </c>
      <c r="I114" s="7" t="str">
        <f>'🖐🏾 Human'!J14</f>
        <v/>
      </c>
    </row>
    <row r="115">
      <c r="A115" s="95" t="str">
        <f>'🖐🏾 Human'!$A$12</f>
        <v>http://elpais.com/ccaa/2019/07/16/catalunya/1563306455_802927.html</v>
      </c>
      <c r="B115" s="6" t="s">
        <v>15</v>
      </c>
      <c r="C115" s="7" t="str">
        <f>'🖐🏾 Human'!C15</f>
        <v>Alba</v>
      </c>
      <c r="D115" s="93">
        <f>'🖐🏾 Human'!E15</f>
        <v>0.001138952164</v>
      </c>
      <c r="E115" s="7" t="str">
        <f>'🖐🏾 Human'!F15</f>
        <v/>
      </c>
      <c r="F115" s="7" t="str">
        <f>'🖐🏾 Human'!G15</f>
        <v/>
      </c>
      <c r="G115" s="7" t="str">
        <f>'🖐🏾 Human'!H15</f>
        <v/>
      </c>
      <c r="H115" s="7" t="str">
        <f>'🖐🏾 Human'!I15</f>
        <v/>
      </c>
      <c r="I115" s="7" t="str">
        <f>'🖐🏾 Human'!J15</f>
        <v/>
      </c>
    </row>
    <row r="116">
      <c r="A116" s="96"/>
      <c r="B116" s="6"/>
      <c r="C116" s="7"/>
      <c r="D116" s="3"/>
      <c r="E116" s="7"/>
      <c r="F116" s="7"/>
      <c r="G116" s="7"/>
      <c r="H116" s="7"/>
      <c r="I116" s="7"/>
    </row>
    <row r="117">
      <c r="A117" s="95" t="str">
        <f>'🖐🏾 Human'!$A$17</f>
        <v>http://elpais.com/elpais/2019/08/02/estilo/1564708605_360745.html</v>
      </c>
      <c r="B117" s="6" t="s">
        <v>15</v>
      </c>
      <c r="C117" s="7" t="str">
        <f>'🖐🏾 Human'!C17</f>
        <v>Heading</v>
      </c>
      <c r="D117" s="93">
        <f>'🖐🏾 Human'!E17</f>
        <v>0.02809706258</v>
      </c>
      <c r="E117" s="7">
        <f>'🖐🏾 Human'!F17</f>
        <v>5</v>
      </c>
      <c r="F117" s="7">
        <f>'🖐🏾 Human'!G17</f>
        <v>5</v>
      </c>
      <c r="G117" s="7">
        <f>'🖐🏾 Human'!H17</f>
        <v>5</v>
      </c>
      <c r="H117" s="7">
        <f>'🖐🏾 Human'!I17</f>
        <v>4</v>
      </c>
      <c r="I117" s="7">
        <f>'🖐🏾 Human'!J17</f>
        <v>1</v>
      </c>
    </row>
    <row r="118">
      <c r="A118" s="95" t="str">
        <f>'🖐🏾 Human'!$A$17</f>
        <v>http://elpais.com/elpais/2019/08/02/estilo/1564708605_360745.html</v>
      </c>
      <c r="B118" s="6" t="s">
        <v>15</v>
      </c>
      <c r="C118" s="7" t="str">
        <f>'🖐🏾 Human'!C18</f>
        <v>Jeremy</v>
      </c>
      <c r="D118" s="93">
        <f>'🖐🏾 Human'!E18</f>
        <v>0.1379310345</v>
      </c>
      <c r="E118" s="7" t="str">
        <f>'🖐🏾 Human'!F18</f>
        <v/>
      </c>
      <c r="F118" s="7" t="str">
        <f>'🖐🏾 Human'!G18</f>
        <v/>
      </c>
      <c r="G118" s="7" t="str">
        <f>'🖐🏾 Human'!H18</f>
        <v/>
      </c>
      <c r="H118" s="7" t="str">
        <f>'🖐🏾 Human'!I18</f>
        <v/>
      </c>
      <c r="I118" s="7" t="str">
        <f>'🖐🏾 Human'!J18</f>
        <v/>
      </c>
    </row>
    <row r="119">
      <c r="A119" s="95" t="str">
        <f>'🖐🏾 Human'!$A$17</f>
        <v>http://elpais.com/elpais/2019/08/02/estilo/1564708605_360745.html</v>
      </c>
      <c r="B119" s="6" t="s">
        <v>15</v>
      </c>
      <c r="C119" s="7" t="str">
        <f>'🖐🏾 Human'!C19</f>
        <v>Begoña</v>
      </c>
      <c r="D119" s="93">
        <f>'🖐🏾 Human'!E19</f>
        <v>0.001277139208</v>
      </c>
      <c r="E119" s="7" t="str">
        <f>'🖐🏾 Human'!F19</f>
        <v/>
      </c>
      <c r="F119" s="7" t="str">
        <f>'🖐🏾 Human'!G19</f>
        <v/>
      </c>
      <c r="G119" s="7" t="str">
        <f>'🖐🏾 Human'!H19</f>
        <v/>
      </c>
      <c r="H119" s="7" t="str">
        <f>'🖐🏾 Human'!I19</f>
        <v/>
      </c>
      <c r="I119" s="7" t="str">
        <f>'🖐🏾 Human'!J19</f>
        <v/>
      </c>
    </row>
    <row r="120">
      <c r="A120" s="95" t="str">
        <f>'🖐🏾 Human'!$A$17</f>
        <v>http://elpais.com/elpais/2019/08/02/estilo/1564708605_360745.html</v>
      </c>
      <c r="B120" s="6" t="s">
        <v>15</v>
      </c>
      <c r="C120" s="7" t="str">
        <f>'🖐🏾 Human'!C20</f>
        <v>Alba</v>
      </c>
      <c r="D120" s="93">
        <f>'🖐🏾 Human'!E20</f>
        <v>0.001277139208</v>
      </c>
      <c r="E120" s="7" t="str">
        <f>'🖐🏾 Human'!F20</f>
        <v/>
      </c>
      <c r="F120" s="7" t="str">
        <f>'🖐🏾 Human'!G20</f>
        <v/>
      </c>
      <c r="G120" s="7" t="str">
        <f>'🖐🏾 Human'!H20</f>
        <v/>
      </c>
      <c r="H120" s="7" t="str">
        <f>'🖐🏾 Human'!I20</f>
        <v/>
      </c>
      <c r="I120" s="7" t="str">
        <f>'🖐🏾 Human'!J20</f>
        <v/>
      </c>
    </row>
    <row r="121">
      <c r="A121" s="96"/>
      <c r="B121" s="6"/>
      <c r="C121" s="7"/>
      <c r="D121" s="3"/>
      <c r="E121" s="7"/>
      <c r="F121" s="7"/>
      <c r="G121" s="7"/>
      <c r="H121" s="7"/>
      <c r="I121" s="7"/>
    </row>
    <row r="122">
      <c r="A122" s="95" t="str">
        <f>'🖐🏾 Human'!$A$22</f>
        <v>http://elpais.com/economia/2019/09/21/actualidad/1569020936_816409.html</v>
      </c>
      <c r="B122" s="6" t="s">
        <v>15</v>
      </c>
      <c r="C122" s="7" t="str">
        <f>'🖐🏾 Human'!C22</f>
        <v>Heading</v>
      </c>
      <c r="D122" s="93">
        <f>'🖐🏾 Human'!E22</f>
        <v>0.02669404517</v>
      </c>
      <c r="E122" s="7">
        <f>'🖐🏾 Human'!F22</f>
        <v>3</v>
      </c>
      <c r="F122" s="7">
        <f>'🖐🏾 Human'!G22</f>
        <v>5</v>
      </c>
      <c r="G122" s="7">
        <f>'🖐🏾 Human'!H22</f>
        <v>5</v>
      </c>
      <c r="H122" s="7">
        <f>'🖐🏾 Human'!I22</f>
        <v>5</v>
      </c>
      <c r="I122" s="7">
        <f>'🖐🏾 Human'!J22</f>
        <v>1</v>
      </c>
    </row>
    <row r="123">
      <c r="A123" s="95" t="str">
        <f>'🖐🏾 Human'!$A$22</f>
        <v>http://elpais.com/economia/2019/09/21/actualidad/1569020936_816409.html</v>
      </c>
      <c r="B123" s="6" t="s">
        <v>15</v>
      </c>
      <c r="C123" s="7" t="str">
        <f>'🖐🏾 Human'!C23</f>
        <v>Jeremy</v>
      </c>
      <c r="D123" s="93">
        <f>'🖐🏾 Human'!E23</f>
        <v>0.1950718686</v>
      </c>
      <c r="E123" s="7" t="str">
        <f>'🖐🏾 Human'!F23</f>
        <v/>
      </c>
      <c r="F123" s="7" t="str">
        <f>'🖐🏾 Human'!G23</f>
        <v/>
      </c>
      <c r="G123" s="7" t="str">
        <f>'🖐🏾 Human'!H23</f>
        <v/>
      </c>
      <c r="H123" s="7" t="str">
        <f>'🖐🏾 Human'!I23</f>
        <v/>
      </c>
      <c r="I123" s="7" t="str">
        <f>'🖐🏾 Human'!J23</f>
        <v/>
      </c>
    </row>
    <row r="124">
      <c r="A124" s="95" t="str">
        <f>'🖐🏾 Human'!$A$22</f>
        <v>http://elpais.com/economia/2019/09/21/actualidad/1569020936_816409.html</v>
      </c>
      <c r="B124" s="6" t="s">
        <v>15</v>
      </c>
      <c r="C124" s="7" t="str">
        <f>'🖐🏾 Human'!C24</f>
        <v>Begoña</v>
      </c>
      <c r="D124" s="93">
        <f>'🖐🏾 Human'!E24</f>
        <v>0.00205338809</v>
      </c>
      <c r="E124" s="7" t="str">
        <f>'🖐🏾 Human'!F24</f>
        <v/>
      </c>
      <c r="F124" s="7" t="str">
        <f>'🖐🏾 Human'!G24</f>
        <v/>
      </c>
      <c r="G124" s="7" t="str">
        <f>'🖐🏾 Human'!H24</f>
        <v/>
      </c>
      <c r="H124" s="7" t="str">
        <f>'🖐🏾 Human'!I24</f>
        <v/>
      </c>
      <c r="I124" s="7" t="str">
        <f>'🖐🏾 Human'!J24</f>
        <v/>
      </c>
    </row>
    <row r="125">
      <c r="A125" s="95" t="str">
        <f>'🖐🏾 Human'!$A$22</f>
        <v>http://elpais.com/economia/2019/09/21/actualidad/1569020936_816409.html</v>
      </c>
      <c r="B125" s="6" t="s">
        <v>15</v>
      </c>
      <c r="C125" s="7" t="str">
        <f>'🖐🏾 Human'!C25</f>
        <v>Alba</v>
      </c>
      <c r="D125" s="93">
        <f>'🖐🏾 Human'!E25</f>
        <v>0.00205338809</v>
      </c>
      <c r="E125" s="7" t="str">
        <f>'🖐🏾 Human'!F25</f>
        <v/>
      </c>
      <c r="F125" s="7" t="str">
        <f>'🖐🏾 Human'!G25</f>
        <v/>
      </c>
      <c r="G125" s="7" t="str">
        <f>'🖐🏾 Human'!H25</f>
        <v/>
      </c>
      <c r="H125" s="7" t="str">
        <f>'🖐🏾 Human'!I25</f>
        <v/>
      </c>
      <c r="I125" s="7" t="str">
        <f>'🖐🏾 Human'!J25</f>
        <v/>
      </c>
    </row>
    <row r="126">
      <c r="A126" s="94"/>
      <c r="B126" s="6"/>
      <c r="C126" s="7"/>
      <c r="D126" s="3"/>
      <c r="E126" s="7"/>
      <c r="F126" s="7"/>
      <c r="G126" s="7"/>
      <c r="H126" s="7"/>
      <c r="I126" s="7"/>
    </row>
    <row r="127">
      <c r="A127" s="92" t="str">
        <f>'🖐🏾 Human'!A27</f>
        <v>http://elpais.com/deportes/2019/10/21/actualidad/1571642413_763865.html</v>
      </c>
      <c r="B127" s="6" t="s">
        <v>15</v>
      </c>
      <c r="C127" s="7" t="str">
        <f>'🖐🏾 Human'!C27</f>
        <v>Heading</v>
      </c>
      <c r="D127" s="93">
        <f>'🖐🏾 Human'!E27</f>
        <v>0.02959501558</v>
      </c>
      <c r="E127" s="7">
        <f>'🖐🏾 Human'!F27</f>
        <v>4</v>
      </c>
      <c r="F127" s="7">
        <f>'🖐🏾 Human'!G27</f>
        <v>5</v>
      </c>
      <c r="G127" s="7">
        <f>'🖐🏾 Human'!H27</f>
        <v>5</v>
      </c>
      <c r="H127" s="7">
        <f>'🖐🏾 Human'!I27</f>
        <v>5</v>
      </c>
      <c r="I127" s="7">
        <f>'🖐🏾 Human'!J27</f>
        <v>2</v>
      </c>
    </row>
    <row r="128">
      <c r="A128" s="94"/>
      <c r="B128" s="6"/>
      <c r="C128" s="7"/>
      <c r="D128" s="3"/>
      <c r="E128" s="7"/>
      <c r="F128" s="7"/>
      <c r="G128" s="7"/>
      <c r="H128" s="7"/>
      <c r="I128" s="7"/>
    </row>
    <row r="129">
      <c r="A129" s="94"/>
      <c r="C129" s="7"/>
      <c r="D129" s="3"/>
      <c r="E129" s="3"/>
      <c r="F129" s="3"/>
      <c r="G129" s="3"/>
      <c r="H129" s="3"/>
      <c r="I129" s="3"/>
    </row>
    <row r="130">
      <c r="A130" s="92" t="str">
        <f>'🤖 Llama-3.1-70b-instruct'!$A$2</f>
        <v>http://elpais.com/ccaa/2019/08/01/catalunya/1564677368_810398.html</v>
      </c>
      <c r="B130" s="10" t="s">
        <v>27</v>
      </c>
      <c r="C130" s="7" t="str">
        <f>'🤖 Llama-3.1-70b-instruct'!C2</f>
        <v>Base</v>
      </c>
      <c r="D130" s="93">
        <f>'🤖 Llama-3.1-70b-instruct'!E2</f>
        <v>0.1794285714</v>
      </c>
      <c r="E130" s="3">
        <f>'🤖 Llama-3.1-70b-instruct'!F2</f>
        <v>5</v>
      </c>
      <c r="F130" s="3">
        <f>'🤖 Llama-3.1-70b-instruct'!G2</f>
        <v>5</v>
      </c>
      <c r="G130" s="3">
        <f>'🤖 Llama-3.1-70b-instruct'!H2</f>
        <v>5</v>
      </c>
      <c r="H130" s="3">
        <f>'🤖 Llama-3.1-70b-instruct'!I2</f>
        <v>4</v>
      </c>
      <c r="I130" s="3">
        <f>'🤖 Llama-3.1-70b-instruct'!J2</f>
        <v>4</v>
      </c>
    </row>
    <row r="131">
      <c r="A131" s="92" t="str">
        <f>'🤖 Llama-3.1-70b-instruct'!$A$2</f>
        <v>http://elpais.com/ccaa/2019/08/01/catalunya/1564677368_810398.html</v>
      </c>
      <c r="B131" s="10" t="s">
        <v>27</v>
      </c>
      <c r="C131" s="7" t="str">
        <f>'🤖 Llama-3.1-70b-instruct'!C3</f>
        <v>CoT</v>
      </c>
      <c r="D131" s="93">
        <f>'🤖 Llama-3.1-70b-instruct'!E3</f>
        <v>0.2857142857</v>
      </c>
      <c r="E131" s="3">
        <f>'🤖 Llama-3.1-70b-instruct'!F3</f>
        <v>3</v>
      </c>
      <c r="F131" s="3">
        <f>'🤖 Llama-3.1-70b-instruct'!G3</f>
        <v>5</v>
      </c>
      <c r="G131" s="3">
        <f>'🤖 Llama-3.1-70b-instruct'!H3</f>
        <v>5</v>
      </c>
      <c r="H131" s="3">
        <f>'🤖 Llama-3.1-70b-instruct'!I3</f>
        <v>3</v>
      </c>
      <c r="I131" s="3">
        <f>'🤖 Llama-3.1-70b-instruct'!J3</f>
        <v>4</v>
      </c>
    </row>
    <row r="132">
      <c r="A132" s="92" t="str">
        <f>'🤖 Llama-3.1-70b-instruct'!$A$2</f>
        <v>http://elpais.com/ccaa/2019/08/01/catalunya/1564677368_810398.html</v>
      </c>
      <c r="B132" s="10" t="s">
        <v>27</v>
      </c>
      <c r="C132" s="7" t="str">
        <f>'🤖 Llama-3.1-70b-instruct'!C4</f>
        <v>5W1H</v>
      </c>
      <c r="D132" s="93">
        <f>'🤖 Llama-3.1-70b-instruct'!E4</f>
        <v>0.3257142857</v>
      </c>
      <c r="E132" s="3">
        <f>'🤖 Llama-3.1-70b-instruct'!F4</f>
        <v>3</v>
      </c>
      <c r="F132" s="3">
        <f>'🤖 Llama-3.1-70b-instruct'!G4</f>
        <v>5</v>
      </c>
      <c r="G132" s="3">
        <f>'🤖 Llama-3.1-70b-instruct'!H4</f>
        <v>5</v>
      </c>
      <c r="H132" s="3">
        <f>'🤖 Llama-3.1-70b-instruct'!I4</f>
        <v>3</v>
      </c>
      <c r="I132" s="3">
        <f>'🤖 Llama-3.1-70b-instruct'!J4</f>
        <v>4</v>
      </c>
    </row>
    <row r="133">
      <c r="A133" s="92" t="str">
        <f>'🤖 Llama-3.1-70b-instruct'!$A$2</f>
        <v>http://elpais.com/ccaa/2019/08/01/catalunya/1564677368_810398.html</v>
      </c>
      <c r="B133" s="10" t="s">
        <v>27</v>
      </c>
      <c r="C133" s="7" t="str">
        <f>'🤖 Llama-3.1-70b-instruct'!C5</f>
        <v>tldr</v>
      </c>
      <c r="D133" s="93">
        <f>'🤖 Llama-3.1-70b-instruct'!E5</f>
        <v>0.1097142857</v>
      </c>
      <c r="E133" s="3">
        <f>'🤖 Llama-3.1-70b-instruct'!F5</f>
        <v>4</v>
      </c>
      <c r="F133" s="3">
        <f>'🤖 Llama-3.1-70b-instruct'!G5</f>
        <v>5</v>
      </c>
      <c r="G133" s="3">
        <f>'🤖 Llama-3.1-70b-instruct'!H5</f>
        <v>5</v>
      </c>
      <c r="H133" s="3">
        <f>'🤖 Llama-3.1-70b-instruct'!I5</f>
        <v>5</v>
      </c>
      <c r="I133" s="3">
        <f>'🤖 Llama-3.1-70b-instruct'!J5</f>
        <v>3</v>
      </c>
    </row>
    <row r="134">
      <c r="A134" s="94"/>
      <c r="C134" s="7"/>
      <c r="D134" s="3"/>
      <c r="E134" s="3"/>
      <c r="F134" s="3"/>
      <c r="G134" s="3"/>
      <c r="H134" s="3"/>
      <c r="I134" s="3"/>
    </row>
    <row r="135">
      <c r="A135" s="92" t="str">
        <f>'🤖 Llama-3.1-70b-instruct'!$A$7</f>
        <v>http://elpais.com/internacional/2019/09/22/mexico/1569184390_537370.html</v>
      </c>
      <c r="B135" s="10" t="s">
        <v>27</v>
      </c>
      <c r="C135" s="7" t="str">
        <f>'🤖 Llama-3.1-70b-instruct'!C7</f>
        <v>Base</v>
      </c>
      <c r="D135" s="93">
        <f>'🤖 Llama-3.1-70b-instruct'!E7</f>
        <v>0.2016908213</v>
      </c>
      <c r="E135" s="3">
        <f>'🤖 Llama-3.1-70b-instruct'!F7</f>
        <v>4</v>
      </c>
      <c r="F135" s="3">
        <f>'🤖 Llama-3.1-70b-instruct'!G7</f>
        <v>5</v>
      </c>
      <c r="G135" s="3">
        <f>'🤖 Llama-3.1-70b-instruct'!H7</f>
        <v>5</v>
      </c>
      <c r="H135" s="3">
        <f>'🤖 Llama-3.1-70b-instruct'!I7</f>
        <v>5</v>
      </c>
      <c r="I135" s="3">
        <f>'🤖 Llama-3.1-70b-instruct'!J7</f>
        <v>4</v>
      </c>
    </row>
    <row r="136">
      <c r="A136" s="92" t="str">
        <f>'🤖 Llama-3.1-70b-instruct'!$A$7</f>
        <v>http://elpais.com/internacional/2019/09/22/mexico/1569184390_537370.html</v>
      </c>
      <c r="B136" s="10" t="s">
        <v>27</v>
      </c>
      <c r="C136" s="7" t="str">
        <f>'🤖 Llama-3.1-70b-instruct'!C8</f>
        <v>CoT</v>
      </c>
      <c r="D136" s="93">
        <f>'🤖 Llama-3.1-70b-instruct'!E8</f>
        <v>0.1847826087</v>
      </c>
      <c r="E136" s="3">
        <f>'🤖 Llama-3.1-70b-instruct'!F8</f>
        <v>3</v>
      </c>
      <c r="F136" s="3">
        <f>'🤖 Llama-3.1-70b-instruct'!G8</f>
        <v>5</v>
      </c>
      <c r="G136" s="3">
        <f>'🤖 Llama-3.1-70b-instruct'!H8</f>
        <v>5</v>
      </c>
      <c r="H136" s="3">
        <f>'🤖 Llama-3.1-70b-instruct'!I8</f>
        <v>3</v>
      </c>
      <c r="I136" s="3">
        <f>'🤖 Llama-3.1-70b-instruct'!J8</f>
        <v>3</v>
      </c>
    </row>
    <row r="137">
      <c r="A137" s="92" t="str">
        <f>'🤖 Llama-3.1-70b-instruct'!$A$7</f>
        <v>http://elpais.com/internacional/2019/09/22/mexico/1569184390_537370.html</v>
      </c>
      <c r="B137" s="10" t="s">
        <v>27</v>
      </c>
      <c r="C137" s="7" t="str">
        <f>'🤖 Llama-3.1-70b-instruct'!C9</f>
        <v>5W1H</v>
      </c>
      <c r="D137" s="93">
        <f>'🤖 Llama-3.1-70b-instruct'!E9</f>
        <v>0.2439613527</v>
      </c>
      <c r="E137" s="3">
        <f>'🤖 Llama-3.1-70b-instruct'!F9</f>
        <v>3</v>
      </c>
      <c r="F137" s="3">
        <f>'🤖 Llama-3.1-70b-instruct'!G9</f>
        <v>5</v>
      </c>
      <c r="G137" s="3">
        <f>'🤖 Llama-3.1-70b-instruct'!H9</f>
        <v>5</v>
      </c>
      <c r="H137" s="3">
        <f>'🤖 Llama-3.1-70b-instruct'!I9</f>
        <v>3</v>
      </c>
      <c r="I137" s="3">
        <f>'🤖 Llama-3.1-70b-instruct'!J9</f>
        <v>3</v>
      </c>
    </row>
    <row r="138">
      <c r="A138" s="92" t="str">
        <f>'🤖 Llama-3.1-70b-instruct'!$A$7</f>
        <v>http://elpais.com/internacional/2019/09/22/mexico/1569184390_537370.html</v>
      </c>
      <c r="B138" s="10" t="s">
        <v>27</v>
      </c>
      <c r="C138" s="7" t="str">
        <f>'🤖 Llama-3.1-70b-instruct'!C10</f>
        <v>tldr</v>
      </c>
      <c r="D138" s="93">
        <f>'🤖 Llama-3.1-70b-instruct'!E10</f>
        <v>0.1074879227</v>
      </c>
      <c r="E138" s="3">
        <f>'🤖 Llama-3.1-70b-instruct'!F10</f>
        <v>4</v>
      </c>
      <c r="F138" s="3">
        <f>'🤖 Llama-3.1-70b-instruct'!G10</f>
        <v>5</v>
      </c>
      <c r="G138" s="3">
        <f>'🤖 Llama-3.1-70b-instruct'!H10</f>
        <v>5</v>
      </c>
      <c r="H138" s="3">
        <f>'🤖 Llama-3.1-70b-instruct'!I10</f>
        <v>5</v>
      </c>
      <c r="I138" s="3">
        <f>'🤖 Llama-3.1-70b-instruct'!J10</f>
        <v>3</v>
      </c>
    </row>
    <row r="139">
      <c r="A139" s="94"/>
      <c r="C139" s="7"/>
      <c r="D139" s="3"/>
      <c r="E139" s="3"/>
      <c r="F139" s="3"/>
      <c r="G139" s="3"/>
      <c r="H139" s="3"/>
      <c r="I139" s="3"/>
    </row>
    <row r="140">
      <c r="A140" s="92" t="str">
        <f>'🤖 Llama-3.1-70b-instruct'!$A$12</f>
        <v>http://elpais.com/ccaa/2019/07/16/catalunya/1563306455_802927.html</v>
      </c>
      <c r="B140" s="10" t="s">
        <v>27</v>
      </c>
      <c r="C140" s="7" t="str">
        <f>'🤖 Llama-3.1-70b-instruct'!C12</f>
        <v>Base</v>
      </c>
      <c r="D140" s="93">
        <f>'🤖 Llama-3.1-70b-instruct'!E12</f>
        <v>0.1753986333</v>
      </c>
      <c r="E140" s="3">
        <f>'🤖 Llama-3.1-70b-instruct'!F12</f>
        <v>5</v>
      </c>
      <c r="F140" s="3">
        <f>'🤖 Llama-3.1-70b-instruct'!G12</f>
        <v>5</v>
      </c>
      <c r="G140" s="3">
        <f>'🤖 Llama-3.1-70b-instruct'!H12</f>
        <v>5</v>
      </c>
      <c r="H140" s="3">
        <f>'🤖 Llama-3.1-70b-instruct'!I12</f>
        <v>5</v>
      </c>
      <c r="I140" s="3">
        <f>'🤖 Llama-3.1-70b-instruct'!J12</f>
        <v>4</v>
      </c>
    </row>
    <row r="141">
      <c r="A141" s="92" t="str">
        <f>'🤖 Llama-3.1-70b-instruct'!$A$12</f>
        <v>http://elpais.com/ccaa/2019/07/16/catalunya/1563306455_802927.html</v>
      </c>
      <c r="B141" s="10" t="s">
        <v>27</v>
      </c>
      <c r="C141" s="7" t="str">
        <f>'🤖 Llama-3.1-70b-instruct'!C13</f>
        <v>CoT</v>
      </c>
      <c r="D141" s="93">
        <f>'🤖 Llama-3.1-70b-instruct'!E13</f>
        <v>0.1560364465</v>
      </c>
      <c r="E141" s="3">
        <f>'🤖 Llama-3.1-70b-instruct'!F13</f>
        <v>3</v>
      </c>
      <c r="F141" s="3">
        <f>'🤖 Llama-3.1-70b-instruct'!G13</f>
        <v>5</v>
      </c>
      <c r="G141" s="3">
        <f>'🤖 Llama-3.1-70b-instruct'!H13</f>
        <v>5</v>
      </c>
      <c r="H141" s="3">
        <f>'🤖 Llama-3.1-70b-instruct'!I13</f>
        <v>3</v>
      </c>
      <c r="I141" s="3">
        <f>'🤖 Llama-3.1-70b-instruct'!J13</f>
        <v>4</v>
      </c>
    </row>
    <row r="142">
      <c r="A142" s="92" t="str">
        <f>'🤖 Llama-3.1-70b-instruct'!$A$12</f>
        <v>http://elpais.com/ccaa/2019/07/16/catalunya/1563306455_802927.html</v>
      </c>
      <c r="B142" s="10" t="s">
        <v>27</v>
      </c>
      <c r="C142" s="7" t="str">
        <f>'🤖 Llama-3.1-70b-instruct'!C14</f>
        <v>5W1H</v>
      </c>
      <c r="D142" s="93">
        <f>'🤖 Llama-3.1-70b-instruct'!E14</f>
        <v>0.228929385</v>
      </c>
      <c r="E142" s="3">
        <f>'🤖 Llama-3.1-70b-instruct'!F14</f>
        <v>3</v>
      </c>
      <c r="F142" s="3">
        <f>'🤖 Llama-3.1-70b-instruct'!G14</f>
        <v>3</v>
      </c>
      <c r="G142" s="3">
        <f>'🤖 Llama-3.1-70b-instruct'!H14</f>
        <v>5</v>
      </c>
      <c r="H142" s="3">
        <f>'🤖 Llama-3.1-70b-instruct'!I14</f>
        <v>4</v>
      </c>
      <c r="I142" s="3">
        <f>'🤖 Llama-3.1-70b-instruct'!J14</f>
        <v>4</v>
      </c>
    </row>
    <row r="143">
      <c r="A143" s="92" t="str">
        <f>'🤖 Llama-3.1-70b-instruct'!$A$12</f>
        <v>http://elpais.com/ccaa/2019/07/16/catalunya/1563306455_802927.html</v>
      </c>
      <c r="B143" s="10" t="s">
        <v>27</v>
      </c>
      <c r="C143" s="7" t="str">
        <f>'🤖 Llama-3.1-70b-instruct'!C15</f>
        <v>tldr</v>
      </c>
      <c r="D143" s="93">
        <f>'🤖 Llama-3.1-70b-instruct'!E15</f>
        <v>0.1423690205</v>
      </c>
      <c r="E143" s="3">
        <f>'🤖 Llama-3.1-70b-instruct'!F15</f>
        <v>5</v>
      </c>
      <c r="F143" s="3">
        <f>'🤖 Llama-3.1-70b-instruct'!G15</f>
        <v>2</v>
      </c>
      <c r="G143" s="3">
        <f>'🤖 Llama-3.1-70b-instruct'!H15</f>
        <v>5</v>
      </c>
      <c r="H143" s="3">
        <f>'🤖 Llama-3.1-70b-instruct'!I15</f>
        <v>5</v>
      </c>
      <c r="I143" s="3">
        <f>'🤖 Llama-3.1-70b-instruct'!J15</f>
        <v>3</v>
      </c>
    </row>
    <row r="144">
      <c r="A144" s="94"/>
      <c r="C144" s="7"/>
      <c r="D144" s="3"/>
      <c r="E144" s="3"/>
      <c r="F144" s="3"/>
      <c r="G144" s="3"/>
      <c r="H144" s="3"/>
      <c r="I144" s="3"/>
    </row>
    <row r="145">
      <c r="A145" s="92" t="str">
        <f>'🤖 Llama-3.1-70b-instruct'!$A$17</f>
        <v>http://elpais.com/elpais/2019/08/02/estilo/1564708605_360745.html</v>
      </c>
      <c r="B145" s="10" t="s">
        <v>27</v>
      </c>
      <c r="C145" s="7" t="str">
        <f>'🤖 Llama-3.1-70b-instruct'!C17</f>
        <v>Base</v>
      </c>
      <c r="D145" s="93">
        <f>'🤖 Llama-3.1-70b-instruct'!E17</f>
        <v>0.183908046</v>
      </c>
      <c r="E145" s="3">
        <f>'🤖 Llama-3.1-70b-instruct'!F17</f>
        <v>5</v>
      </c>
      <c r="F145" s="3">
        <f>'🤖 Llama-3.1-70b-instruct'!G17</f>
        <v>5</v>
      </c>
      <c r="G145" s="3">
        <f>'🤖 Llama-3.1-70b-instruct'!H17</f>
        <v>5</v>
      </c>
      <c r="H145" s="3">
        <f>'🤖 Llama-3.1-70b-instruct'!I17</f>
        <v>5</v>
      </c>
      <c r="I145" s="3">
        <f>'🤖 Llama-3.1-70b-instruct'!J17</f>
        <v>5</v>
      </c>
    </row>
    <row r="146">
      <c r="A146" s="92" t="str">
        <f>'🤖 Llama-3.1-70b-instruct'!$A$17</f>
        <v>http://elpais.com/elpais/2019/08/02/estilo/1564708605_360745.html</v>
      </c>
      <c r="B146" s="10" t="s">
        <v>27</v>
      </c>
      <c r="C146" s="7" t="str">
        <f>'🤖 Llama-3.1-70b-instruct'!C18</f>
        <v>CoT</v>
      </c>
      <c r="D146" s="93">
        <f>'🤖 Llama-3.1-70b-instruct'!E18</f>
        <v>0.2669220945</v>
      </c>
      <c r="E146" s="3">
        <f>'🤖 Llama-3.1-70b-instruct'!F18</f>
        <v>3</v>
      </c>
      <c r="F146" s="3">
        <f>'🤖 Llama-3.1-70b-instruct'!G18</f>
        <v>5</v>
      </c>
      <c r="G146" s="3">
        <f>'🤖 Llama-3.1-70b-instruct'!H18</f>
        <v>5</v>
      </c>
      <c r="H146" s="3">
        <f>'🤖 Llama-3.1-70b-instruct'!I18</f>
        <v>3</v>
      </c>
      <c r="I146" s="3">
        <f>'🤖 Llama-3.1-70b-instruct'!J18</f>
        <v>5</v>
      </c>
    </row>
    <row r="147">
      <c r="A147" s="92" t="str">
        <f>'🤖 Llama-3.1-70b-instruct'!$A$17</f>
        <v>http://elpais.com/elpais/2019/08/02/estilo/1564708605_360745.html</v>
      </c>
      <c r="B147" s="10" t="s">
        <v>27</v>
      </c>
      <c r="C147" s="7" t="str">
        <f>'🤖 Llama-3.1-70b-instruct'!C19</f>
        <v>5W1H</v>
      </c>
      <c r="D147" s="93">
        <f>'🤖 Llama-3.1-70b-instruct'!E19</f>
        <v>0.2528735632</v>
      </c>
      <c r="E147" s="3">
        <f>'🤖 Llama-3.1-70b-instruct'!F19</f>
        <v>3</v>
      </c>
      <c r="F147" s="3">
        <f>'🤖 Llama-3.1-70b-instruct'!G19</f>
        <v>5</v>
      </c>
      <c r="G147" s="3">
        <f>'🤖 Llama-3.1-70b-instruct'!H19</f>
        <v>5</v>
      </c>
      <c r="H147" s="3">
        <f>'🤖 Llama-3.1-70b-instruct'!I19</f>
        <v>5</v>
      </c>
      <c r="I147" s="3">
        <f>'🤖 Llama-3.1-70b-instruct'!J19</f>
        <v>5</v>
      </c>
    </row>
    <row r="148">
      <c r="A148" s="92" t="str">
        <f>'🤖 Llama-3.1-70b-instruct'!$A$17</f>
        <v>http://elpais.com/elpais/2019/08/02/estilo/1564708605_360745.html</v>
      </c>
      <c r="B148" s="10" t="s">
        <v>27</v>
      </c>
      <c r="C148" s="7" t="str">
        <f>'🤖 Llama-3.1-70b-instruct'!C20</f>
        <v>tldr</v>
      </c>
      <c r="D148" s="93">
        <f>'🤖 Llama-3.1-70b-instruct'!E20</f>
        <v>0.1583652618</v>
      </c>
      <c r="E148" s="3">
        <f>'🤖 Llama-3.1-70b-instruct'!F20</f>
        <v>5</v>
      </c>
      <c r="F148" s="3">
        <f>'🤖 Llama-3.1-70b-instruct'!G20</f>
        <v>5</v>
      </c>
      <c r="G148" s="3">
        <f>'🤖 Llama-3.1-70b-instruct'!H20</f>
        <v>5</v>
      </c>
      <c r="H148" s="3">
        <f>'🤖 Llama-3.1-70b-instruct'!I20</f>
        <v>5</v>
      </c>
      <c r="I148" s="3">
        <f>'🤖 Llama-3.1-70b-instruct'!J20</f>
        <v>5</v>
      </c>
    </row>
    <row r="149">
      <c r="A149" s="94"/>
      <c r="C149" s="7"/>
      <c r="D149" s="3"/>
      <c r="E149" s="3"/>
      <c r="F149" s="3"/>
      <c r="G149" s="3"/>
      <c r="H149" s="3"/>
      <c r="I149" s="3"/>
    </row>
    <row r="150">
      <c r="A150" s="92" t="str">
        <f>'🤖 Llama-3.1-70b-instruct'!$A$22</f>
        <v>http://elpais.com/economia/2019/09/21/actualidad/1569020936_816409.html</v>
      </c>
      <c r="B150" s="10" t="s">
        <v>27</v>
      </c>
      <c r="C150" s="7" t="str">
        <f>'🤖 Llama-3.1-70b-instruct'!C22</f>
        <v>Base</v>
      </c>
      <c r="D150" s="93">
        <f>'🤖 Llama-3.1-70b-instruct'!E22</f>
        <v>0.2484599589</v>
      </c>
      <c r="E150" s="3">
        <f>'🤖 Llama-3.1-70b-instruct'!F22</f>
        <v>4</v>
      </c>
      <c r="F150" s="3">
        <f>'🤖 Llama-3.1-70b-instruct'!G22</f>
        <v>5</v>
      </c>
      <c r="G150" s="3">
        <f>'🤖 Llama-3.1-70b-instruct'!H22</f>
        <v>5</v>
      </c>
      <c r="H150" s="3">
        <f>'🤖 Llama-3.1-70b-instruct'!I22</f>
        <v>5</v>
      </c>
      <c r="I150" s="3">
        <f>'🤖 Llama-3.1-70b-instruct'!J22</f>
        <v>5</v>
      </c>
    </row>
    <row r="151">
      <c r="A151" s="92" t="str">
        <f>'🤖 Llama-3.1-70b-instruct'!$A$22</f>
        <v>http://elpais.com/economia/2019/09/21/actualidad/1569020936_816409.html</v>
      </c>
      <c r="B151" s="10" t="s">
        <v>27</v>
      </c>
      <c r="C151" s="7" t="str">
        <f>'🤖 Llama-3.1-70b-instruct'!C23</f>
        <v>CoT</v>
      </c>
      <c r="D151" s="93">
        <f>'🤖 Llama-3.1-70b-instruct'!E23</f>
        <v>0.3347022587</v>
      </c>
      <c r="E151" s="3">
        <f>'🤖 Llama-3.1-70b-instruct'!F23</f>
        <v>3</v>
      </c>
      <c r="F151" s="3">
        <f>'🤖 Llama-3.1-70b-instruct'!G23</f>
        <v>5</v>
      </c>
      <c r="G151" s="3">
        <f>'🤖 Llama-3.1-70b-instruct'!H23</f>
        <v>5</v>
      </c>
      <c r="H151" s="3">
        <f>'🤖 Llama-3.1-70b-instruct'!I23</f>
        <v>4</v>
      </c>
      <c r="I151" s="3">
        <f>'🤖 Llama-3.1-70b-instruct'!J23</f>
        <v>5</v>
      </c>
    </row>
    <row r="152">
      <c r="A152" s="92" t="str">
        <f>'🤖 Llama-3.1-70b-instruct'!$A$22</f>
        <v>http://elpais.com/economia/2019/09/21/actualidad/1569020936_816409.html</v>
      </c>
      <c r="B152" s="10" t="s">
        <v>27</v>
      </c>
      <c r="C152" s="7" t="str">
        <f>'🤖 Llama-3.1-70b-instruct'!C24</f>
        <v>5W1H</v>
      </c>
      <c r="D152" s="93">
        <f>'🤖 Llama-3.1-70b-instruct'!E24</f>
        <v>0.4004106776</v>
      </c>
      <c r="E152" s="3">
        <f>'🤖 Llama-3.1-70b-instruct'!F24</f>
        <v>3</v>
      </c>
      <c r="F152" s="3">
        <f>'🤖 Llama-3.1-70b-instruct'!G24</f>
        <v>5</v>
      </c>
      <c r="G152" s="3">
        <f>'🤖 Llama-3.1-70b-instruct'!H24</f>
        <v>5</v>
      </c>
      <c r="H152" s="3">
        <f>'🤖 Llama-3.1-70b-instruct'!I24</f>
        <v>3</v>
      </c>
      <c r="I152" s="3">
        <f>'🤖 Llama-3.1-70b-instruct'!J24</f>
        <v>5</v>
      </c>
    </row>
    <row r="153">
      <c r="A153" s="92" t="str">
        <f>'🤖 Llama-3.1-70b-instruct'!$A$22</f>
        <v>http://elpais.com/economia/2019/09/21/actualidad/1569020936_816409.html</v>
      </c>
      <c r="B153" s="10" t="s">
        <v>27</v>
      </c>
      <c r="C153" s="7" t="str">
        <f>'🤖 Llama-3.1-70b-instruct'!C25</f>
        <v>tldr</v>
      </c>
      <c r="D153" s="93">
        <f>'🤖 Llama-3.1-70b-instruct'!E25</f>
        <v>0.09445585216</v>
      </c>
      <c r="E153" s="3">
        <f>'🤖 Llama-3.1-70b-instruct'!F25</f>
        <v>4</v>
      </c>
      <c r="F153" s="3">
        <f>'🤖 Llama-3.1-70b-instruct'!G25</f>
        <v>5</v>
      </c>
      <c r="G153" s="3">
        <f>'🤖 Llama-3.1-70b-instruct'!H25</f>
        <v>5</v>
      </c>
      <c r="H153" s="3">
        <f>'🤖 Llama-3.1-70b-instruct'!I25</f>
        <v>5</v>
      </c>
      <c r="I153" s="3">
        <f>'🤖 Llama-3.1-70b-instruct'!J25</f>
        <v>3</v>
      </c>
    </row>
    <row r="154">
      <c r="C154" s="7"/>
      <c r="D154" s="3"/>
      <c r="E154" s="3"/>
      <c r="F154" s="3"/>
      <c r="G154" s="3"/>
      <c r="H154" s="3"/>
      <c r="I154" s="3"/>
    </row>
    <row r="155">
      <c r="A155" s="94"/>
      <c r="C155" s="7"/>
      <c r="D155" s="3"/>
      <c r="E155" s="3"/>
      <c r="F155" s="3"/>
      <c r="G155" s="3"/>
      <c r="H155" s="3"/>
      <c r="I155" s="3"/>
    </row>
    <row r="156">
      <c r="A156" s="94"/>
      <c r="C156" s="7"/>
      <c r="D156" s="3"/>
      <c r="E156" s="3"/>
      <c r="F156" s="3"/>
      <c r="G156" s="3"/>
      <c r="H156" s="3"/>
      <c r="I156" s="3"/>
    </row>
    <row r="157">
      <c r="A157" s="94"/>
      <c r="C157" s="7"/>
      <c r="D157" s="3"/>
      <c r="E157" s="3"/>
      <c r="F157" s="3"/>
      <c r="G157" s="3"/>
      <c r="H157" s="3"/>
      <c r="I157" s="3"/>
    </row>
    <row r="158">
      <c r="A158" s="94"/>
      <c r="C158" s="7"/>
      <c r="D158" s="3"/>
      <c r="E158" s="3"/>
      <c r="F158" s="3"/>
      <c r="G158" s="3"/>
      <c r="H158" s="3"/>
      <c r="I158" s="3"/>
    </row>
    <row r="159">
      <c r="A159" s="94"/>
      <c r="C159" s="7"/>
      <c r="D159" s="3"/>
      <c r="E159" s="3"/>
      <c r="F159" s="3"/>
      <c r="G159" s="3"/>
      <c r="H159" s="3"/>
      <c r="I159" s="3"/>
    </row>
    <row r="160">
      <c r="A160" s="94"/>
      <c r="C160" s="7"/>
      <c r="D160" s="3"/>
      <c r="E160" s="3"/>
      <c r="F160" s="3"/>
      <c r="G160" s="3"/>
      <c r="H160" s="3"/>
      <c r="I160" s="3"/>
    </row>
    <row r="161">
      <c r="A161" s="94"/>
      <c r="B161" s="3"/>
    </row>
    <row r="162">
      <c r="A162" s="94"/>
      <c r="B162" s="3"/>
    </row>
    <row r="163">
      <c r="A163" s="94"/>
      <c r="B163" s="3"/>
    </row>
    <row r="164">
      <c r="A164" s="94"/>
      <c r="B164" s="3"/>
    </row>
    <row r="165">
      <c r="A165" s="94"/>
      <c r="B165" s="3"/>
    </row>
    <row r="166">
      <c r="A166" s="94"/>
      <c r="B166" s="3"/>
    </row>
    <row r="167">
      <c r="A167" s="94"/>
      <c r="B167" s="3"/>
    </row>
    <row r="168">
      <c r="A168" s="94"/>
      <c r="B168" s="3"/>
    </row>
    <row r="169">
      <c r="A169" s="94"/>
      <c r="B169" s="3"/>
    </row>
    <row r="170">
      <c r="A170" s="94"/>
      <c r="B170" s="3"/>
    </row>
    <row r="171">
      <c r="A171" s="94"/>
      <c r="B171" s="3"/>
    </row>
    <row r="172">
      <c r="A172" s="94"/>
      <c r="B172" s="3"/>
    </row>
    <row r="173">
      <c r="A173" s="94"/>
      <c r="B173" s="3"/>
    </row>
    <row r="174">
      <c r="A174" s="94"/>
      <c r="B174" s="3"/>
    </row>
    <row r="175">
      <c r="A175" s="94"/>
      <c r="B175" s="3"/>
    </row>
    <row r="176">
      <c r="A176" s="94"/>
      <c r="B176" s="3"/>
    </row>
    <row r="177">
      <c r="A177" s="94"/>
      <c r="B177" s="3"/>
    </row>
    <row r="178">
      <c r="A178" s="94"/>
      <c r="B178" s="3"/>
    </row>
    <row r="179">
      <c r="A179" s="94"/>
      <c r="B179" s="3"/>
    </row>
    <row r="180">
      <c r="A180" s="94"/>
      <c r="B180" s="3"/>
    </row>
    <row r="181">
      <c r="A181" s="94"/>
      <c r="B181" s="3"/>
    </row>
    <row r="182">
      <c r="A182" s="94"/>
      <c r="B182" s="3"/>
    </row>
    <row r="183">
      <c r="A183" s="94"/>
      <c r="B183" s="3"/>
    </row>
    <row r="184">
      <c r="A184" s="94"/>
      <c r="B184" s="3"/>
    </row>
    <row r="185">
      <c r="A185" s="94"/>
      <c r="B185" s="3"/>
    </row>
    <row r="186">
      <c r="A186" s="94"/>
      <c r="B186" s="3"/>
    </row>
    <row r="187">
      <c r="A187" s="94"/>
      <c r="B187" s="3"/>
    </row>
    <row r="188">
      <c r="A188" s="94"/>
      <c r="B188" s="3"/>
    </row>
    <row r="189">
      <c r="A189" s="94"/>
      <c r="B189" s="3"/>
    </row>
    <row r="190">
      <c r="A190" s="94"/>
      <c r="B190" s="3"/>
    </row>
    <row r="191">
      <c r="A191" s="94"/>
      <c r="B191" s="3"/>
    </row>
    <row r="192">
      <c r="A192" s="94"/>
      <c r="B192" s="3"/>
    </row>
    <row r="193">
      <c r="A193" s="94"/>
      <c r="B193" s="3"/>
    </row>
    <row r="194">
      <c r="A194" s="94"/>
      <c r="B194" s="3"/>
    </row>
    <row r="195">
      <c r="A195" s="94"/>
      <c r="B195" s="3"/>
    </row>
    <row r="196">
      <c r="A196" s="94"/>
      <c r="B196" s="3"/>
    </row>
    <row r="197">
      <c r="A197" s="94"/>
      <c r="B197" s="3"/>
    </row>
    <row r="198">
      <c r="A198" s="94"/>
      <c r="B198" s="3"/>
    </row>
    <row r="199">
      <c r="A199" s="94"/>
      <c r="B199" s="3"/>
    </row>
    <row r="200">
      <c r="A200" s="94"/>
      <c r="B200" s="3"/>
    </row>
    <row r="201">
      <c r="A201" s="94"/>
      <c r="B201" s="3"/>
    </row>
    <row r="202">
      <c r="A202" s="94"/>
      <c r="B202" s="3"/>
    </row>
    <row r="203">
      <c r="A203" s="94"/>
      <c r="B203" s="3"/>
    </row>
    <row r="204">
      <c r="A204" s="94"/>
      <c r="B204" s="3"/>
    </row>
    <row r="205">
      <c r="A205" s="94"/>
      <c r="B205" s="3"/>
    </row>
    <row r="206">
      <c r="A206" s="94"/>
      <c r="B206" s="3"/>
    </row>
    <row r="207">
      <c r="A207" s="94"/>
      <c r="B207" s="3"/>
    </row>
    <row r="208">
      <c r="A208" s="94"/>
      <c r="B208" s="3"/>
    </row>
    <row r="209">
      <c r="A209" s="94"/>
      <c r="B209" s="3"/>
    </row>
    <row r="210">
      <c r="A210" s="94"/>
      <c r="B210" s="3"/>
    </row>
    <row r="211">
      <c r="A211" s="94"/>
      <c r="B211" s="3"/>
    </row>
    <row r="212">
      <c r="A212" s="94"/>
      <c r="B212" s="3"/>
    </row>
    <row r="213">
      <c r="A213" s="94"/>
      <c r="B213" s="3"/>
    </row>
    <row r="214">
      <c r="A214" s="94"/>
      <c r="B214" s="3"/>
    </row>
    <row r="215">
      <c r="A215" s="94"/>
      <c r="B215" s="3"/>
    </row>
    <row r="216">
      <c r="A216" s="94"/>
      <c r="B216" s="3"/>
    </row>
    <row r="217">
      <c r="A217" s="94"/>
      <c r="B217" s="3"/>
    </row>
    <row r="218">
      <c r="A218" s="94"/>
      <c r="B218" s="3"/>
    </row>
    <row r="219">
      <c r="A219" s="94"/>
      <c r="B219" s="3"/>
    </row>
    <row r="220">
      <c r="A220" s="94"/>
      <c r="B220" s="3"/>
    </row>
    <row r="221">
      <c r="A221" s="94"/>
      <c r="B221" s="3"/>
    </row>
    <row r="222">
      <c r="A222" s="94"/>
      <c r="B222" s="3"/>
    </row>
    <row r="223">
      <c r="A223" s="94"/>
      <c r="B223" s="3"/>
    </row>
    <row r="224">
      <c r="A224" s="94"/>
      <c r="B224" s="3"/>
    </row>
    <row r="225">
      <c r="A225" s="94"/>
      <c r="B225" s="3"/>
    </row>
    <row r="226">
      <c r="A226" s="94"/>
      <c r="B226" s="3"/>
    </row>
    <row r="227">
      <c r="A227" s="94"/>
      <c r="B227" s="3"/>
    </row>
    <row r="228">
      <c r="A228" s="94"/>
      <c r="B228" s="3"/>
    </row>
    <row r="229">
      <c r="A229" s="94"/>
      <c r="B229" s="3"/>
    </row>
    <row r="230">
      <c r="A230" s="94"/>
      <c r="B230" s="3"/>
    </row>
    <row r="231">
      <c r="A231" s="94"/>
      <c r="B231" s="3"/>
    </row>
    <row r="232">
      <c r="A232" s="94"/>
      <c r="B232" s="3"/>
    </row>
    <row r="233">
      <c r="A233" s="94"/>
      <c r="B233" s="3"/>
    </row>
    <row r="234">
      <c r="A234" s="94"/>
      <c r="B234" s="3"/>
    </row>
    <row r="235">
      <c r="A235" s="94"/>
      <c r="B235" s="3"/>
    </row>
    <row r="236">
      <c r="A236" s="94"/>
      <c r="B236" s="3"/>
    </row>
    <row r="237">
      <c r="A237" s="94"/>
      <c r="B237" s="3"/>
    </row>
    <row r="238">
      <c r="A238" s="94"/>
      <c r="B238" s="3"/>
    </row>
    <row r="239">
      <c r="A239" s="94"/>
      <c r="B239" s="3"/>
    </row>
    <row r="240">
      <c r="A240" s="94"/>
      <c r="B240" s="3"/>
    </row>
    <row r="241">
      <c r="A241" s="94"/>
      <c r="B241" s="3"/>
    </row>
    <row r="242">
      <c r="A242" s="94"/>
      <c r="B242" s="3"/>
    </row>
    <row r="243">
      <c r="A243" s="94"/>
      <c r="B243" s="3"/>
    </row>
    <row r="244">
      <c r="A244" s="94"/>
      <c r="B244" s="3"/>
    </row>
    <row r="245">
      <c r="A245" s="94"/>
      <c r="B245" s="3"/>
    </row>
    <row r="246">
      <c r="A246" s="94"/>
      <c r="B246" s="3"/>
    </row>
    <row r="247">
      <c r="A247" s="94"/>
      <c r="B247" s="3"/>
    </row>
    <row r="248">
      <c r="A248" s="94"/>
      <c r="B248" s="3"/>
    </row>
    <row r="249">
      <c r="A249" s="94"/>
      <c r="B249" s="3"/>
    </row>
    <row r="250">
      <c r="A250" s="94"/>
      <c r="B250" s="3"/>
    </row>
    <row r="251">
      <c r="A251" s="94"/>
      <c r="B251" s="3"/>
    </row>
    <row r="252">
      <c r="A252" s="94"/>
      <c r="B252" s="3"/>
    </row>
    <row r="253">
      <c r="A253" s="94"/>
      <c r="B253" s="3"/>
    </row>
    <row r="254">
      <c r="A254" s="94"/>
      <c r="B254" s="3"/>
    </row>
    <row r="255">
      <c r="A255" s="94"/>
      <c r="B255" s="3"/>
    </row>
    <row r="256">
      <c r="A256" s="94"/>
      <c r="B256" s="3"/>
    </row>
    <row r="257">
      <c r="A257" s="94"/>
      <c r="B257" s="3"/>
    </row>
    <row r="258">
      <c r="A258" s="94"/>
      <c r="B258" s="3"/>
    </row>
    <row r="259">
      <c r="A259" s="94"/>
      <c r="B259" s="3"/>
    </row>
    <row r="260">
      <c r="A260" s="94"/>
      <c r="B260" s="3"/>
    </row>
    <row r="261">
      <c r="A261" s="94"/>
      <c r="B261" s="3"/>
    </row>
    <row r="262">
      <c r="A262" s="94"/>
      <c r="B262" s="3"/>
    </row>
    <row r="263">
      <c r="A263" s="94"/>
      <c r="B263" s="3"/>
    </row>
    <row r="264">
      <c r="A264" s="94"/>
      <c r="B264" s="3"/>
    </row>
    <row r="265">
      <c r="A265" s="94"/>
      <c r="B265" s="3"/>
    </row>
    <row r="266">
      <c r="A266" s="94"/>
      <c r="B266" s="3"/>
    </row>
    <row r="267">
      <c r="A267" s="94"/>
      <c r="B267" s="3"/>
    </row>
    <row r="268">
      <c r="A268" s="94"/>
      <c r="B268" s="3"/>
    </row>
    <row r="269">
      <c r="A269" s="94"/>
      <c r="B269" s="3"/>
    </row>
    <row r="270">
      <c r="A270" s="94"/>
      <c r="B270" s="3"/>
    </row>
    <row r="271">
      <c r="A271" s="94"/>
      <c r="B271" s="3"/>
    </row>
    <row r="272">
      <c r="A272" s="94"/>
      <c r="B272" s="3"/>
    </row>
    <row r="273">
      <c r="A273" s="94"/>
      <c r="B273" s="3"/>
    </row>
    <row r="274">
      <c r="A274" s="94"/>
      <c r="B274" s="3"/>
    </row>
    <row r="275">
      <c r="A275" s="94"/>
      <c r="B275" s="3"/>
    </row>
    <row r="276">
      <c r="A276" s="94"/>
      <c r="B276" s="3"/>
    </row>
    <row r="277">
      <c r="A277" s="94"/>
      <c r="B277" s="3"/>
    </row>
    <row r="278">
      <c r="A278" s="94"/>
      <c r="B278" s="3"/>
    </row>
    <row r="279">
      <c r="A279" s="94"/>
      <c r="B279" s="3"/>
    </row>
    <row r="280">
      <c r="A280" s="94"/>
      <c r="B280" s="3"/>
    </row>
    <row r="281">
      <c r="A281" s="94"/>
      <c r="B281" s="3"/>
    </row>
    <row r="282">
      <c r="A282" s="94"/>
      <c r="B282" s="3"/>
    </row>
    <row r="283">
      <c r="A283" s="94"/>
      <c r="B283" s="3"/>
    </row>
    <row r="284">
      <c r="A284" s="94"/>
      <c r="B284" s="3"/>
    </row>
    <row r="285">
      <c r="A285" s="94"/>
      <c r="B285" s="3"/>
    </row>
    <row r="286">
      <c r="A286" s="94"/>
      <c r="B286" s="3"/>
    </row>
    <row r="287">
      <c r="A287" s="94"/>
      <c r="B287" s="3"/>
    </row>
    <row r="288">
      <c r="A288" s="94"/>
      <c r="B288" s="3"/>
    </row>
    <row r="289">
      <c r="A289" s="94"/>
      <c r="B289" s="3"/>
    </row>
    <row r="290">
      <c r="A290" s="94"/>
      <c r="B290" s="3"/>
    </row>
    <row r="291">
      <c r="A291" s="94"/>
      <c r="B291" s="3"/>
    </row>
    <row r="292">
      <c r="A292" s="94"/>
      <c r="B292" s="3"/>
    </row>
    <row r="293">
      <c r="A293" s="94"/>
      <c r="B293" s="3"/>
    </row>
    <row r="294">
      <c r="A294" s="94"/>
      <c r="B294" s="3"/>
    </row>
    <row r="295">
      <c r="A295" s="94"/>
      <c r="B295" s="3"/>
    </row>
    <row r="296">
      <c r="A296" s="94"/>
      <c r="B296" s="3"/>
    </row>
    <row r="297">
      <c r="A297" s="94"/>
      <c r="B297" s="3"/>
    </row>
    <row r="298">
      <c r="A298" s="94"/>
      <c r="B298" s="3"/>
    </row>
    <row r="299">
      <c r="A299" s="94"/>
      <c r="B299" s="3"/>
    </row>
    <row r="300">
      <c r="A300" s="94"/>
      <c r="B300" s="3"/>
    </row>
    <row r="301">
      <c r="A301" s="94"/>
      <c r="B301" s="3"/>
    </row>
    <row r="302">
      <c r="A302" s="94"/>
      <c r="B302" s="3"/>
    </row>
    <row r="303">
      <c r="A303" s="94"/>
      <c r="B303" s="3"/>
    </row>
    <row r="304">
      <c r="A304" s="94"/>
      <c r="B304" s="3"/>
    </row>
    <row r="305">
      <c r="A305" s="94"/>
      <c r="B305" s="3"/>
    </row>
    <row r="306">
      <c r="A306" s="94"/>
      <c r="B306" s="3"/>
    </row>
    <row r="307">
      <c r="A307" s="94"/>
      <c r="B307" s="3"/>
    </row>
    <row r="308">
      <c r="A308" s="94"/>
      <c r="B308" s="3"/>
    </row>
    <row r="309">
      <c r="A309" s="94"/>
      <c r="B309" s="3"/>
    </row>
    <row r="310">
      <c r="A310" s="94"/>
      <c r="B310" s="3"/>
    </row>
    <row r="311">
      <c r="A311" s="94"/>
      <c r="B311" s="3"/>
    </row>
    <row r="312">
      <c r="A312" s="94"/>
      <c r="B312" s="3"/>
    </row>
    <row r="313">
      <c r="A313" s="94"/>
      <c r="B313" s="3"/>
    </row>
    <row r="314">
      <c r="A314" s="94"/>
      <c r="B314" s="3"/>
    </row>
    <row r="315">
      <c r="A315" s="94"/>
      <c r="B315" s="3"/>
    </row>
    <row r="316">
      <c r="A316" s="94"/>
      <c r="B316" s="3"/>
    </row>
    <row r="317">
      <c r="A317" s="94"/>
      <c r="B317" s="3"/>
    </row>
    <row r="318">
      <c r="A318" s="94"/>
      <c r="B318" s="3"/>
    </row>
    <row r="319">
      <c r="A319" s="94"/>
      <c r="B319" s="3"/>
    </row>
    <row r="320">
      <c r="A320" s="94"/>
      <c r="B320" s="3"/>
    </row>
    <row r="321">
      <c r="A321" s="94"/>
      <c r="B321" s="3"/>
    </row>
    <row r="322">
      <c r="A322" s="94"/>
      <c r="B322" s="3"/>
    </row>
    <row r="323">
      <c r="A323" s="94"/>
      <c r="B323" s="3"/>
    </row>
    <row r="324">
      <c r="A324" s="94"/>
      <c r="B324" s="3"/>
    </row>
    <row r="325">
      <c r="A325" s="94"/>
      <c r="B325" s="3"/>
    </row>
    <row r="326">
      <c r="A326" s="94"/>
      <c r="B326" s="3"/>
    </row>
    <row r="327">
      <c r="A327" s="94"/>
      <c r="B327" s="3"/>
    </row>
    <row r="328">
      <c r="A328" s="94"/>
      <c r="B328" s="3"/>
    </row>
    <row r="329">
      <c r="A329" s="94"/>
      <c r="B329" s="3"/>
    </row>
    <row r="330">
      <c r="A330" s="94"/>
      <c r="B330" s="3"/>
    </row>
    <row r="331">
      <c r="A331" s="94"/>
      <c r="B331" s="3"/>
    </row>
    <row r="332">
      <c r="A332" s="94"/>
      <c r="B332" s="3"/>
    </row>
    <row r="333">
      <c r="A333" s="94"/>
      <c r="B333" s="3"/>
    </row>
    <row r="334">
      <c r="A334" s="94"/>
      <c r="B334" s="3"/>
    </row>
    <row r="335">
      <c r="A335" s="94"/>
      <c r="B335" s="3"/>
    </row>
    <row r="336">
      <c r="A336" s="94"/>
      <c r="B336" s="3"/>
    </row>
    <row r="337">
      <c r="A337" s="94"/>
      <c r="B337" s="3"/>
    </row>
    <row r="338">
      <c r="A338" s="94"/>
      <c r="B338" s="3"/>
    </row>
    <row r="339">
      <c r="A339" s="94"/>
      <c r="B339" s="3"/>
    </row>
    <row r="340">
      <c r="A340" s="94"/>
      <c r="B340" s="3"/>
    </row>
    <row r="341">
      <c r="A341" s="94"/>
      <c r="B341" s="3"/>
    </row>
    <row r="342">
      <c r="A342" s="94"/>
      <c r="B342" s="3"/>
    </row>
    <row r="343">
      <c r="A343" s="94"/>
      <c r="B343" s="3"/>
    </row>
    <row r="344">
      <c r="A344" s="94"/>
      <c r="B344" s="3"/>
    </row>
    <row r="345">
      <c r="A345" s="94"/>
      <c r="B345" s="3"/>
    </row>
    <row r="346">
      <c r="A346" s="94"/>
      <c r="B346" s="3"/>
    </row>
    <row r="347">
      <c r="A347" s="94"/>
      <c r="B347" s="3"/>
    </row>
    <row r="348">
      <c r="A348" s="94"/>
      <c r="B348" s="3"/>
    </row>
    <row r="349">
      <c r="A349" s="94"/>
      <c r="B349" s="3"/>
    </row>
    <row r="350">
      <c r="A350" s="94"/>
      <c r="B350" s="3"/>
    </row>
    <row r="351">
      <c r="A351" s="94"/>
      <c r="B351" s="3"/>
    </row>
    <row r="352">
      <c r="A352" s="94"/>
      <c r="B352" s="3"/>
    </row>
    <row r="353">
      <c r="A353" s="94"/>
      <c r="B353" s="3"/>
    </row>
    <row r="354">
      <c r="A354" s="94"/>
      <c r="B354" s="3"/>
    </row>
    <row r="355">
      <c r="A355" s="94"/>
      <c r="B355" s="3"/>
    </row>
    <row r="356">
      <c r="A356" s="94"/>
      <c r="B356" s="3"/>
    </row>
    <row r="357">
      <c r="A357" s="94"/>
      <c r="B357" s="3"/>
    </row>
    <row r="358">
      <c r="A358" s="94"/>
      <c r="B358" s="3"/>
    </row>
    <row r="359">
      <c r="A359" s="94"/>
      <c r="B359" s="3"/>
    </row>
    <row r="360">
      <c r="A360" s="94"/>
      <c r="B360" s="3"/>
    </row>
    <row r="361">
      <c r="A361" s="94"/>
      <c r="B361" s="3"/>
    </row>
    <row r="362">
      <c r="A362" s="94"/>
      <c r="B362" s="3"/>
    </row>
    <row r="363">
      <c r="A363" s="94"/>
      <c r="B363" s="3"/>
    </row>
    <row r="364">
      <c r="A364" s="94"/>
      <c r="B364" s="3"/>
    </row>
    <row r="365">
      <c r="A365" s="94"/>
      <c r="B365" s="3"/>
    </row>
    <row r="366">
      <c r="A366" s="94"/>
      <c r="B366" s="3"/>
    </row>
    <row r="367">
      <c r="A367" s="94"/>
      <c r="B367" s="3"/>
    </row>
    <row r="368">
      <c r="A368" s="94"/>
      <c r="B368" s="3"/>
    </row>
    <row r="369">
      <c r="A369" s="94"/>
      <c r="B369" s="3"/>
    </row>
    <row r="370">
      <c r="A370" s="94"/>
      <c r="B370" s="3"/>
    </row>
    <row r="371">
      <c r="A371" s="94"/>
      <c r="B371" s="3"/>
    </row>
    <row r="372">
      <c r="A372" s="94"/>
      <c r="B372" s="3"/>
    </row>
    <row r="373">
      <c r="A373" s="94"/>
      <c r="B373" s="3"/>
    </row>
    <row r="374">
      <c r="A374" s="94"/>
      <c r="B374" s="3"/>
    </row>
    <row r="375">
      <c r="A375" s="94"/>
      <c r="B375" s="3"/>
    </row>
    <row r="376">
      <c r="A376" s="94"/>
      <c r="B376" s="3"/>
    </row>
    <row r="377">
      <c r="A377" s="94"/>
      <c r="B377" s="3"/>
    </row>
    <row r="378">
      <c r="A378" s="94"/>
      <c r="B378" s="3"/>
    </row>
    <row r="379">
      <c r="A379" s="94"/>
      <c r="B379" s="3"/>
    </row>
    <row r="380">
      <c r="A380" s="94"/>
      <c r="B380" s="3"/>
    </row>
    <row r="381">
      <c r="A381" s="94"/>
      <c r="B381" s="3"/>
    </row>
    <row r="382">
      <c r="A382" s="94"/>
      <c r="B382" s="3"/>
    </row>
    <row r="383">
      <c r="A383" s="94"/>
      <c r="B383" s="3"/>
    </row>
    <row r="384">
      <c r="A384" s="94"/>
      <c r="B384" s="3"/>
    </row>
    <row r="385">
      <c r="A385" s="94"/>
      <c r="B385" s="3"/>
    </row>
    <row r="386">
      <c r="A386" s="94"/>
      <c r="B386" s="3"/>
    </row>
    <row r="387">
      <c r="A387" s="94"/>
      <c r="B387" s="3"/>
    </row>
    <row r="388">
      <c r="A388" s="94"/>
      <c r="B388" s="3"/>
    </row>
    <row r="389">
      <c r="A389" s="94"/>
      <c r="B389" s="3"/>
    </row>
    <row r="390">
      <c r="A390" s="94"/>
      <c r="B390" s="3"/>
    </row>
    <row r="391">
      <c r="A391" s="94"/>
      <c r="B391" s="3"/>
    </row>
    <row r="392">
      <c r="A392" s="94"/>
      <c r="B392" s="3"/>
    </row>
    <row r="393">
      <c r="A393" s="94"/>
      <c r="B393" s="3"/>
    </row>
    <row r="394">
      <c r="A394" s="94"/>
      <c r="B394" s="3"/>
    </row>
    <row r="395">
      <c r="A395" s="94"/>
      <c r="B395" s="3"/>
    </row>
    <row r="396">
      <c r="A396" s="94"/>
      <c r="B396" s="3"/>
    </row>
    <row r="397">
      <c r="A397" s="94"/>
      <c r="B397" s="3"/>
    </row>
    <row r="398">
      <c r="A398" s="94"/>
      <c r="B398" s="3"/>
    </row>
    <row r="399">
      <c r="A399" s="94"/>
      <c r="B399" s="3"/>
    </row>
    <row r="400">
      <c r="A400" s="94"/>
      <c r="B400" s="3"/>
    </row>
    <row r="401">
      <c r="A401" s="94"/>
      <c r="B401" s="3"/>
    </row>
    <row r="402">
      <c r="A402" s="94"/>
      <c r="B402" s="3"/>
    </row>
    <row r="403">
      <c r="A403" s="94"/>
      <c r="B403" s="3"/>
    </row>
    <row r="404">
      <c r="A404" s="94"/>
      <c r="B404" s="3"/>
    </row>
    <row r="405">
      <c r="A405" s="94"/>
      <c r="B405" s="3"/>
    </row>
    <row r="406">
      <c r="A406" s="94"/>
      <c r="B406" s="3"/>
    </row>
    <row r="407">
      <c r="A407" s="94"/>
      <c r="B407" s="3"/>
    </row>
    <row r="408">
      <c r="A408" s="94"/>
      <c r="B408" s="3"/>
    </row>
    <row r="409">
      <c r="A409" s="94"/>
      <c r="B409" s="3"/>
    </row>
    <row r="410">
      <c r="A410" s="94"/>
      <c r="B410" s="3"/>
    </row>
    <row r="411">
      <c r="A411" s="94"/>
      <c r="B411" s="3"/>
    </row>
    <row r="412">
      <c r="A412" s="94"/>
      <c r="B412" s="3"/>
    </row>
    <row r="413">
      <c r="A413" s="94"/>
      <c r="B413" s="3"/>
    </row>
    <row r="414">
      <c r="A414" s="94"/>
      <c r="B414" s="3"/>
    </row>
    <row r="415">
      <c r="A415" s="94"/>
      <c r="B415" s="3"/>
    </row>
    <row r="416">
      <c r="A416" s="94"/>
      <c r="B416" s="3"/>
    </row>
    <row r="417">
      <c r="A417" s="94"/>
      <c r="B417" s="3"/>
    </row>
    <row r="418">
      <c r="A418" s="94"/>
      <c r="B418" s="3"/>
    </row>
    <row r="419">
      <c r="A419" s="94"/>
      <c r="B419" s="3"/>
    </row>
    <row r="420">
      <c r="A420" s="94"/>
      <c r="B420" s="3"/>
    </row>
    <row r="421">
      <c r="A421" s="94"/>
      <c r="B421" s="3"/>
    </row>
    <row r="422">
      <c r="A422" s="94"/>
      <c r="B422" s="3"/>
    </row>
    <row r="423">
      <c r="A423" s="94"/>
      <c r="B423" s="3"/>
    </row>
    <row r="424">
      <c r="A424" s="94"/>
      <c r="B424" s="3"/>
    </row>
    <row r="425">
      <c r="A425" s="94"/>
      <c r="B425" s="3"/>
    </row>
    <row r="426">
      <c r="A426" s="94"/>
      <c r="B426" s="3"/>
    </row>
    <row r="427">
      <c r="A427" s="94"/>
      <c r="B427" s="3"/>
    </row>
    <row r="428">
      <c r="A428" s="94"/>
      <c r="B428" s="3"/>
    </row>
    <row r="429">
      <c r="A429" s="94"/>
      <c r="B429" s="3"/>
    </row>
    <row r="430">
      <c r="A430" s="94"/>
      <c r="B430" s="3"/>
    </row>
    <row r="431">
      <c r="A431" s="94"/>
      <c r="B431" s="3"/>
    </row>
    <row r="432">
      <c r="A432" s="94"/>
      <c r="B432" s="3"/>
    </row>
    <row r="433">
      <c r="A433" s="94"/>
      <c r="B433" s="3"/>
    </row>
    <row r="434">
      <c r="A434" s="94"/>
      <c r="B434" s="3"/>
    </row>
    <row r="435">
      <c r="A435" s="94"/>
      <c r="B435" s="3"/>
    </row>
    <row r="436">
      <c r="A436" s="94"/>
      <c r="B436" s="3"/>
    </row>
    <row r="437">
      <c r="A437" s="94"/>
      <c r="B437" s="3"/>
    </row>
    <row r="438">
      <c r="A438" s="94"/>
      <c r="B438" s="3"/>
    </row>
    <row r="439">
      <c r="A439" s="94"/>
      <c r="B439" s="3"/>
    </row>
    <row r="440">
      <c r="A440" s="94"/>
      <c r="B440" s="3"/>
    </row>
    <row r="441">
      <c r="A441" s="94"/>
      <c r="B441" s="3"/>
    </row>
    <row r="442">
      <c r="A442" s="94"/>
      <c r="B442" s="3"/>
    </row>
    <row r="443">
      <c r="A443" s="94"/>
      <c r="B443" s="3"/>
    </row>
    <row r="444">
      <c r="A444" s="94"/>
      <c r="B444" s="3"/>
    </row>
    <row r="445">
      <c r="A445" s="94"/>
      <c r="B445" s="3"/>
    </row>
    <row r="446">
      <c r="A446" s="94"/>
      <c r="B446" s="3"/>
    </row>
    <row r="447">
      <c r="A447" s="94"/>
      <c r="B447" s="3"/>
    </row>
    <row r="448">
      <c r="A448" s="94"/>
      <c r="B448" s="3"/>
    </row>
    <row r="449">
      <c r="A449" s="94"/>
      <c r="B449" s="3"/>
    </row>
    <row r="450">
      <c r="A450" s="94"/>
      <c r="B450" s="3"/>
    </row>
    <row r="451">
      <c r="A451" s="94"/>
      <c r="B451" s="3"/>
    </row>
    <row r="452">
      <c r="A452" s="94"/>
      <c r="B452" s="3"/>
    </row>
    <row r="453">
      <c r="A453" s="94"/>
      <c r="B453" s="3"/>
    </row>
    <row r="454">
      <c r="A454" s="94"/>
      <c r="B454" s="3"/>
    </row>
    <row r="455">
      <c r="A455" s="94"/>
      <c r="B455" s="3"/>
    </row>
    <row r="456">
      <c r="A456" s="94"/>
      <c r="B456" s="3"/>
    </row>
    <row r="457">
      <c r="A457" s="94"/>
      <c r="B457" s="3"/>
    </row>
    <row r="458">
      <c r="A458" s="94"/>
      <c r="B458" s="3"/>
    </row>
    <row r="459">
      <c r="A459" s="94"/>
      <c r="B459" s="3"/>
    </row>
    <row r="460">
      <c r="A460" s="94"/>
      <c r="B460" s="3"/>
    </row>
    <row r="461">
      <c r="A461" s="94"/>
      <c r="B461" s="3"/>
    </row>
    <row r="462">
      <c r="A462" s="94"/>
      <c r="B462" s="3"/>
    </row>
    <row r="463">
      <c r="A463" s="94"/>
      <c r="B463" s="3"/>
    </row>
    <row r="464">
      <c r="A464" s="94"/>
      <c r="B464" s="3"/>
    </row>
    <row r="465">
      <c r="A465" s="94"/>
      <c r="B465" s="3"/>
    </row>
    <row r="466">
      <c r="A466" s="94"/>
      <c r="B466" s="3"/>
    </row>
    <row r="467">
      <c r="A467" s="94"/>
      <c r="B467" s="3"/>
    </row>
    <row r="468">
      <c r="A468" s="94"/>
      <c r="B468" s="3"/>
    </row>
    <row r="469">
      <c r="A469" s="94"/>
      <c r="B469" s="3"/>
    </row>
    <row r="470">
      <c r="A470" s="94"/>
      <c r="B470" s="3"/>
    </row>
    <row r="471">
      <c r="A471" s="94"/>
      <c r="B471" s="3"/>
    </row>
    <row r="472">
      <c r="A472" s="94"/>
      <c r="B472" s="3"/>
    </row>
    <row r="473">
      <c r="A473" s="94"/>
      <c r="B473" s="3"/>
    </row>
    <row r="474">
      <c r="A474" s="94"/>
      <c r="B474" s="3"/>
    </row>
    <row r="475">
      <c r="A475" s="94"/>
      <c r="B475" s="3"/>
    </row>
    <row r="476">
      <c r="A476" s="94"/>
      <c r="B476" s="3"/>
    </row>
    <row r="477">
      <c r="A477" s="94"/>
      <c r="B477" s="3"/>
    </row>
    <row r="478">
      <c r="A478" s="94"/>
      <c r="B478" s="3"/>
    </row>
    <row r="479">
      <c r="A479" s="94"/>
      <c r="B479" s="3"/>
    </row>
    <row r="480">
      <c r="A480" s="94"/>
      <c r="B480" s="3"/>
    </row>
    <row r="481">
      <c r="A481" s="94"/>
      <c r="B481" s="3"/>
    </row>
    <row r="482">
      <c r="A482" s="94"/>
      <c r="B482" s="3"/>
    </row>
    <row r="483">
      <c r="A483" s="94"/>
      <c r="B483" s="3"/>
    </row>
    <row r="484">
      <c r="A484" s="94"/>
      <c r="B484" s="3"/>
    </row>
    <row r="485">
      <c r="A485" s="94"/>
      <c r="B485" s="3"/>
    </row>
    <row r="486">
      <c r="A486" s="94"/>
      <c r="B486" s="3"/>
    </row>
    <row r="487">
      <c r="A487" s="94"/>
      <c r="B487" s="3"/>
    </row>
    <row r="488">
      <c r="A488" s="94"/>
      <c r="B488" s="3"/>
    </row>
    <row r="489">
      <c r="A489" s="94"/>
      <c r="B489" s="3"/>
    </row>
    <row r="490">
      <c r="A490" s="94"/>
      <c r="B490" s="3"/>
    </row>
    <row r="491">
      <c r="A491" s="94"/>
      <c r="B491" s="3"/>
    </row>
    <row r="492">
      <c r="A492" s="94"/>
      <c r="B492" s="3"/>
    </row>
    <row r="493">
      <c r="A493" s="94"/>
      <c r="B493" s="3"/>
    </row>
    <row r="494">
      <c r="A494" s="94"/>
      <c r="B494" s="3"/>
    </row>
    <row r="495">
      <c r="A495" s="94"/>
      <c r="B495" s="3"/>
    </row>
    <row r="496">
      <c r="A496" s="94"/>
      <c r="B496" s="3"/>
    </row>
    <row r="497">
      <c r="A497" s="94"/>
      <c r="B497" s="3"/>
    </row>
    <row r="498">
      <c r="A498" s="94"/>
      <c r="B498" s="3"/>
    </row>
    <row r="499">
      <c r="A499" s="94"/>
      <c r="B499" s="3"/>
    </row>
    <row r="500">
      <c r="A500" s="94"/>
      <c r="B500" s="3"/>
    </row>
    <row r="501">
      <c r="A501" s="94"/>
      <c r="B501" s="3"/>
    </row>
    <row r="502">
      <c r="A502" s="94"/>
      <c r="B502" s="3"/>
    </row>
    <row r="503">
      <c r="A503" s="94"/>
      <c r="B503" s="3"/>
    </row>
    <row r="504">
      <c r="A504" s="94"/>
      <c r="B504" s="3"/>
    </row>
    <row r="505">
      <c r="A505" s="94"/>
      <c r="B505" s="3"/>
    </row>
    <row r="506">
      <c r="A506" s="94"/>
      <c r="B506" s="3"/>
    </row>
    <row r="507">
      <c r="A507" s="94"/>
      <c r="B507" s="3"/>
    </row>
    <row r="508">
      <c r="A508" s="94"/>
      <c r="B508" s="3"/>
    </row>
    <row r="509">
      <c r="A509" s="94"/>
      <c r="B509" s="3"/>
    </row>
    <row r="510">
      <c r="A510" s="94"/>
      <c r="B510" s="3"/>
    </row>
    <row r="511">
      <c r="A511" s="94"/>
      <c r="B511" s="3"/>
    </row>
    <row r="512">
      <c r="A512" s="94"/>
      <c r="B512" s="3"/>
    </row>
    <row r="513">
      <c r="A513" s="94"/>
      <c r="B513" s="3"/>
    </row>
    <row r="514">
      <c r="A514" s="94"/>
      <c r="B514" s="3"/>
    </row>
    <row r="515">
      <c r="A515" s="94"/>
      <c r="B515" s="3"/>
    </row>
    <row r="516">
      <c r="A516" s="94"/>
      <c r="B516" s="3"/>
    </row>
    <row r="517">
      <c r="A517" s="94"/>
      <c r="B517" s="3"/>
    </row>
    <row r="518">
      <c r="A518" s="94"/>
      <c r="B518" s="3"/>
    </row>
    <row r="519">
      <c r="A519" s="94"/>
      <c r="B519" s="3"/>
    </row>
    <row r="520">
      <c r="A520" s="94"/>
      <c r="B520" s="3"/>
    </row>
    <row r="521">
      <c r="A521" s="94"/>
      <c r="B521" s="3"/>
    </row>
    <row r="522">
      <c r="A522" s="94"/>
      <c r="B522" s="3"/>
    </row>
    <row r="523">
      <c r="A523" s="94"/>
      <c r="B523" s="3"/>
    </row>
    <row r="524">
      <c r="A524" s="94"/>
      <c r="B524" s="3"/>
    </row>
    <row r="525">
      <c r="A525" s="94"/>
      <c r="B525" s="3"/>
    </row>
    <row r="526">
      <c r="A526" s="94"/>
      <c r="B526" s="3"/>
    </row>
    <row r="527">
      <c r="A527" s="94"/>
      <c r="B527" s="3"/>
    </row>
    <row r="528">
      <c r="A528" s="94"/>
      <c r="B528" s="3"/>
    </row>
    <row r="529">
      <c r="A529" s="94"/>
      <c r="B529" s="3"/>
    </row>
    <row r="530">
      <c r="A530" s="94"/>
      <c r="B530" s="3"/>
    </row>
    <row r="531">
      <c r="A531" s="94"/>
      <c r="B531" s="3"/>
    </row>
    <row r="532">
      <c r="A532" s="94"/>
      <c r="B532" s="3"/>
    </row>
    <row r="533">
      <c r="A533" s="94"/>
      <c r="B533" s="3"/>
    </row>
    <row r="534">
      <c r="A534" s="94"/>
      <c r="B534" s="3"/>
    </row>
    <row r="535">
      <c r="A535" s="94"/>
      <c r="B535" s="3"/>
    </row>
    <row r="536">
      <c r="A536" s="94"/>
      <c r="B536" s="3"/>
    </row>
    <row r="537">
      <c r="A537" s="94"/>
      <c r="B537" s="3"/>
    </row>
    <row r="538">
      <c r="A538" s="94"/>
      <c r="B538" s="3"/>
    </row>
    <row r="539">
      <c r="A539" s="94"/>
      <c r="B539" s="3"/>
    </row>
    <row r="540">
      <c r="A540" s="94"/>
      <c r="B540" s="3"/>
    </row>
    <row r="541">
      <c r="A541" s="94"/>
      <c r="B541" s="3"/>
    </row>
    <row r="542">
      <c r="A542" s="94"/>
      <c r="B542" s="3"/>
    </row>
    <row r="543">
      <c r="A543" s="94"/>
      <c r="B543" s="3"/>
    </row>
    <row r="544">
      <c r="A544" s="94"/>
      <c r="B544" s="3"/>
    </row>
    <row r="545">
      <c r="A545" s="94"/>
      <c r="B545" s="3"/>
    </row>
    <row r="546">
      <c r="A546" s="94"/>
      <c r="B546" s="3"/>
    </row>
    <row r="547">
      <c r="A547" s="94"/>
      <c r="B547" s="3"/>
    </row>
    <row r="548">
      <c r="A548" s="94"/>
      <c r="B548" s="3"/>
    </row>
    <row r="549">
      <c r="A549" s="94"/>
      <c r="B549" s="3"/>
    </row>
    <row r="550">
      <c r="A550" s="94"/>
      <c r="B550" s="3"/>
    </row>
    <row r="551">
      <c r="A551" s="94"/>
      <c r="B551" s="3"/>
    </row>
    <row r="552">
      <c r="A552" s="94"/>
      <c r="B552" s="3"/>
    </row>
    <row r="553">
      <c r="A553" s="94"/>
      <c r="B553" s="3"/>
    </row>
    <row r="554">
      <c r="A554" s="94"/>
      <c r="B554" s="3"/>
    </row>
    <row r="555">
      <c r="A555" s="94"/>
      <c r="B555" s="3"/>
    </row>
    <row r="556">
      <c r="A556" s="94"/>
      <c r="B556" s="3"/>
    </row>
    <row r="557">
      <c r="A557" s="94"/>
      <c r="B557" s="3"/>
    </row>
    <row r="558">
      <c r="A558" s="94"/>
      <c r="B558" s="3"/>
    </row>
    <row r="559">
      <c r="A559" s="94"/>
      <c r="B559" s="3"/>
    </row>
    <row r="560">
      <c r="A560" s="94"/>
      <c r="B560" s="3"/>
    </row>
    <row r="561">
      <c r="A561" s="94"/>
      <c r="B561" s="3"/>
    </row>
    <row r="562">
      <c r="A562" s="94"/>
      <c r="B562" s="3"/>
    </row>
    <row r="563">
      <c r="A563" s="94"/>
      <c r="B563" s="3"/>
    </row>
    <row r="564">
      <c r="A564" s="94"/>
      <c r="B564" s="3"/>
    </row>
    <row r="565">
      <c r="A565" s="94"/>
      <c r="B565" s="3"/>
    </row>
    <row r="566">
      <c r="A566" s="94"/>
      <c r="B566" s="3"/>
    </row>
    <row r="567">
      <c r="A567" s="94"/>
      <c r="B567" s="3"/>
    </row>
    <row r="568">
      <c r="A568" s="94"/>
      <c r="B568" s="3"/>
    </row>
    <row r="569">
      <c r="A569" s="94"/>
      <c r="B569" s="3"/>
    </row>
    <row r="570">
      <c r="A570" s="94"/>
      <c r="B570" s="3"/>
    </row>
    <row r="571">
      <c r="A571" s="94"/>
      <c r="B571" s="3"/>
    </row>
    <row r="572">
      <c r="A572" s="94"/>
      <c r="B572" s="3"/>
    </row>
    <row r="573">
      <c r="A573" s="94"/>
      <c r="B573" s="3"/>
    </row>
    <row r="574">
      <c r="A574" s="94"/>
      <c r="B574" s="3"/>
    </row>
    <row r="575">
      <c r="A575" s="94"/>
      <c r="B575" s="3"/>
    </row>
    <row r="576">
      <c r="A576" s="94"/>
      <c r="B576" s="3"/>
    </row>
    <row r="577">
      <c r="A577" s="94"/>
      <c r="B577" s="3"/>
    </row>
    <row r="578">
      <c r="A578" s="94"/>
      <c r="B578" s="3"/>
    </row>
    <row r="579">
      <c r="A579" s="94"/>
      <c r="B579" s="3"/>
    </row>
    <row r="580">
      <c r="A580" s="94"/>
      <c r="B580" s="3"/>
    </row>
    <row r="581">
      <c r="A581" s="94"/>
      <c r="B581" s="3"/>
    </row>
    <row r="582">
      <c r="A582" s="94"/>
      <c r="B582" s="3"/>
    </row>
    <row r="583">
      <c r="A583" s="94"/>
      <c r="B583" s="3"/>
    </row>
    <row r="584">
      <c r="A584" s="94"/>
      <c r="B584" s="3"/>
    </row>
    <row r="585">
      <c r="A585" s="94"/>
      <c r="B585" s="3"/>
    </row>
    <row r="586">
      <c r="A586" s="94"/>
      <c r="B586" s="3"/>
    </row>
    <row r="587">
      <c r="A587" s="94"/>
      <c r="B587" s="3"/>
    </row>
    <row r="588">
      <c r="A588" s="94"/>
      <c r="B588" s="3"/>
    </row>
    <row r="589">
      <c r="A589" s="94"/>
      <c r="B589" s="3"/>
    </row>
    <row r="590">
      <c r="A590" s="94"/>
      <c r="B590" s="3"/>
    </row>
    <row r="591">
      <c r="A591" s="94"/>
      <c r="B591" s="3"/>
    </row>
    <row r="592">
      <c r="A592" s="94"/>
      <c r="B592" s="3"/>
    </row>
    <row r="593">
      <c r="A593" s="94"/>
      <c r="B593" s="3"/>
    </row>
    <row r="594">
      <c r="A594" s="94"/>
      <c r="B594" s="3"/>
    </row>
    <row r="595">
      <c r="A595" s="94"/>
      <c r="B595" s="3"/>
    </row>
    <row r="596">
      <c r="A596" s="94"/>
      <c r="B596" s="3"/>
    </row>
    <row r="597">
      <c r="A597" s="94"/>
      <c r="B597" s="3"/>
    </row>
    <row r="598">
      <c r="A598" s="94"/>
      <c r="B598" s="3"/>
    </row>
    <row r="599">
      <c r="A599" s="94"/>
      <c r="B599" s="3"/>
    </row>
    <row r="600">
      <c r="A600" s="94"/>
      <c r="B600" s="3"/>
    </row>
    <row r="601">
      <c r="A601" s="94"/>
      <c r="B601" s="3"/>
    </row>
    <row r="602">
      <c r="A602" s="94"/>
      <c r="B602" s="3"/>
    </row>
    <row r="603">
      <c r="A603" s="94"/>
      <c r="B603" s="3"/>
    </row>
    <row r="604">
      <c r="A604" s="94"/>
      <c r="B604" s="3"/>
    </row>
    <row r="605">
      <c r="A605" s="94"/>
      <c r="B605" s="3"/>
    </row>
    <row r="606">
      <c r="A606" s="94"/>
      <c r="B606" s="3"/>
    </row>
    <row r="607">
      <c r="A607" s="94"/>
      <c r="B607" s="3"/>
    </row>
    <row r="608">
      <c r="A608" s="94"/>
      <c r="B608" s="3"/>
    </row>
    <row r="609">
      <c r="A609" s="94"/>
      <c r="B609" s="3"/>
    </row>
    <row r="610">
      <c r="A610" s="94"/>
      <c r="B610" s="3"/>
    </row>
    <row r="611">
      <c r="A611" s="94"/>
      <c r="B611" s="3"/>
    </row>
    <row r="612">
      <c r="A612" s="94"/>
      <c r="B612" s="3"/>
    </row>
    <row r="613">
      <c r="A613" s="94"/>
      <c r="B613" s="3"/>
    </row>
    <row r="614">
      <c r="A614" s="94"/>
      <c r="B614" s="3"/>
    </row>
    <row r="615">
      <c r="A615" s="94"/>
      <c r="B615" s="3"/>
    </row>
    <row r="616">
      <c r="A616" s="94"/>
      <c r="B616" s="3"/>
    </row>
    <row r="617">
      <c r="A617" s="94"/>
      <c r="B617" s="3"/>
    </row>
    <row r="618">
      <c r="A618" s="94"/>
      <c r="B618" s="3"/>
    </row>
    <row r="619">
      <c r="A619" s="94"/>
      <c r="B619" s="3"/>
    </row>
    <row r="620">
      <c r="A620" s="94"/>
      <c r="B620" s="3"/>
    </row>
    <row r="621">
      <c r="A621" s="94"/>
      <c r="B621" s="3"/>
    </row>
    <row r="622">
      <c r="A622" s="94"/>
      <c r="B622" s="3"/>
    </row>
    <row r="623">
      <c r="A623" s="94"/>
      <c r="B623" s="3"/>
    </row>
    <row r="624">
      <c r="A624" s="94"/>
      <c r="B624" s="3"/>
    </row>
    <row r="625">
      <c r="A625" s="94"/>
      <c r="B625" s="3"/>
    </row>
    <row r="626">
      <c r="A626" s="94"/>
      <c r="B626" s="3"/>
    </row>
    <row r="627">
      <c r="A627" s="94"/>
      <c r="B627" s="3"/>
    </row>
    <row r="628">
      <c r="A628" s="94"/>
      <c r="B628" s="3"/>
    </row>
    <row r="629">
      <c r="A629" s="94"/>
      <c r="B629" s="3"/>
    </row>
    <row r="630">
      <c r="A630" s="94"/>
      <c r="B630" s="3"/>
    </row>
    <row r="631">
      <c r="A631" s="94"/>
      <c r="B631" s="3"/>
    </row>
    <row r="632">
      <c r="A632" s="94"/>
      <c r="B632" s="3"/>
    </row>
    <row r="633">
      <c r="A633" s="94"/>
      <c r="B633" s="3"/>
    </row>
    <row r="634">
      <c r="A634" s="94"/>
      <c r="B634" s="3"/>
    </row>
    <row r="635">
      <c r="A635" s="94"/>
      <c r="B635" s="3"/>
    </row>
    <row r="636">
      <c r="A636" s="94"/>
      <c r="B636" s="3"/>
    </row>
    <row r="637">
      <c r="A637" s="94"/>
      <c r="B637" s="3"/>
    </row>
    <row r="638">
      <c r="A638" s="94"/>
      <c r="B638" s="3"/>
    </row>
    <row r="639">
      <c r="A639" s="94"/>
      <c r="B639" s="3"/>
    </row>
    <row r="640">
      <c r="A640" s="94"/>
      <c r="B640" s="3"/>
    </row>
    <row r="641">
      <c r="A641" s="94"/>
      <c r="B641" s="3"/>
    </row>
    <row r="642">
      <c r="A642" s="94"/>
      <c r="B642" s="3"/>
    </row>
    <row r="643">
      <c r="A643" s="94"/>
      <c r="B643" s="3"/>
    </row>
    <row r="644">
      <c r="A644" s="94"/>
      <c r="B644" s="3"/>
    </row>
    <row r="645">
      <c r="A645" s="94"/>
      <c r="B645" s="3"/>
    </row>
    <row r="646">
      <c r="A646" s="94"/>
      <c r="B646" s="3"/>
    </row>
    <row r="647">
      <c r="A647" s="94"/>
      <c r="B647" s="3"/>
    </row>
    <row r="648">
      <c r="A648" s="94"/>
      <c r="B648" s="3"/>
    </row>
    <row r="649">
      <c r="A649" s="94"/>
      <c r="B649" s="3"/>
    </row>
    <row r="650">
      <c r="A650" s="94"/>
      <c r="B650" s="3"/>
    </row>
    <row r="651">
      <c r="A651" s="94"/>
      <c r="B651" s="3"/>
    </row>
    <row r="652">
      <c r="A652" s="94"/>
      <c r="B652" s="3"/>
    </row>
    <row r="653">
      <c r="A653" s="94"/>
      <c r="B653" s="3"/>
    </row>
    <row r="654">
      <c r="A654" s="94"/>
      <c r="B654" s="3"/>
    </row>
    <row r="655">
      <c r="A655" s="94"/>
      <c r="B655" s="3"/>
    </row>
    <row r="656">
      <c r="A656" s="94"/>
      <c r="B656" s="3"/>
    </row>
    <row r="657">
      <c r="A657" s="94"/>
      <c r="B657" s="3"/>
    </row>
    <row r="658">
      <c r="A658" s="94"/>
      <c r="B658" s="3"/>
    </row>
    <row r="659">
      <c r="A659" s="94"/>
      <c r="B659" s="3"/>
    </row>
    <row r="660">
      <c r="A660" s="94"/>
      <c r="B660" s="3"/>
    </row>
    <row r="661">
      <c r="A661" s="94"/>
      <c r="B661" s="3"/>
    </row>
    <row r="662">
      <c r="A662" s="94"/>
      <c r="B662" s="3"/>
    </row>
    <row r="663">
      <c r="A663" s="94"/>
      <c r="B663" s="3"/>
    </row>
    <row r="664">
      <c r="A664" s="94"/>
      <c r="B664" s="3"/>
    </row>
    <row r="665">
      <c r="A665" s="94"/>
      <c r="B665" s="3"/>
    </row>
    <row r="666">
      <c r="A666" s="94"/>
      <c r="B666" s="3"/>
    </row>
    <row r="667">
      <c r="A667" s="94"/>
      <c r="B667" s="3"/>
    </row>
    <row r="668">
      <c r="A668" s="94"/>
      <c r="B668" s="3"/>
    </row>
    <row r="669">
      <c r="A669" s="94"/>
      <c r="B669" s="3"/>
    </row>
    <row r="670">
      <c r="A670" s="94"/>
      <c r="B670" s="3"/>
    </row>
    <row r="671">
      <c r="A671" s="94"/>
      <c r="B671" s="3"/>
    </row>
    <row r="672">
      <c r="A672" s="94"/>
      <c r="B672" s="3"/>
    </row>
    <row r="673">
      <c r="A673" s="94"/>
      <c r="B673" s="3"/>
    </row>
    <row r="674">
      <c r="A674" s="94"/>
      <c r="B674" s="3"/>
    </row>
    <row r="675">
      <c r="A675" s="94"/>
      <c r="B675" s="3"/>
    </row>
    <row r="676">
      <c r="A676" s="94"/>
      <c r="B676" s="3"/>
    </row>
    <row r="677">
      <c r="A677" s="94"/>
      <c r="B677" s="3"/>
    </row>
    <row r="678">
      <c r="A678" s="94"/>
      <c r="B678" s="3"/>
    </row>
    <row r="679">
      <c r="A679" s="94"/>
      <c r="B679" s="3"/>
    </row>
    <row r="680">
      <c r="A680" s="94"/>
      <c r="B680" s="3"/>
    </row>
    <row r="681">
      <c r="A681" s="94"/>
      <c r="B681" s="3"/>
    </row>
    <row r="682">
      <c r="A682" s="94"/>
      <c r="B682" s="3"/>
    </row>
    <row r="683">
      <c r="A683" s="94"/>
      <c r="B683" s="3"/>
    </row>
    <row r="684">
      <c r="A684" s="94"/>
      <c r="B684" s="3"/>
    </row>
    <row r="685">
      <c r="A685" s="94"/>
      <c r="B685" s="3"/>
    </row>
    <row r="686">
      <c r="A686" s="94"/>
      <c r="B686" s="3"/>
    </row>
    <row r="687">
      <c r="A687" s="94"/>
      <c r="B687" s="3"/>
    </row>
    <row r="688">
      <c r="A688" s="94"/>
      <c r="B688" s="3"/>
    </row>
    <row r="689">
      <c r="A689" s="94"/>
      <c r="B689" s="3"/>
    </row>
    <row r="690">
      <c r="A690" s="94"/>
      <c r="B690" s="3"/>
    </row>
    <row r="691">
      <c r="A691" s="94"/>
      <c r="B691" s="3"/>
    </row>
    <row r="692">
      <c r="A692" s="94"/>
      <c r="B692" s="3"/>
    </row>
    <row r="693">
      <c r="A693" s="94"/>
      <c r="B693" s="3"/>
    </row>
    <row r="694">
      <c r="A694" s="94"/>
      <c r="B694" s="3"/>
    </row>
    <row r="695">
      <c r="A695" s="94"/>
      <c r="B695" s="3"/>
    </row>
    <row r="696">
      <c r="A696" s="94"/>
      <c r="B696" s="3"/>
    </row>
    <row r="697">
      <c r="A697" s="94"/>
      <c r="B697" s="3"/>
    </row>
    <row r="698">
      <c r="A698" s="94"/>
      <c r="B698" s="3"/>
    </row>
    <row r="699">
      <c r="A699" s="94"/>
      <c r="B699" s="3"/>
    </row>
    <row r="700">
      <c r="A700" s="94"/>
      <c r="B700" s="3"/>
    </row>
    <row r="701">
      <c r="A701" s="94"/>
      <c r="B701" s="3"/>
    </row>
    <row r="702">
      <c r="A702" s="94"/>
      <c r="B702" s="3"/>
    </row>
    <row r="703">
      <c r="A703" s="94"/>
      <c r="B703" s="3"/>
    </row>
    <row r="704">
      <c r="A704" s="94"/>
      <c r="B704" s="3"/>
    </row>
    <row r="705">
      <c r="A705" s="94"/>
      <c r="B705" s="3"/>
    </row>
    <row r="706">
      <c r="A706" s="94"/>
      <c r="B706" s="3"/>
    </row>
    <row r="707">
      <c r="A707" s="94"/>
      <c r="B707" s="3"/>
    </row>
    <row r="708">
      <c r="A708" s="94"/>
      <c r="B708" s="3"/>
    </row>
    <row r="709">
      <c r="A709" s="94"/>
      <c r="B709" s="3"/>
    </row>
    <row r="710">
      <c r="A710" s="94"/>
      <c r="B710" s="3"/>
    </row>
    <row r="711">
      <c r="A711" s="94"/>
      <c r="B711" s="3"/>
    </row>
    <row r="712">
      <c r="A712" s="94"/>
      <c r="B712" s="3"/>
    </row>
    <row r="713">
      <c r="A713" s="94"/>
      <c r="B713" s="3"/>
    </row>
    <row r="714">
      <c r="A714" s="94"/>
      <c r="B714" s="3"/>
    </row>
    <row r="715">
      <c r="A715" s="94"/>
      <c r="B715" s="3"/>
    </row>
    <row r="716">
      <c r="A716" s="94"/>
      <c r="B716" s="3"/>
    </row>
    <row r="717">
      <c r="A717" s="94"/>
      <c r="B717" s="3"/>
    </row>
    <row r="718">
      <c r="A718" s="94"/>
      <c r="B718" s="3"/>
    </row>
    <row r="719">
      <c r="A719" s="94"/>
      <c r="B719" s="3"/>
    </row>
    <row r="720">
      <c r="A720" s="94"/>
      <c r="B720" s="3"/>
    </row>
    <row r="721">
      <c r="A721" s="94"/>
      <c r="B721" s="3"/>
    </row>
    <row r="722">
      <c r="A722" s="94"/>
      <c r="B722" s="3"/>
    </row>
    <row r="723">
      <c r="A723" s="94"/>
      <c r="B723" s="3"/>
    </row>
    <row r="724">
      <c r="A724" s="94"/>
      <c r="B724" s="3"/>
    </row>
    <row r="725">
      <c r="A725" s="94"/>
      <c r="B725" s="3"/>
    </row>
    <row r="726">
      <c r="A726" s="94"/>
      <c r="B726" s="3"/>
    </row>
    <row r="727">
      <c r="A727" s="94"/>
      <c r="B727" s="3"/>
    </row>
    <row r="728">
      <c r="A728" s="94"/>
      <c r="B728" s="3"/>
    </row>
    <row r="729">
      <c r="A729" s="94"/>
      <c r="B729" s="3"/>
    </row>
    <row r="730">
      <c r="A730" s="94"/>
      <c r="B730" s="3"/>
    </row>
    <row r="731">
      <c r="A731" s="94"/>
      <c r="B731" s="3"/>
    </row>
    <row r="732">
      <c r="A732" s="94"/>
      <c r="B732" s="3"/>
    </row>
    <row r="733">
      <c r="A733" s="94"/>
      <c r="B733" s="3"/>
    </row>
    <row r="734">
      <c r="A734" s="94"/>
      <c r="B734" s="3"/>
    </row>
    <row r="735">
      <c r="A735" s="94"/>
      <c r="B735" s="3"/>
    </row>
    <row r="736">
      <c r="A736" s="94"/>
      <c r="B736" s="3"/>
    </row>
    <row r="737">
      <c r="A737" s="94"/>
      <c r="B737" s="3"/>
    </row>
    <row r="738">
      <c r="A738" s="94"/>
      <c r="B738" s="3"/>
    </row>
    <row r="739">
      <c r="A739" s="94"/>
      <c r="B739" s="3"/>
    </row>
    <row r="740">
      <c r="A740" s="94"/>
      <c r="B740" s="3"/>
    </row>
    <row r="741">
      <c r="A741" s="94"/>
      <c r="B741" s="3"/>
    </row>
    <row r="742">
      <c r="A742" s="94"/>
      <c r="B742" s="3"/>
    </row>
    <row r="743">
      <c r="A743" s="94"/>
      <c r="B743" s="3"/>
    </row>
    <row r="744">
      <c r="A744" s="94"/>
      <c r="B744" s="3"/>
    </row>
    <row r="745">
      <c r="A745" s="94"/>
      <c r="B745" s="3"/>
    </row>
    <row r="746">
      <c r="A746" s="94"/>
      <c r="B746" s="3"/>
    </row>
    <row r="747">
      <c r="A747" s="94"/>
      <c r="B747" s="3"/>
    </row>
    <row r="748">
      <c r="A748" s="94"/>
      <c r="B748" s="3"/>
    </row>
    <row r="749">
      <c r="A749" s="94"/>
      <c r="B749" s="3"/>
    </row>
    <row r="750">
      <c r="A750" s="94"/>
      <c r="B750" s="3"/>
    </row>
    <row r="751">
      <c r="A751" s="94"/>
      <c r="B751" s="3"/>
    </row>
    <row r="752">
      <c r="A752" s="94"/>
      <c r="B752" s="3"/>
    </row>
    <row r="753">
      <c r="A753" s="94"/>
      <c r="B753" s="3"/>
    </row>
    <row r="754">
      <c r="A754" s="94"/>
      <c r="B754" s="3"/>
    </row>
    <row r="755">
      <c r="A755" s="94"/>
      <c r="B755" s="3"/>
    </row>
    <row r="756">
      <c r="A756" s="94"/>
      <c r="B756" s="3"/>
    </row>
    <row r="757">
      <c r="A757" s="94"/>
      <c r="B757" s="3"/>
    </row>
    <row r="758">
      <c r="A758" s="94"/>
      <c r="B758" s="3"/>
    </row>
    <row r="759">
      <c r="A759" s="94"/>
      <c r="B759" s="3"/>
    </row>
    <row r="760">
      <c r="A760" s="94"/>
      <c r="B760" s="3"/>
    </row>
    <row r="761">
      <c r="A761" s="94"/>
      <c r="B761" s="3"/>
    </row>
    <row r="762">
      <c r="A762" s="94"/>
      <c r="B762" s="3"/>
    </row>
    <row r="763">
      <c r="A763" s="94"/>
      <c r="B763" s="3"/>
    </row>
    <row r="764">
      <c r="A764" s="94"/>
      <c r="B764" s="3"/>
    </row>
    <row r="765">
      <c r="A765" s="94"/>
      <c r="B765" s="3"/>
    </row>
    <row r="766">
      <c r="A766" s="94"/>
      <c r="B766" s="3"/>
    </row>
    <row r="767">
      <c r="A767" s="94"/>
      <c r="B767" s="3"/>
    </row>
    <row r="768">
      <c r="A768" s="94"/>
      <c r="B768" s="3"/>
    </row>
    <row r="769">
      <c r="A769" s="94"/>
      <c r="B769" s="3"/>
    </row>
    <row r="770">
      <c r="A770" s="94"/>
      <c r="B770" s="3"/>
    </row>
    <row r="771">
      <c r="A771" s="94"/>
      <c r="B771" s="3"/>
    </row>
    <row r="772">
      <c r="A772" s="94"/>
      <c r="B772" s="3"/>
    </row>
    <row r="773">
      <c r="A773" s="94"/>
      <c r="B773" s="3"/>
    </row>
    <row r="774">
      <c r="A774" s="94"/>
      <c r="B774" s="3"/>
    </row>
    <row r="775">
      <c r="A775" s="94"/>
      <c r="B775" s="3"/>
    </row>
    <row r="776">
      <c r="A776" s="94"/>
      <c r="B776" s="3"/>
    </row>
    <row r="777">
      <c r="A777" s="94"/>
      <c r="B777" s="3"/>
    </row>
    <row r="778">
      <c r="A778" s="94"/>
      <c r="B778" s="3"/>
    </row>
    <row r="779">
      <c r="A779" s="94"/>
      <c r="B779" s="3"/>
    </row>
    <row r="780">
      <c r="A780" s="94"/>
      <c r="B780" s="3"/>
    </row>
    <row r="781">
      <c r="A781" s="94"/>
      <c r="B781" s="3"/>
    </row>
    <row r="782">
      <c r="A782" s="94"/>
      <c r="B782" s="3"/>
    </row>
    <row r="783">
      <c r="A783" s="94"/>
      <c r="B783" s="3"/>
    </row>
    <row r="784">
      <c r="A784" s="94"/>
      <c r="B784" s="3"/>
    </row>
    <row r="785">
      <c r="A785" s="94"/>
      <c r="B785" s="3"/>
    </row>
    <row r="786">
      <c r="A786" s="94"/>
      <c r="B786" s="3"/>
    </row>
    <row r="787">
      <c r="A787" s="94"/>
      <c r="B787" s="3"/>
    </row>
    <row r="788">
      <c r="A788" s="94"/>
      <c r="B788" s="3"/>
    </row>
    <row r="789">
      <c r="A789" s="94"/>
      <c r="B789" s="3"/>
    </row>
    <row r="790">
      <c r="A790" s="94"/>
      <c r="B790" s="3"/>
    </row>
    <row r="791">
      <c r="A791" s="94"/>
      <c r="B791" s="3"/>
    </row>
    <row r="792">
      <c r="A792" s="94"/>
      <c r="B792" s="3"/>
    </row>
    <row r="793">
      <c r="A793" s="94"/>
      <c r="B793" s="3"/>
    </row>
    <row r="794">
      <c r="A794" s="94"/>
      <c r="B794" s="3"/>
    </row>
    <row r="795">
      <c r="A795" s="94"/>
      <c r="B795" s="3"/>
    </row>
    <row r="796">
      <c r="A796" s="94"/>
      <c r="B796" s="3"/>
    </row>
    <row r="797">
      <c r="A797" s="94"/>
      <c r="B797" s="3"/>
    </row>
    <row r="798">
      <c r="A798" s="94"/>
      <c r="B798" s="3"/>
    </row>
    <row r="799">
      <c r="A799" s="94"/>
      <c r="B799" s="3"/>
    </row>
    <row r="800">
      <c r="A800" s="94"/>
      <c r="B800" s="3"/>
    </row>
    <row r="801">
      <c r="A801" s="94"/>
      <c r="B801" s="3"/>
    </row>
    <row r="802">
      <c r="A802" s="94"/>
      <c r="B802" s="3"/>
    </row>
    <row r="803">
      <c r="A803" s="94"/>
      <c r="B803" s="3"/>
    </row>
    <row r="804">
      <c r="A804" s="94"/>
      <c r="B804" s="3"/>
    </row>
    <row r="805">
      <c r="A805" s="94"/>
      <c r="B805" s="3"/>
    </row>
    <row r="806">
      <c r="A806" s="94"/>
      <c r="B806" s="3"/>
    </row>
    <row r="807">
      <c r="A807" s="94"/>
      <c r="B807" s="3"/>
    </row>
    <row r="808">
      <c r="A808" s="94"/>
      <c r="B808" s="3"/>
    </row>
    <row r="809">
      <c r="A809" s="94"/>
      <c r="B809" s="3"/>
    </row>
    <row r="810">
      <c r="A810" s="94"/>
      <c r="B810" s="3"/>
    </row>
    <row r="811">
      <c r="A811" s="94"/>
      <c r="B811" s="3"/>
    </row>
    <row r="812">
      <c r="A812" s="94"/>
      <c r="B812" s="3"/>
    </row>
    <row r="813">
      <c r="A813" s="94"/>
      <c r="B813" s="3"/>
    </row>
    <row r="814">
      <c r="A814" s="94"/>
      <c r="B814" s="3"/>
    </row>
    <row r="815">
      <c r="A815" s="94"/>
      <c r="B815" s="3"/>
    </row>
    <row r="816">
      <c r="A816" s="94"/>
      <c r="B816" s="3"/>
    </row>
    <row r="817">
      <c r="A817" s="94"/>
      <c r="B817" s="3"/>
    </row>
    <row r="818">
      <c r="A818" s="94"/>
      <c r="B818" s="3"/>
    </row>
    <row r="819">
      <c r="A819" s="94"/>
      <c r="B819" s="3"/>
    </row>
    <row r="820">
      <c r="A820" s="94"/>
      <c r="B820" s="3"/>
    </row>
    <row r="821">
      <c r="A821" s="94"/>
      <c r="B821" s="3"/>
    </row>
    <row r="822">
      <c r="A822" s="94"/>
      <c r="B822" s="3"/>
    </row>
    <row r="823">
      <c r="A823" s="94"/>
      <c r="B823" s="3"/>
    </row>
    <row r="824">
      <c r="A824" s="94"/>
      <c r="B824" s="3"/>
    </row>
    <row r="825">
      <c r="A825" s="94"/>
      <c r="B825" s="3"/>
    </row>
    <row r="826">
      <c r="A826" s="94"/>
      <c r="B826" s="3"/>
    </row>
    <row r="827">
      <c r="A827" s="94"/>
      <c r="B827" s="3"/>
    </row>
    <row r="828">
      <c r="A828" s="94"/>
      <c r="B828" s="3"/>
    </row>
    <row r="829">
      <c r="A829" s="94"/>
      <c r="B829" s="3"/>
    </row>
    <row r="830">
      <c r="A830" s="94"/>
      <c r="B830" s="3"/>
    </row>
    <row r="831">
      <c r="A831" s="94"/>
      <c r="B831" s="3"/>
    </row>
    <row r="832">
      <c r="A832" s="94"/>
      <c r="B832" s="3"/>
    </row>
    <row r="833">
      <c r="A833" s="94"/>
      <c r="B833" s="3"/>
    </row>
    <row r="834">
      <c r="A834" s="94"/>
      <c r="B834" s="3"/>
    </row>
    <row r="835">
      <c r="A835" s="94"/>
      <c r="B835" s="3"/>
    </row>
    <row r="836">
      <c r="A836" s="94"/>
      <c r="B836" s="3"/>
    </row>
    <row r="837">
      <c r="A837" s="94"/>
      <c r="B837" s="3"/>
    </row>
    <row r="838">
      <c r="A838" s="94"/>
      <c r="B838" s="3"/>
    </row>
    <row r="839">
      <c r="A839" s="94"/>
      <c r="B839" s="3"/>
    </row>
    <row r="840">
      <c r="A840" s="94"/>
      <c r="B840" s="3"/>
    </row>
    <row r="841">
      <c r="A841" s="94"/>
      <c r="B841" s="3"/>
    </row>
    <row r="842">
      <c r="A842" s="94"/>
      <c r="B842" s="3"/>
    </row>
    <row r="843">
      <c r="A843" s="94"/>
      <c r="B843" s="3"/>
    </row>
    <row r="844">
      <c r="A844" s="94"/>
      <c r="B844" s="3"/>
    </row>
    <row r="845">
      <c r="A845" s="94"/>
      <c r="B845" s="3"/>
    </row>
    <row r="846">
      <c r="A846" s="94"/>
      <c r="B846" s="3"/>
    </row>
    <row r="847">
      <c r="A847" s="94"/>
      <c r="B847" s="3"/>
    </row>
    <row r="848">
      <c r="A848" s="94"/>
      <c r="B848" s="3"/>
    </row>
    <row r="849">
      <c r="A849" s="94"/>
      <c r="B849" s="3"/>
    </row>
    <row r="850">
      <c r="A850" s="94"/>
      <c r="B850" s="3"/>
    </row>
    <row r="851">
      <c r="A851" s="94"/>
      <c r="B851" s="3"/>
    </row>
    <row r="852">
      <c r="A852" s="94"/>
      <c r="B852" s="3"/>
    </row>
    <row r="853">
      <c r="A853" s="94"/>
      <c r="B853" s="3"/>
    </row>
    <row r="854">
      <c r="A854" s="94"/>
      <c r="B854" s="3"/>
    </row>
    <row r="855">
      <c r="A855" s="94"/>
      <c r="B855" s="3"/>
    </row>
    <row r="856">
      <c r="A856" s="94"/>
      <c r="B856" s="3"/>
    </row>
    <row r="857">
      <c r="A857" s="94"/>
      <c r="B857" s="3"/>
    </row>
    <row r="858">
      <c r="A858" s="94"/>
      <c r="B858" s="3"/>
    </row>
    <row r="859">
      <c r="A859" s="94"/>
      <c r="B859" s="3"/>
    </row>
    <row r="860">
      <c r="A860" s="94"/>
      <c r="B860" s="3"/>
    </row>
    <row r="861">
      <c r="A861" s="94"/>
      <c r="B861" s="3"/>
    </row>
    <row r="862">
      <c r="A862" s="94"/>
      <c r="B862" s="3"/>
    </row>
    <row r="863">
      <c r="A863" s="94"/>
      <c r="B863" s="3"/>
    </row>
    <row r="864">
      <c r="A864" s="94"/>
      <c r="B864" s="3"/>
    </row>
    <row r="865">
      <c r="A865" s="94"/>
      <c r="B865" s="3"/>
    </row>
    <row r="866">
      <c r="A866" s="94"/>
      <c r="B866" s="3"/>
    </row>
    <row r="867">
      <c r="A867" s="94"/>
      <c r="B867" s="3"/>
    </row>
    <row r="868">
      <c r="A868" s="94"/>
      <c r="B868" s="3"/>
    </row>
    <row r="869">
      <c r="A869" s="94"/>
      <c r="B869" s="3"/>
    </row>
    <row r="870">
      <c r="A870" s="94"/>
      <c r="B870" s="3"/>
    </row>
    <row r="871">
      <c r="A871" s="94"/>
      <c r="B871" s="3"/>
    </row>
    <row r="872">
      <c r="A872" s="94"/>
      <c r="B872" s="3"/>
    </row>
    <row r="873">
      <c r="A873" s="94"/>
      <c r="B873" s="3"/>
    </row>
    <row r="874">
      <c r="A874" s="94"/>
      <c r="B874" s="3"/>
    </row>
    <row r="875">
      <c r="A875" s="94"/>
      <c r="B875" s="3"/>
    </row>
    <row r="876">
      <c r="A876" s="94"/>
      <c r="B876" s="3"/>
    </row>
    <row r="877">
      <c r="A877" s="94"/>
      <c r="B877" s="3"/>
    </row>
    <row r="878">
      <c r="A878" s="94"/>
      <c r="B878" s="3"/>
    </row>
    <row r="879">
      <c r="A879" s="94"/>
      <c r="B879" s="3"/>
    </row>
    <row r="880">
      <c r="A880" s="94"/>
      <c r="B880" s="3"/>
    </row>
    <row r="881">
      <c r="A881" s="94"/>
      <c r="B881" s="3"/>
    </row>
    <row r="882">
      <c r="A882" s="94"/>
      <c r="B882" s="3"/>
    </row>
    <row r="883">
      <c r="A883" s="94"/>
      <c r="B883" s="3"/>
    </row>
    <row r="884">
      <c r="A884" s="94"/>
      <c r="B884" s="3"/>
    </row>
    <row r="885">
      <c r="A885" s="94"/>
      <c r="B885" s="3"/>
    </row>
    <row r="886">
      <c r="A886" s="94"/>
      <c r="B886" s="3"/>
    </row>
  </sheetData>
  <conditionalFormatting sqref="D2:D888">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C2:C5 C7:C10 C12:C15 C17:C20 C22:C25 C27:C30 C32:C35 C37:C40 C42:C45 C47:C50 C52:C55 C57:C60 C62:C65 C67:C70 C72:C75 C77:C80 C82:C85 C87:C90 C92:C95 C97:C100 C102:C105 C107:C110 C112:C115 C117:C120 C122:C125 C127:C128 C130:C133 C135:C138 C140:C143 C145:C148 C150:C153">
      <formula1>"5W1H,Base,CoT,tldr,Heading,Jeremy,Begoña,Alba,Naiara"</formula1>
    </dataValidation>
    <dataValidation type="list" allowBlank="1" showErrorMessage="1" sqref="E2:I5 E7:I10 E12:I15 E17:I20 E22:I25 E27:I30 E32:I35 E37:I40 E42:I45 E47:I50 E52:I55 E57:I60 E62:I65 E67:I70 E72:I75 E77:I80 E82:I85 E87:I90 E92:I95 E97:I100 E102:I105 E107:I110 E112:I115 E117:I120 E122:I125 E127:I128 E130:I133 E135:I138 E140:I143 E145:I148 E150:I153">
      <formula1>"1,2,3,4,5"</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sheetData>
    <row r="1">
      <c r="A1" s="97" t="s">
        <v>274</v>
      </c>
      <c r="B1" s="98"/>
      <c r="C1" s="98"/>
      <c r="D1" s="98"/>
      <c r="E1" s="98"/>
      <c r="F1" s="98"/>
      <c r="G1" s="98"/>
      <c r="H1" s="98"/>
      <c r="I1" s="98"/>
      <c r="J1" s="98"/>
      <c r="K1" s="98"/>
      <c r="L1" s="98"/>
      <c r="M1" s="98"/>
      <c r="N1" s="98"/>
      <c r="O1" s="98"/>
      <c r="P1" s="98"/>
      <c r="Q1" s="98"/>
      <c r="R1" s="98"/>
      <c r="S1" s="98"/>
      <c r="T1" s="98"/>
      <c r="U1" s="98"/>
      <c r="V1" s="98"/>
      <c r="W1" s="98"/>
      <c r="X1" s="98"/>
      <c r="Y1" s="98"/>
      <c r="Z1" s="98"/>
    </row>
    <row r="2">
      <c r="A2" s="99" t="s">
        <v>21</v>
      </c>
      <c r="B2" s="100" t="s">
        <v>275</v>
      </c>
      <c r="C2" s="96"/>
      <c r="D2" s="96"/>
      <c r="E2" s="96"/>
      <c r="F2" s="96"/>
      <c r="G2" s="96"/>
      <c r="H2" s="96"/>
      <c r="I2" s="96"/>
      <c r="J2" s="96"/>
      <c r="K2" s="96"/>
      <c r="L2" s="96"/>
      <c r="M2" s="96"/>
      <c r="N2" s="96"/>
      <c r="O2" s="96"/>
      <c r="P2" s="96"/>
      <c r="Q2" s="96"/>
      <c r="R2" s="96"/>
      <c r="S2" s="96"/>
      <c r="T2" s="96"/>
      <c r="U2" s="96"/>
      <c r="V2" s="96"/>
      <c r="W2" s="96"/>
      <c r="X2" s="96"/>
      <c r="Y2" s="96"/>
      <c r="Z2" s="96"/>
    </row>
    <row r="3">
      <c r="A3" s="99" t="s">
        <v>22</v>
      </c>
      <c r="B3" s="100" t="s">
        <v>276</v>
      </c>
      <c r="C3" s="96"/>
      <c r="D3" s="96"/>
      <c r="E3" s="96"/>
      <c r="F3" s="96"/>
      <c r="G3" s="96"/>
      <c r="H3" s="96"/>
      <c r="I3" s="96"/>
      <c r="J3" s="96"/>
      <c r="K3" s="96"/>
      <c r="L3" s="96"/>
      <c r="M3" s="96"/>
      <c r="N3" s="96"/>
      <c r="O3" s="96"/>
      <c r="P3" s="96"/>
      <c r="Q3" s="96"/>
      <c r="R3" s="96"/>
      <c r="S3" s="96"/>
      <c r="T3" s="96"/>
      <c r="U3" s="96"/>
      <c r="V3" s="96"/>
      <c r="W3" s="96"/>
      <c r="X3" s="96"/>
      <c r="Y3" s="96"/>
      <c r="Z3" s="96"/>
    </row>
    <row r="4">
      <c r="A4" s="99" t="s">
        <v>8</v>
      </c>
      <c r="B4" s="100" t="s">
        <v>277</v>
      </c>
      <c r="C4" s="96"/>
      <c r="D4" s="96"/>
      <c r="E4" s="96"/>
      <c r="F4" s="96"/>
      <c r="G4" s="96"/>
      <c r="H4" s="96"/>
      <c r="I4" s="96"/>
      <c r="J4" s="96"/>
      <c r="K4" s="96"/>
      <c r="L4" s="96"/>
      <c r="M4" s="96"/>
      <c r="N4" s="96"/>
      <c r="O4" s="96"/>
      <c r="P4" s="96"/>
      <c r="Q4" s="96"/>
      <c r="R4" s="96"/>
      <c r="S4" s="96"/>
      <c r="T4" s="96"/>
      <c r="U4" s="96"/>
      <c r="V4" s="96"/>
      <c r="W4" s="96"/>
      <c r="X4" s="96"/>
      <c r="Y4" s="96"/>
      <c r="Z4" s="96"/>
    </row>
    <row r="5">
      <c r="A5" s="99" t="s">
        <v>23</v>
      </c>
      <c r="B5" s="101" t="s">
        <v>278</v>
      </c>
      <c r="C5" s="96"/>
      <c r="D5" s="96"/>
      <c r="E5" s="96"/>
      <c r="F5" s="96"/>
      <c r="G5" s="96"/>
      <c r="H5" s="96"/>
      <c r="I5" s="96"/>
      <c r="J5" s="96"/>
      <c r="K5" s="96"/>
      <c r="L5" s="96"/>
      <c r="M5" s="96"/>
      <c r="N5" s="96"/>
      <c r="O5" s="96"/>
      <c r="P5" s="96"/>
      <c r="Q5" s="96"/>
      <c r="R5" s="96"/>
      <c r="S5" s="96"/>
      <c r="T5" s="96"/>
      <c r="U5" s="96"/>
      <c r="V5" s="96"/>
      <c r="W5" s="96"/>
      <c r="X5" s="96"/>
      <c r="Y5" s="96"/>
      <c r="Z5" s="96"/>
    </row>
    <row r="6">
      <c r="A6" s="102" t="s">
        <v>279</v>
      </c>
      <c r="B6" s="98"/>
      <c r="C6" s="98"/>
      <c r="D6" s="98"/>
      <c r="E6" s="98"/>
      <c r="F6" s="98"/>
      <c r="G6" s="98"/>
      <c r="H6" s="98"/>
      <c r="I6" s="98"/>
      <c r="J6" s="98"/>
      <c r="K6" s="98"/>
      <c r="L6" s="98"/>
      <c r="M6" s="98"/>
      <c r="N6" s="98"/>
      <c r="O6" s="98"/>
      <c r="P6" s="98"/>
      <c r="Q6" s="98"/>
      <c r="R6" s="98"/>
      <c r="S6" s="98"/>
      <c r="T6" s="98"/>
      <c r="U6" s="98"/>
      <c r="V6" s="98"/>
      <c r="W6" s="98"/>
      <c r="X6" s="98"/>
      <c r="Y6" s="98"/>
      <c r="Z6" s="98"/>
    </row>
    <row r="7">
      <c r="A7" s="99" t="s">
        <v>16</v>
      </c>
      <c r="B7" s="100" t="s">
        <v>280</v>
      </c>
      <c r="C7" s="96"/>
      <c r="D7" s="96"/>
      <c r="E7" s="96"/>
      <c r="F7" s="96"/>
      <c r="G7" s="96"/>
      <c r="H7" s="96"/>
      <c r="I7" s="96"/>
      <c r="J7" s="96"/>
      <c r="K7" s="96"/>
      <c r="L7" s="96"/>
      <c r="M7" s="96"/>
      <c r="N7" s="96"/>
      <c r="O7" s="96"/>
      <c r="P7" s="96"/>
      <c r="Q7" s="96"/>
      <c r="R7" s="96"/>
      <c r="S7" s="96"/>
      <c r="T7" s="96"/>
      <c r="U7" s="96"/>
      <c r="V7" s="96"/>
      <c r="W7" s="96"/>
      <c r="X7" s="96"/>
      <c r="Y7" s="96"/>
      <c r="Z7" s="96"/>
    </row>
    <row r="8">
      <c r="A8" s="99" t="s">
        <v>17</v>
      </c>
      <c r="B8" s="103" t="s">
        <v>281</v>
      </c>
      <c r="C8" s="96"/>
      <c r="D8" s="96"/>
      <c r="E8" s="96"/>
      <c r="F8" s="96"/>
      <c r="G8" s="96"/>
      <c r="H8" s="96"/>
      <c r="I8" s="96"/>
      <c r="J8" s="96"/>
      <c r="K8" s="96"/>
      <c r="L8" s="96"/>
      <c r="M8" s="96"/>
      <c r="N8" s="96"/>
      <c r="O8" s="96"/>
      <c r="P8" s="96"/>
      <c r="Q8" s="96"/>
      <c r="R8" s="96"/>
      <c r="S8" s="96"/>
      <c r="T8" s="96"/>
      <c r="U8" s="96"/>
      <c r="V8" s="96"/>
      <c r="W8" s="96"/>
      <c r="X8" s="96"/>
      <c r="Y8" s="96"/>
      <c r="Z8" s="96"/>
    </row>
    <row r="9">
      <c r="A9" s="99" t="s">
        <v>18</v>
      </c>
      <c r="B9" s="103" t="s">
        <v>282</v>
      </c>
      <c r="C9" s="96"/>
      <c r="D9" s="96"/>
      <c r="E9" s="96"/>
      <c r="F9" s="96"/>
      <c r="G9" s="96"/>
      <c r="H9" s="96"/>
      <c r="I9" s="96"/>
      <c r="J9" s="96"/>
      <c r="K9" s="96"/>
      <c r="L9" s="96"/>
      <c r="M9" s="96"/>
      <c r="N9" s="96"/>
      <c r="O9" s="96"/>
      <c r="P9" s="96"/>
      <c r="Q9" s="96"/>
      <c r="R9" s="96"/>
      <c r="S9" s="96"/>
      <c r="T9" s="96"/>
      <c r="U9" s="96"/>
      <c r="V9" s="96"/>
      <c r="W9" s="96"/>
      <c r="X9" s="96"/>
      <c r="Y9" s="96"/>
      <c r="Z9" s="96"/>
    </row>
    <row r="10">
      <c r="A10" s="99" t="s">
        <v>19</v>
      </c>
      <c r="B10" s="103" t="s">
        <v>283</v>
      </c>
      <c r="C10" s="96"/>
      <c r="D10" s="96"/>
      <c r="E10" s="96"/>
      <c r="F10" s="96"/>
      <c r="G10" s="96"/>
      <c r="H10" s="96"/>
      <c r="I10" s="96"/>
      <c r="J10" s="96"/>
      <c r="K10" s="96"/>
      <c r="L10" s="96"/>
      <c r="M10" s="96"/>
      <c r="N10" s="96"/>
      <c r="O10" s="96"/>
      <c r="P10" s="96"/>
      <c r="Q10" s="96"/>
      <c r="R10" s="96"/>
      <c r="S10" s="96"/>
      <c r="T10" s="96"/>
      <c r="U10" s="96"/>
      <c r="V10" s="96"/>
      <c r="W10" s="96"/>
      <c r="X10" s="96"/>
      <c r="Y10" s="96"/>
      <c r="Z10" s="96"/>
    </row>
    <row r="11">
      <c r="A11" s="99" t="s">
        <v>284</v>
      </c>
      <c r="B11" s="103" t="s">
        <v>285</v>
      </c>
      <c r="C11" s="96"/>
      <c r="D11" s="96"/>
      <c r="E11" s="96"/>
      <c r="F11" s="96"/>
      <c r="G11" s="96"/>
      <c r="H11" s="96"/>
      <c r="I11" s="96"/>
      <c r="J11" s="96"/>
      <c r="K11" s="96"/>
      <c r="L11" s="96"/>
      <c r="M11" s="96"/>
      <c r="N11" s="96"/>
      <c r="O11" s="96"/>
      <c r="P11" s="96"/>
      <c r="Q11" s="96"/>
      <c r="R11" s="96"/>
      <c r="S11" s="96"/>
      <c r="T11" s="96"/>
      <c r="U11" s="96"/>
      <c r="V11" s="96"/>
      <c r="W11" s="96"/>
      <c r="X11" s="96"/>
      <c r="Y11" s="96"/>
      <c r="Z11" s="96"/>
    </row>
    <row r="12">
      <c r="A12" s="102" t="s">
        <v>286</v>
      </c>
      <c r="B12" s="98"/>
      <c r="C12" s="98"/>
      <c r="D12" s="98"/>
      <c r="E12" s="98"/>
      <c r="F12" s="98"/>
      <c r="G12" s="98"/>
      <c r="H12" s="98"/>
      <c r="I12" s="98"/>
      <c r="J12" s="98"/>
      <c r="K12" s="98"/>
      <c r="L12" s="98"/>
      <c r="M12" s="98"/>
      <c r="N12" s="98"/>
      <c r="O12" s="98"/>
      <c r="P12" s="98"/>
      <c r="Q12" s="98"/>
      <c r="R12" s="98"/>
      <c r="S12" s="98"/>
      <c r="T12" s="98"/>
      <c r="U12" s="98"/>
      <c r="V12" s="98"/>
      <c r="W12" s="98"/>
      <c r="X12" s="98"/>
      <c r="Y12" s="98"/>
      <c r="Z12" s="98"/>
    </row>
    <row r="13">
      <c r="A13" s="99" t="s">
        <v>4</v>
      </c>
      <c r="B13" s="103" t="s">
        <v>287</v>
      </c>
      <c r="C13" s="96"/>
      <c r="D13" s="96"/>
      <c r="E13" s="96"/>
      <c r="F13" s="96"/>
      <c r="G13" s="96"/>
      <c r="H13" s="96"/>
      <c r="I13" s="96"/>
      <c r="J13" s="96"/>
      <c r="K13" s="96"/>
      <c r="L13" s="96"/>
      <c r="M13" s="96"/>
      <c r="N13" s="96"/>
      <c r="O13" s="96"/>
      <c r="P13" s="96"/>
      <c r="Q13" s="96"/>
      <c r="R13" s="96"/>
      <c r="S13" s="96"/>
      <c r="T13" s="96"/>
      <c r="U13" s="96"/>
      <c r="V13" s="96"/>
      <c r="W13" s="96"/>
      <c r="X13" s="96"/>
      <c r="Y13" s="96"/>
      <c r="Z13" s="96"/>
    </row>
    <row r="14">
      <c r="A14" s="104" t="s">
        <v>5</v>
      </c>
      <c r="B14" s="103" t="s">
        <v>288</v>
      </c>
      <c r="C14" s="96"/>
      <c r="D14" s="96"/>
      <c r="E14" s="96"/>
      <c r="F14" s="96"/>
      <c r="G14" s="96"/>
      <c r="H14" s="96"/>
      <c r="I14" s="96"/>
      <c r="J14" s="96"/>
      <c r="K14" s="96"/>
      <c r="L14" s="96"/>
      <c r="M14" s="96"/>
      <c r="N14" s="96"/>
      <c r="O14" s="96"/>
      <c r="P14" s="96"/>
      <c r="Q14" s="96"/>
      <c r="R14" s="96"/>
      <c r="S14" s="96"/>
      <c r="T14" s="96"/>
      <c r="U14" s="96"/>
      <c r="V14" s="96"/>
      <c r="W14" s="96"/>
      <c r="X14" s="96"/>
      <c r="Y14" s="96"/>
      <c r="Z14" s="96"/>
    </row>
    <row r="15">
      <c r="A15" s="104" t="s">
        <v>6</v>
      </c>
      <c r="B15" s="103" t="s">
        <v>289</v>
      </c>
      <c r="C15" s="96"/>
      <c r="D15" s="96"/>
      <c r="E15" s="96"/>
      <c r="F15" s="96"/>
      <c r="G15" s="96"/>
      <c r="H15" s="96"/>
      <c r="I15" s="96"/>
      <c r="J15" s="96"/>
      <c r="K15" s="96"/>
      <c r="L15" s="96"/>
      <c r="M15" s="96"/>
      <c r="N15" s="96"/>
      <c r="O15" s="96"/>
      <c r="P15" s="96"/>
      <c r="Q15" s="96"/>
      <c r="R15" s="96"/>
      <c r="S15" s="96"/>
      <c r="T15" s="96"/>
      <c r="U15" s="96"/>
      <c r="V15" s="96"/>
      <c r="W15" s="96"/>
      <c r="X15" s="96"/>
      <c r="Y15" s="96"/>
      <c r="Z15" s="96"/>
    </row>
    <row r="16">
      <c r="A16" s="104" t="s">
        <v>7</v>
      </c>
      <c r="B16" s="103" t="s">
        <v>290</v>
      </c>
      <c r="C16" s="96"/>
      <c r="D16" s="96"/>
      <c r="E16" s="96"/>
      <c r="F16" s="96"/>
      <c r="G16" s="96"/>
      <c r="H16" s="96"/>
      <c r="I16" s="96"/>
      <c r="J16" s="96"/>
      <c r="K16" s="96"/>
      <c r="L16" s="96"/>
      <c r="M16" s="96"/>
      <c r="N16" s="96"/>
      <c r="O16" s="96"/>
      <c r="P16" s="96"/>
      <c r="Q16" s="96"/>
      <c r="R16" s="96"/>
      <c r="S16" s="96"/>
      <c r="T16" s="96"/>
      <c r="U16" s="96"/>
      <c r="V16" s="96"/>
      <c r="W16" s="96"/>
      <c r="X16" s="96"/>
      <c r="Y16" s="96"/>
      <c r="Z16" s="96"/>
    </row>
    <row r="17">
      <c r="A17" s="104" t="s">
        <v>8</v>
      </c>
      <c r="B17" s="103" t="s">
        <v>291</v>
      </c>
      <c r="C17" s="96"/>
      <c r="D17" s="96"/>
      <c r="E17" s="96"/>
      <c r="F17" s="96"/>
      <c r="G17" s="96"/>
      <c r="H17" s="96"/>
      <c r="I17" s="96"/>
      <c r="J17" s="96"/>
      <c r="K17" s="96"/>
      <c r="L17" s="96"/>
      <c r="M17" s="96"/>
      <c r="N17" s="96"/>
      <c r="O17" s="96"/>
      <c r="P17" s="96"/>
      <c r="Q17" s="96"/>
      <c r="R17" s="96"/>
      <c r="S17" s="96"/>
      <c r="T17" s="96"/>
      <c r="U17" s="96"/>
      <c r="V17" s="96"/>
      <c r="W17" s="96"/>
      <c r="X17" s="96"/>
      <c r="Y17" s="96"/>
      <c r="Z17" s="96"/>
    </row>
    <row r="18">
      <c r="A18" s="102" t="s">
        <v>292</v>
      </c>
      <c r="B18" s="98"/>
      <c r="C18" s="98"/>
      <c r="D18" s="98"/>
      <c r="E18" s="98"/>
      <c r="F18" s="98"/>
      <c r="G18" s="98"/>
      <c r="H18" s="98"/>
      <c r="I18" s="98"/>
      <c r="J18" s="98"/>
      <c r="K18" s="98"/>
      <c r="L18" s="98"/>
      <c r="M18" s="98"/>
      <c r="N18" s="98"/>
      <c r="O18" s="98"/>
      <c r="P18" s="98"/>
      <c r="Q18" s="98"/>
      <c r="R18" s="98"/>
      <c r="S18" s="98"/>
      <c r="T18" s="98"/>
      <c r="U18" s="98"/>
      <c r="V18" s="98"/>
      <c r="W18" s="98"/>
      <c r="X18" s="98"/>
      <c r="Y18" s="98"/>
      <c r="Z18" s="98"/>
    </row>
    <row r="19">
      <c r="A19" s="105" t="s">
        <v>293</v>
      </c>
      <c r="B19" s="103" t="s">
        <v>294</v>
      </c>
      <c r="C19" s="96"/>
      <c r="D19" s="96"/>
      <c r="E19" s="96"/>
      <c r="F19" s="96"/>
      <c r="G19" s="96"/>
      <c r="H19" s="96"/>
      <c r="I19" s="96"/>
      <c r="J19" s="96"/>
      <c r="K19" s="96"/>
      <c r="L19" s="96"/>
      <c r="M19" s="96"/>
      <c r="N19" s="96"/>
      <c r="O19" s="96"/>
      <c r="P19" s="96"/>
      <c r="Q19" s="96"/>
      <c r="R19" s="96"/>
      <c r="S19" s="96"/>
      <c r="T19" s="96"/>
      <c r="U19" s="96"/>
      <c r="V19" s="96"/>
      <c r="W19" s="96"/>
      <c r="X19" s="96"/>
      <c r="Y19" s="96"/>
      <c r="Z19" s="96"/>
    </row>
    <row r="20">
      <c r="A20" s="106" t="s">
        <v>293</v>
      </c>
      <c r="B20" s="103" t="s">
        <v>295</v>
      </c>
      <c r="C20" s="96"/>
      <c r="D20" s="96"/>
      <c r="E20" s="96"/>
      <c r="F20" s="96"/>
      <c r="G20" s="96"/>
      <c r="H20" s="96"/>
      <c r="I20" s="96"/>
      <c r="J20" s="96"/>
      <c r="K20" s="96"/>
      <c r="L20" s="96"/>
      <c r="M20" s="96"/>
      <c r="N20" s="96"/>
      <c r="O20" s="96"/>
      <c r="P20" s="96"/>
      <c r="Q20" s="96"/>
      <c r="R20" s="96"/>
      <c r="S20" s="96"/>
      <c r="T20" s="96"/>
      <c r="U20" s="96"/>
      <c r="V20" s="96"/>
      <c r="W20" s="96"/>
      <c r="X20" s="96"/>
      <c r="Y20" s="96"/>
      <c r="Z20" s="96"/>
    </row>
    <row r="21">
      <c r="A21" s="107" t="s">
        <v>293</v>
      </c>
      <c r="B21" s="103" t="s">
        <v>296</v>
      </c>
      <c r="C21" s="96"/>
      <c r="D21" s="96"/>
      <c r="E21" s="96"/>
      <c r="F21" s="96"/>
      <c r="G21" s="96"/>
      <c r="H21" s="96"/>
      <c r="I21" s="96"/>
      <c r="J21" s="96"/>
      <c r="K21" s="96"/>
      <c r="L21" s="96"/>
      <c r="M21" s="96"/>
      <c r="N21" s="96"/>
      <c r="O21" s="96"/>
      <c r="P21" s="96"/>
      <c r="Q21" s="96"/>
      <c r="R21" s="96"/>
      <c r="S21" s="96"/>
      <c r="T21" s="96"/>
      <c r="U21" s="96"/>
      <c r="V21" s="96"/>
      <c r="W21" s="96"/>
      <c r="X21" s="96"/>
      <c r="Y21" s="96"/>
      <c r="Z21" s="96"/>
    </row>
    <row r="22">
      <c r="A22" s="108" t="s">
        <v>297</v>
      </c>
      <c r="B22" s="96"/>
      <c r="C22" s="96"/>
      <c r="D22" s="96"/>
      <c r="E22" s="96"/>
      <c r="F22" s="96"/>
      <c r="G22" s="96"/>
      <c r="H22" s="96"/>
      <c r="I22" s="96"/>
      <c r="J22" s="96"/>
      <c r="K22" s="96"/>
      <c r="L22" s="96"/>
      <c r="M22" s="96"/>
      <c r="N22" s="96"/>
      <c r="O22" s="96"/>
      <c r="P22" s="96"/>
      <c r="Q22" s="96"/>
      <c r="R22" s="96"/>
      <c r="S22" s="96"/>
      <c r="T22" s="96"/>
      <c r="U22" s="96"/>
      <c r="V22" s="96"/>
      <c r="W22" s="96"/>
      <c r="X22" s="96"/>
      <c r="Y22" s="96"/>
      <c r="Z22" s="96"/>
    </row>
    <row r="23">
      <c r="A23" s="109" t="s">
        <v>298</v>
      </c>
      <c r="B23" s="96"/>
      <c r="C23" s="96"/>
      <c r="D23" s="96"/>
      <c r="E23" s="96"/>
      <c r="F23" s="96"/>
      <c r="G23" s="96"/>
      <c r="H23" s="96"/>
      <c r="I23" s="96"/>
      <c r="J23" s="96"/>
      <c r="K23" s="96"/>
      <c r="L23" s="96"/>
      <c r="M23" s="96"/>
      <c r="N23" s="96"/>
      <c r="O23" s="96"/>
      <c r="P23" s="96"/>
      <c r="Q23" s="96"/>
      <c r="R23" s="96"/>
      <c r="S23" s="96"/>
      <c r="T23" s="96"/>
      <c r="U23" s="96"/>
      <c r="V23" s="96"/>
      <c r="W23" s="96"/>
      <c r="X23" s="96"/>
      <c r="Y23" s="96"/>
      <c r="Z23" s="96"/>
    </row>
    <row r="24">
      <c r="A24" s="110" t="s">
        <v>299</v>
      </c>
      <c r="B24" s="96"/>
      <c r="C24" s="96"/>
      <c r="D24" s="96"/>
      <c r="E24" s="96"/>
      <c r="F24" s="96"/>
      <c r="G24" s="96"/>
      <c r="H24" s="96"/>
      <c r="I24" s="96"/>
      <c r="J24" s="96"/>
      <c r="K24" s="96"/>
      <c r="L24" s="96"/>
      <c r="M24" s="96"/>
      <c r="N24" s="96"/>
      <c r="O24" s="96"/>
      <c r="P24" s="96"/>
      <c r="Q24" s="96"/>
      <c r="R24" s="96"/>
      <c r="S24" s="96"/>
      <c r="T24" s="96"/>
      <c r="U24" s="96"/>
      <c r="V24" s="96"/>
      <c r="W24" s="96"/>
      <c r="X24" s="96"/>
      <c r="Y24" s="96"/>
      <c r="Z24" s="96"/>
    </row>
    <row r="25">
      <c r="A25" s="111" t="s">
        <v>300</v>
      </c>
      <c r="B25" s="96"/>
      <c r="C25" s="96"/>
      <c r="D25" s="96"/>
      <c r="E25" s="96"/>
      <c r="F25" s="96"/>
      <c r="G25" s="96"/>
      <c r="H25" s="96"/>
      <c r="I25" s="96"/>
      <c r="J25" s="96"/>
      <c r="K25" s="96"/>
      <c r="L25" s="96"/>
      <c r="M25" s="96"/>
      <c r="N25" s="96"/>
      <c r="O25" s="96"/>
      <c r="P25" s="96"/>
      <c r="Q25" s="96"/>
      <c r="R25" s="96"/>
      <c r="S25" s="96"/>
      <c r="T25" s="96"/>
      <c r="U25" s="96"/>
      <c r="V25" s="96"/>
      <c r="W25" s="96"/>
      <c r="X25" s="96"/>
      <c r="Y25" s="96"/>
      <c r="Z25" s="96"/>
    </row>
    <row r="26">
      <c r="A26" s="112" t="s">
        <v>301</v>
      </c>
      <c r="B26" s="96"/>
      <c r="C26" s="96"/>
      <c r="D26" s="96"/>
      <c r="E26" s="96"/>
      <c r="F26" s="96"/>
      <c r="G26" s="96"/>
      <c r="H26" s="96"/>
      <c r="I26" s="96"/>
      <c r="J26" s="96"/>
      <c r="K26" s="96"/>
      <c r="L26" s="96"/>
      <c r="M26" s="96"/>
      <c r="N26" s="96"/>
      <c r="O26" s="96"/>
      <c r="P26" s="96"/>
      <c r="Q26" s="96"/>
      <c r="R26" s="96"/>
      <c r="S26" s="96"/>
      <c r="T26" s="96"/>
      <c r="U26" s="96"/>
      <c r="V26" s="96"/>
      <c r="W26" s="96"/>
      <c r="X26" s="96"/>
      <c r="Y26" s="96"/>
      <c r="Z26" s="96"/>
    </row>
    <row r="27">
      <c r="A27" s="113" t="s">
        <v>302</v>
      </c>
      <c r="B27" s="96"/>
      <c r="C27" s="96"/>
      <c r="D27" s="96"/>
      <c r="E27" s="96"/>
      <c r="F27" s="96"/>
      <c r="G27" s="96"/>
      <c r="H27" s="96"/>
      <c r="I27" s="96"/>
      <c r="J27" s="96"/>
      <c r="K27" s="96"/>
      <c r="L27" s="96"/>
      <c r="M27" s="96"/>
      <c r="N27" s="96"/>
      <c r="O27" s="96"/>
      <c r="P27" s="96"/>
      <c r="Q27" s="96"/>
      <c r="R27" s="96"/>
      <c r="S27" s="96"/>
      <c r="T27" s="96"/>
      <c r="U27" s="96"/>
      <c r="V27" s="96"/>
      <c r="W27" s="96"/>
      <c r="X27" s="96"/>
      <c r="Y27" s="96"/>
      <c r="Z27" s="96"/>
    </row>
    <row r="28">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row>
    <row r="29">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row>
    <row r="30">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row>
    <row r="31">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row>
    <row r="32">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row>
    <row r="33">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row>
    <row r="34">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row>
    <row r="35">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row>
    <row r="37">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row>
    <row r="38">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row>
    <row r="40">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row>
    <row r="45">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row>
    <row r="47">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row>
    <row r="51">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row>
    <row r="52">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row>
    <row r="53">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row>
    <row r="54">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row>
    <row r="58">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row>
    <row r="66">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row>
    <row r="69">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row r="1001">
      <c r="A1001" s="96"/>
      <c r="B1001" s="96"/>
      <c r="C1001" s="96"/>
      <c r="D1001" s="96"/>
      <c r="E1001" s="96"/>
      <c r="F1001" s="96"/>
      <c r="G1001" s="96"/>
      <c r="H1001" s="96"/>
      <c r="I1001" s="96"/>
      <c r="J1001" s="96"/>
      <c r="K1001" s="96"/>
      <c r="L1001" s="96"/>
      <c r="M1001" s="96"/>
      <c r="N1001" s="96"/>
      <c r="O1001" s="96"/>
      <c r="P1001" s="96"/>
      <c r="Q1001" s="96"/>
      <c r="R1001" s="96"/>
      <c r="S1001" s="96"/>
      <c r="T1001" s="96"/>
      <c r="U1001" s="96"/>
      <c r="V1001" s="96"/>
      <c r="W1001" s="96"/>
      <c r="X1001" s="96"/>
      <c r="Y1001" s="96"/>
      <c r="Z1001" s="96"/>
    </row>
  </sheetData>
  <dataValidations>
    <dataValidation type="list" allowBlank="1" showErrorMessage="1" sqref="A2:A5 A7:A11">
      <formula1>"5W1H,Base,CoT,tldr,Heading,Jeremy,Begoña,Alba,Naiara"</formula1>
    </dataValidation>
  </dataValidations>
  <drawing r:id="rId1"/>
</worksheet>
</file>