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ffb089779bbc824/Documents/Financial Modelling/"/>
    </mc:Choice>
  </mc:AlternateContent>
  <xr:revisionPtr revIDLastSave="811" documentId="13_ncr:1_{C2E18D4F-CC89-9B4C-BD7F-BBFAEFA4B4E8}" xr6:coauthVersionLast="47" xr6:coauthVersionMax="47" xr10:uidLastSave="{9F752EC5-D623-B942-9CA1-90D039632D63}"/>
  <bookViews>
    <workbookView xWindow="68580" yWindow="-220" windowWidth="38460" windowHeight="21100" xr2:uid="{94796016-B9F7-0644-AC4E-6768ED896EA7}"/>
  </bookViews>
  <sheets>
    <sheet name="Three-State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7" i="1" l="1"/>
  <c r="G12" i="1"/>
  <c r="G11" i="1"/>
  <c r="G106" i="1"/>
  <c r="K103" i="1"/>
  <c r="J103" i="1"/>
  <c r="I103" i="1"/>
  <c r="H103" i="1"/>
  <c r="G103" i="1"/>
  <c r="G104" i="1"/>
  <c r="G100" i="1"/>
  <c r="K106" i="1"/>
  <c r="J106" i="1"/>
  <c r="I106" i="1"/>
  <c r="H106" i="1"/>
  <c r="K102" i="1"/>
  <c r="J102" i="1"/>
  <c r="I102" i="1"/>
  <c r="H102" i="1"/>
  <c r="G102" i="1"/>
  <c r="K104" i="1"/>
  <c r="J104" i="1"/>
  <c r="I104" i="1"/>
  <c r="H104" i="1"/>
  <c r="K100" i="1"/>
  <c r="J100" i="1"/>
  <c r="I100" i="1"/>
  <c r="H100" i="1"/>
  <c r="G60" i="1"/>
  <c r="H60" i="1" s="1"/>
  <c r="G78" i="1"/>
  <c r="G74" i="1"/>
  <c r="G76" i="1" s="1"/>
  <c r="H74" i="1" s="1"/>
  <c r="H76" i="1" s="1"/>
  <c r="G70" i="1"/>
  <c r="G72" i="1" s="1"/>
  <c r="F62" i="1"/>
  <c r="E62" i="1"/>
  <c r="F51" i="1"/>
  <c r="F56" i="1" s="1"/>
  <c r="E51" i="1"/>
  <c r="E56" i="1" s="1"/>
  <c r="D51" i="1"/>
  <c r="D56" i="1" s="1"/>
  <c r="F44" i="1"/>
  <c r="E44" i="1"/>
  <c r="D44" i="1"/>
  <c r="E40" i="1"/>
  <c r="D40" i="1"/>
  <c r="F40" i="1"/>
  <c r="F21" i="1"/>
  <c r="E21" i="1"/>
  <c r="D21" i="1"/>
  <c r="D20" i="1"/>
  <c r="E20" i="1"/>
  <c r="F20" i="1"/>
  <c r="E19" i="1"/>
  <c r="G19" i="1" s="1"/>
  <c r="F19" i="1"/>
  <c r="F9" i="1"/>
  <c r="F13" i="1" s="1"/>
  <c r="F16" i="1" s="1"/>
  <c r="E9" i="1"/>
  <c r="E13" i="1" s="1"/>
  <c r="D9" i="1"/>
  <c r="D13" i="1" s="1"/>
  <c r="D22" i="1" s="1"/>
  <c r="H19" i="1" l="1"/>
  <c r="F64" i="1"/>
  <c r="G20" i="1"/>
  <c r="H20" i="1"/>
  <c r="I20" i="1" s="1"/>
  <c r="J20" i="1" s="1"/>
  <c r="K20" i="1" s="1"/>
  <c r="I19" i="1"/>
  <c r="J19" i="1" s="1"/>
  <c r="K19" i="1" s="1"/>
  <c r="H70" i="1"/>
  <c r="H72" i="1" s="1"/>
  <c r="G58" i="1"/>
  <c r="I60" i="1"/>
  <c r="H105" i="1"/>
  <c r="G105" i="1"/>
  <c r="E64" i="1"/>
  <c r="I74" i="1"/>
  <c r="I76" i="1" s="1"/>
  <c r="H59" i="1"/>
  <c r="G59" i="1"/>
  <c r="E46" i="1"/>
  <c r="E65" i="1" s="1"/>
  <c r="E22" i="1"/>
  <c r="E16" i="1"/>
  <c r="G21" i="1"/>
  <c r="J21" i="1" s="1"/>
  <c r="F46" i="1"/>
  <c r="D46" i="1"/>
  <c r="D65" i="1" s="1"/>
  <c r="F22" i="1"/>
  <c r="D16" i="1"/>
  <c r="F65" i="1" l="1"/>
  <c r="F66" i="1" s="1"/>
  <c r="F67" i="1" s="1"/>
  <c r="E66" i="1"/>
  <c r="J60" i="1"/>
  <c r="I105" i="1"/>
  <c r="G25" i="1"/>
  <c r="G26" i="1"/>
  <c r="G96" i="1" s="1"/>
  <c r="G29" i="1"/>
  <c r="G97" i="1" s="1"/>
  <c r="G50" i="1"/>
  <c r="G28" i="1"/>
  <c r="H28" i="1" s="1"/>
  <c r="I28" i="1" s="1"/>
  <c r="J28" i="1" s="1"/>
  <c r="K28" i="1" s="1"/>
  <c r="G49" i="1"/>
  <c r="I70" i="1"/>
  <c r="I72" i="1" s="1"/>
  <c r="H58" i="1"/>
  <c r="G22" i="1"/>
  <c r="K22" i="1" s="1"/>
  <c r="E67" i="1"/>
  <c r="J74" i="1"/>
  <c r="J76" i="1" s="1"/>
  <c r="I59" i="1"/>
  <c r="I21" i="1"/>
  <c r="K21" i="1"/>
  <c r="G6" i="1"/>
  <c r="G7" i="1" s="1"/>
  <c r="G23" i="1" s="1"/>
  <c r="G39" i="1"/>
  <c r="G37" i="1"/>
  <c r="H21" i="1"/>
  <c r="J22" i="1"/>
  <c r="G88" i="1" l="1"/>
  <c r="H25" i="1"/>
  <c r="I25" i="1" s="1"/>
  <c r="G87" i="1"/>
  <c r="H22" i="1"/>
  <c r="I22" i="1"/>
  <c r="G42" i="1"/>
  <c r="H6" i="1"/>
  <c r="H7" i="1" s="1"/>
  <c r="H23" i="1" s="1"/>
  <c r="H39" i="1"/>
  <c r="I39" i="1" s="1"/>
  <c r="G90" i="1"/>
  <c r="G38" i="1"/>
  <c r="G48" i="1"/>
  <c r="G93" i="1"/>
  <c r="H50" i="1"/>
  <c r="H29" i="1"/>
  <c r="G43" i="1"/>
  <c r="H26" i="1"/>
  <c r="J70" i="1"/>
  <c r="J72" i="1" s="1"/>
  <c r="I58" i="1"/>
  <c r="G92" i="1"/>
  <c r="H49" i="1"/>
  <c r="J105" i="1"/>
  <c r="K60" i="1"/>
  <c r="K74" i="1"/>
  <c r="K76" i="1" s="1"/>
  <c r="K59" i="1" s="1"/>
  <c r="J59" i="1"/>
  <c r="G8" i="1"/>
  <c r="G9" i="1" s="1"/>
  <c r="G13" i="1" s="1"/>
  <c r="G15" i="1" s="1"/>
  <c r="H37" i="1"/>
  <c r="H87" i="1" l="1"/>
  <c r="H8" i="1"/>
  <c r="H9" i="1" s="1"/>
  <c r="G89" i="1"/>
  <c r="H42" i="1"/>
  <c r="H88" i="1"/>
  <c r="G44" i="1"/>
  <c r="I6" i="1"/>
  <c r="J6" i="1" s="1"/>
  <c r="G98" i="1"/>
  <c r="H38" i="1"/>
  <c r="H89" i="1" s="1"/>
  <c r="H90" i="1"/>
  <c r="J39" i="1"/>
  <c r="J90" i="1" s="1"/>
  <c r="I29" i="1"/>
  <c r="H97" i="1"/>
  <c r="I49" i="1"/>
  <c r="H92" i="1"/>
  <c r="I50" i="1"/>
  <c r="H93" i="1"/>
  <c r="J25" i="1"/>
  <c r="I87" i="1"/>
  <c r="H48" i="1"/>
  <c r="G51" i="1"/>
  <c r="G91" i="1"/>
  <c r="I37" i="1"/>
  <c r="I88" i="1" s="1"/>
  <c r="H96" i="1"/>
  <c r="I26" i="1"/>
  <c r="K105" i="1"/>
  <c r="K70" i="1"/>
  <c r="K72" i="1" s="1"/>
  <c r="K58" i="1" s="1"/>
  <c r="J58" i="1"/>
  <c r="H43" i="1"/>
  <c r="I90" i="1"/>
  <c r="I7" i="1" l="1"/>
  <c r="I8" i="1"/>
  <c r="I43" i="1"/>
  <c r="J37" i="1"/>
  <c r="H91" i="1"/>
  <c r="I48" i="1"/>
  <c r="H51" i="1"/>
  <c r="J49" i="1"/>
  <c r="I92" i="1"/>
  <c r="H44" i="1"/>
  <c r="I96" i="1"/>
  <c r="J26" i="1"/>
  <c r="K25" i="1"/>
  <c r="K87" i="1" s="1"/>
  <c r="J87" i="1"/>
  <c r="J29" i="1"/>
  <c r="I97" i="1"/>
  <c r="I42" i="1"/>
  <c r="H98" i="1"/>
  <c r="J50" i="1"/>
  <c r="I93" i="1"/>
  <c r="K39" i="1"/>
  <c r="K90" i="1" s="1"/>
  <c r="I23" i="1"/>
  <c r="I38" i="1" s="1"/>
  <c r="K6" i="1"/>
  <c r="J8" i="1"/>
  <c r="J7" i="1"/>
  <c r="I9" i="1" l="1"/>
  <c r="I44" i="1"/>
  <c r="K37" i="1"/>
  <c r="K88" i="1"/>
  <c r="J88" i="1"/>
  <c r="I89" i="1"/>
  <c r="I98" i="1"/>
  <c r="K29" i="1"/>
  <c r="K97" i="1" s="1"/>
  <c r="J97" i="1"/>
  <c r="K49" i="1"/>
  <c r="K92" i="1" s="1"/>
  <c r="J92" i="1"/>
  <c r="K50" i="1"/>
  <c r="K93" i="1" s="1"/>
  <c r="J93" i="1"/>
  <c r="J48" i="1"/>
  <c r="I91" i="1"/>
  <c r="I51" i="1"/>
  <c r="K26" i="1"/>
  <c r="K96" i="1" s="1"/>
  <c r="J96" i="1"/>
  <c r="J42" i="1"/>
  <c r="J43" i="1"/>
  <c r="J9" i="1"/>
  <c r="J23" i="1"/>
  <c r="J38" i="1" s="1"/>
  <c r="K8" i="1"/>
  <c r="K7" i="1"/>
  <c r="J89" i="1" l="1"/>
  <c r="J98" i="1"/>
  <c r="K43" i="1"/>
  <c r="K42" i="1"/>
  <c r="K44" i="1" s="1"/>
  <c r="K98" i="1"/>
  <c r="J44" i="1"/>
  <c r="J91" i="1"/>
  <c r="K48" i="1"/>
  <c r="J51" i="1"/>
  <c r="K9" i="1"/>
  <c r="K23" i="1"/>
  <c r="K38" i="1" s="1"/>
  <c r="K89" i="1" s="1"/>
  <c r="D62" i="1"/>
  <c r="G16" i="1"/>
  <c r="G86" i="1" s="1"/>
  <c r="D64" i="1" l="1"/>
  <c r="D66" i="1" s="1"/>
  <c r="D67" i="1" s="1"/>
  <c r="K51" i="1"/>
  <c r="K91" i="1"/>
  <c r="G79" i="1"/>
  <c r="G94" i="1"/>
  <c r="G111" i="1" s="1"/>
  <c r="G112" i="1" l="1"/>
  <c r="G53" i="1" s="1"/>
  <c r="H12" i="1" s="1"/>
  <c r="G81" i="1"/>
  <c r="G61" i="1" s="1"/>
  <c r="G62" i="1" s="1"/>
  <c r="G101" i="1" l="1"/>
  <c r="G109" i="1" s="1"/>
  <c r="G36" i="1" s="1"/>
  <c r="H11" i="1" s="1"/>
  <c r="H13" i="1" s="1"/>
  <c r="H15" i="1" s="1"/>
  <c r="H16" i="1" s="1"/>
  <c r="H78" i="1"/>
  <c r="H79" i="1" l="1"/>
  <c r="H81" i="1" s="1"/>
  <c r="H86" i="1"/>
  <c r="H94" i="1" s="1"/>
  <c r="H111" i="1" s="1"/>
  <c r="G40" i="1"/>
  <c r="G46" i="1" s="1"/>
  <c r="G65" i="1" s="1"/>
  <c r="I78" i="1" l="1"/>
  <c r="H61" i="1"/>
  <c r="H62" i="1" s="1"/>
  <c r="H112" i="1" l="1"/>
  <c r="H53" i="1" s="1"/>
  <c r="I12" i="1" s="1"/>
  <c r="H101" i="1" l="1"/>
  <c r="G56" i="1"/>
  <c r="G64" i="1" s="1"/>
  <c r="H107" i="1" l="1"/>
  <c r="H109" i="1" s="1"/>
  <c r="H36" i="1" s="1"/>
  <c r="I11" i="1" s="1"/>
  <c r="I13" i="1" s="1"/>
  <c r="I15" i="1" s="1"/>
  <c r="I16" i="1" s="1"/>
  <c r="G66" i="1"/>
  <c r="G67" i="1" s="1"/>
  <c r="H56" i="1"/>
  <c r="H64" i="1" s="1"/>
  <c r="I86" i="1" l="1"/>
  <c r="I94" i="1" s="1"/>
  <c r="I111" i="1" s="1"/>
  <c r="I112" i="1" s="1"/>
  <c r="I53" i="1" s="1"/>
  <c r="J12" i="1" s="1"/>
  <c r="I79" i="1"/>
  <c r="I81" i="1" s="1"/>
  <c r="H40" i="1"/>
  <c r="H46" i="1" s="1"/>
  <c r="H65" i="1" s="1"/>
  <c r="H66" i="1" s="1"/>
  <c r="H67" i="1" s="1"/>
  <c r="I101" i="1" l="1"/>
  <c r="I107" i="1" s="1"/>
  <c r="I109" i="1" s="1"/>
  <c r="I36" i="1" s="1"/>
  <c r="J11" i="1" s="1"/>
  <c r="J13" i="1" s="1"/>
  <c r="J15" i="1" s="1"/>
  <c r="J16" i="1" s="1"/>
  <c r="J78" i="1"/>
  <c r="I61" i="1"/>
  <c r="I62" i="1" s="1"/>
  <c r="I56" i="1"/>
  <c r="I64" i="1" l="1"/>
  <c r="J79" i="1"/>
  <c r="J81" i="1" s="1"/>
  <c r="J86" i="1"/>
  <c r="J94" i="1" s="1"/>
  <c r="J111" i="1" s="1"/>
  <c r="J112" i="1" s="1"/>
  <c r="J53" i="1" s="1"/>
  <c r="K12" i="1" s="1"/>
  <c r="I40" i="1"/>
  <c r="I46" i="1" s="1"/>
  <c r="I65" i="1" s="1"/>
  <c r="I66" i="1" l="1"/>
  <c r="I67" i="1" s="1"/>
  <c r="J61" i="1"/>
  <c r="J62" i="1" s="1"/>
  <c r="K78" i="1"/>
  <c r="J101" i="1"/>
  <c r="J56" i="1"/>
  <c r="J64" i="1" l="1"/>
  <c r="J107" i="1"/>
  <c r="J109" i="1" s="1"/>
  <c r="J36" i="1" s="1"/>
  <c r="K11" i="1" s="1"/>
  <c r="K13" i="1" s="1"/>
  <c r="K15" i="1" s="1"/>
  <c r="K16" i="1" s="1"/>
  <c r="K79" i="1" l="1"/>
  <c r="K81" i="1" s="1"/>
  <c r="K61" i="1" s="1"/>
  <c r="K62" i="1" s="1"/>
  <c r="K86" i="1"/>
  <c r="K94" i="1" s="1"/>
  <c r="K111" i="1" s="1"/>
  <c r="K112" i="1" s="1"/>
  <c r="K53" i="1" s="1"/>
  <c r="J40" i="1"/>
  <c r="J46" i="1" s="1"/>
  <c r="J65" i="1" s="1"/>
  <c r="J66" i="1" s="1"/>
  <c r="J67" i="1" s="1"/>
  <c r="K101" i="1" l="1"/>
  <c r="K56" i="1"/>
  <c r="K64" i="1" s="1"/>
  <c r="K107" i="1" l="1"/>
  <c r="K109" i="1" s="1"/>
  <c r="K36" i="1" s="1"/>
  <c r="K40" i="1" s="1"/>
  <c r="K46" i="1" s="1"/>
  <c r="K65" i="1" s="1"/>
  <c r="K66" i="1" s="1"/>
  <c r="K67" i="1" s="1"/>
</calcChain>
</file>

<file path=xl/sharedStrings.xml><?xml version="1.0" encoding="utf-8"?>
<sst xmlns="http://schemas.openxmlformats.org/spreadsheetml/2006/main" count="196" uniqueCount="171">
  <si>
    <t>Actuals</t>
  </si>
  <si>
    <t>Projections</t>
  </si>
  <si>
    <t>$ in millions</t>
  </si>
  <si>
    <t>Revenue</t>
  </si>
  <si>
    <t>Income Statement</t>
  </si>
  <si>
    <t>Operating Expenses</t>
  </si>
  <si>
    <t>Operating Profit</t>
  </si>
  <si>
    <t>Interest Income</t>
  </si>
  <si>
    <t>Interest Expense</t>
  </si>
  <si>
    <t>Pretax Profit</t>
  </si>
  <si>
    <t>Tax Expense</t>
  </si>
  <si>
    <t>Net Income</t>
  </si>
  <si>
    <t>COGS (Cost of Goods Sold)</t>
  </si>
  <si>
    <t>Margins/Growth Rates</t>
  </si>
  <si>
    <t>Gross Profit Margin</t>
  </si>
  <si>
    <t>Operating expenses as % of Rev</t>
  </si>
  <si>
    <t>Tax Rate</t>
  </si>
  <si>
    <t>Revenue Growth Rate</t>
  </si>
  <si>
    <t>=AVERAGE($E$19:$F$19)</t>
  </si>
  <si>
    <t>=F6*(1+G19)</t>
  </si>
  <si>
    <t>=1+(F7/F6)</t>
  </si>
  <si>
    <t>and</t>
  </si>
  <si>
    <t>=AVERAGE(D20:F20)</t>
  </si>
  <si>
    <t>=-((1-G20)*G6)</t>
  </si>
  <si>
    <t>=-G6*G21</t>
  </si>
  <si>
    <t>=-D8/D6</t>
  </si>
  <si>
    <t>=F9+SUM(F11:F12)</t>
  </si>
  <si>
    <t>=F13+F15</t>
  </si>
  <si>
    <t>=-(D15/D13)</t>
  </si>
  <si>
    <t>=AVERAGE(D22:F22)</t>
  </si>
  <si>
    <t>Balance Sheet</t>
  </si>
  <si>
    <t>Formulae</t>
  </si>
  <si>
    <t>Cash and Equivalents</t>
  </si>
  <si>
    <t>Accounts Receivable</t>
  </si>
  <si>
    <t>Inventory</t>
  </si>
  <si>
    <t>Prepaid Expenses and other WC Assets</t>
  </si>
  <si>
    <t>Current Assets</t>
  </si>
  <si>
    <t>Property Plant and Equipments</t>
  </si>
  <si>
    <t>Intangible Assets</t>
  </si>
  <si>
    <t>Non Current Assets</t>
  </si>
  <si>
    <t>Total Assets</t>
  </si>
  <si>
    <t>=F28*(1+G19)</t>
  </si>
  <si>
    <t>Memo: COGS growth rate</t>
  </si>
  <si>
    <t>=G7/F7-1</t>
  </si>
  <si>
    <t>=F29*(1+G23)</t>
  </si>
  <si>
    <t>=F30*(1+G19)</t>
  </si>
  <si>
    <t>=SUM(G27:G30)</t>
  </si>
  <si>
    <t>Value from previous period * COGS growth rate</t>
  </si>
  <si>
    <t>Value from previous period * Revenue growth rate</t>
  </si>
  <si>
    <t>Memo: Depreication in opex and COGS</t>
  </si>
  <si>
    <t>=F25*(1+G19)</t>
  </si>
  <si>
    <t>"large assumptions made"</t>
  </si>
  <si>
    <t>Memo: Capital Expenditures</t>
  </si>
  <si>
    <t>=F36-G26+G25</t>
  </si>
  <si>
    <t>Memo: Purchases of Intangibles</t>
  </si>
  <si>
    <t>Memo: Amoritisation in opex and COGS</t>
  </si>
  <si>
    <t>=F40-G29+G28</t>
  </si>
  <si>
    <t>=F29*(1+G19)</t>
  </si>
  <si>
    <t>=H37+H41</t>
  </si>
  <si>
    <t>=F26*(1+G19)</t>
  </si>
  <si>
    <t>Accounts Payable</t>
  </si>
  <si>
    <t>Accrued Expenses and Other</t>
  </si>
  <si>
    <t>Other Current Liabilities</t>
  </si>
  <si>
    <t>Total Current Liabilities</t>
  </si>
  <si>
    <t>=F45*(1+G23)</t>
  </si>
  <si>
    <t>=F46*(1+G19)</t>
  </si>
  <si>
    <t>=SUM(G45:G47)</t>
  </si>
  <si>
    <t>Long Term Debt</t>
  </si>
  <si>
    <t>Revolver</t>
  </si>
  <si>
    <r>
      <t>Revolver (</t>
    </r>
    <r>
      <rPr>
        <i/>
        <sz val="12"/>
        <color theme="1"/>
        <rFont val="Aptos Narrow"/>
        <scheme val="minor"/>
      </rPr>
      <t>ability to draw down, pay off debt</t>
    </r>
    <r>
      <rPr>
        <sz val="12"/>
        <color theme="1"/>
        <rFont val="Aptos Narrow"/>
        <scheme val="minor"/>
      </rPr>
      <t>)</t>
    </r>
  </si>
  <si>
    <t>Other Liabilities</t>
  </si>
  <si>
    <t>Total Liabilities</t>
  </si>
  <si>
    <t>=SUM(G50:G52)+G48</t>
  </si>
  <si>
    <t>Make sure to include total current liabilities here too!</t>
  </si>
  <si>
    <t>Straight-lined</t>
  </si>
  <si>
    <t>Common Stock and APIC</t>
  </si>
  <si>
    <t>Other Comprehensive Income</t>
  </si>
  <si>
    <t>Retained Earnings</t>
  </si>
  <si>
    <t>Total Equity</t>
  </si>
  <si>
    <t>Total Liabilities and Equity</t>
  </si>
  <si>
    <t>=SUM(D55:D58)</t>
  </si>
  <si>
    <t>Balance?</t>
  </si>
  <si>
    <t>Total Assets - Total Liabilities and Equity</t>
  </si>
  <si>
    <t>=D59+D53</t>
  </si>
  <si>
    <t>=D61-D43</t>
  </si>
  <si>
    <t>=IF(D63=0,TRUE,FALSE)</t>
  </si>
  <si>
    <t>Common Stock and APIC - BOP</t>
  </si>
  <si>
    <t>New Issuances of Common Stock</t>
  </si>
  <si>
    <t>Common Stock and APIC - EOP</t>
  </si>
  <si>
    <t>=SUM(G67:G68)</t>
  </si>
  <si>
    <t>=F55</t>
  </si>
  <si>
    <t>Treasury Stock - BOP</t>
  </si>
  <si>
    <t>Treasury Stock - EOP</t>
  </si>
  <si>
    <t>=F56</t>
  </si>
  <si>
    <t>New Repurchases of Treasury Stock</t>
  </si>
  <si>
    <t>=SUM(G72:G73)</t>
  </si>
  <si>
    <t>=G69</t>
  </si>
  <si>
    <t>=G74</t>
  </si>
  <si>
    <t xml:space="preserve">Forecasted as Straight-lined </t>
  </si>
  <si>
    <t>Retained Earnings - BOP</t>
  </si>
  <si>
    <t>Retained Earnings - EOP</t>
  </si>
  <si>
    <t>Dividends</t>
  </si>
  <si>
    <t>Common Dividends</t>
  </si>
  <si>
    <t>=-G13*G22</t>
  </si>
  <si>
    <t>=F58</t>
  </si>
  <si>
    <t>=G16</t>
  </si>
  <si>
    <t>=SUM(G75:G77)</t>
  </si>
  <si>
    <t>=G78</t>
  </si>
  <si>
    <t>Cash Flow Statement</t>
  </si>
  <si>
    <t>x</t>
  </si>
  <si>
    <t>Schedules</t>
  </si>
  <si>
    <t>There is</t>
  </si>
  <si>
    <t>usually an</t>
  </si>
  <si>
    <t xml:space="preserve">order in </t>
  </si>
  <si>
    <t>which way</t>
  </si>
  <si>
    <t xml:space="preserve">these are </t>
  </si>
  <si>
    <t>laid out</t>
  </si>
  <si>
    <t>Depreciation and Amoritisation</t>
  </si>
  <si>
    <t>Cash Flow from Operations</t>
  </si>
  <si>
    <t>=-(G25+G28)</t>
  </si>
  <si>
    <t>Needs to flipped around because all of these are 'costs'</t>
  </si>
  <si>
    <t>Net Income (GAAP)</t>
  </si>
  <si>
    <t>WC</t>
  </si>
  <si>
    <t>If Accounts Receivable goes up, the reverse is happening to cash</t>
  </si>
  <si>
    <t>=F34-G34</t>
  </si>
  <si>
    <t>=F35-G35</t>
  </si>
  <si>
    <t>=F36-G36</t>
  </si>
  <si>
    <t>""</t>
  </si>
  <si>
    <t>=G45-F45</t>
  </si>
  <si>
    <t>If you have more accounts payable, you avoid paying cash and so there are an increase of funds</t>
  </si>
  <si>
    <t>=G46-F46</t>
  </si>
  <si>
    <t>=G47-F47</t>
  </si>
  <si>
    <t>=SUM(G83:G90)</t>
  </si>
  <si>
    <t>Capital Expenditures</t>
  </si>
  <si>
    <t>Purchases of Intangible Assets</t>
  </si>
  <si>
    <t>=G26</t>
  </si>
  <si>
    <t>=G29</t>
  </si>
  <si>
    <t>Cash for Investing Activities</t>
  </si>
  <si>
    <t>=G51-F51</t>
  </si>
  <si>
    <t>=G52-F52</t>
  </si>
  <si>
    <t xml:space="preserve">Note: here </t>
  </si>
  <si>
    <t xml:space="preserve">we won't </t>
  </si>
  <si>
    <t>include</t>
  </si>
  <si>
    <t>retained</t>
  </si>
  <si>
    <t>earnings</t>
  </si>
  <si>
    <t>to prevent</t>
  </si>
  <si>
    <t>double</t>
  </si>
  <si>
    <t>counting</t>
  </si>
  <si>
    <t>Repurchases</t>
  </si>
  <si>
    <t>=G57-F57</t>
  </si>
  <si>
    <t>=G55-F55</t>
  </si>
  <si>
    <t>=G72</t>
  </si>
  <si>
    <t>Cash from Financing Activities</t>
  </si>
  <si>
    <t>=SUM(G99:G103)</t>
  </si>
  <si>
    <t>=G77</t>
  </si>
  <si>
    <t>Total Change in Cash</t>
  </si>
  <si>
    <t>=G91+G95+G104</t>
  </si>
  <si>
    <t>=F33+G107</t>
  </si>
  <si>
    <t>=G50</t>
  </si>
  <si>
    <t>Total Cash Flow Before any Revolver Borrowing</t>
  </si>
  <si>
    <t>C&amp;E should never be &lt;0</t>
  </si>
  <si>
    <t>Tests for whether C&amp;E &lt; 0</t>
  </si>
  <si>
    <t>Total Revolver Borrowing Needed</t>
  </si>
  <si>
    <t>+D&amp;A</t>
  </si>
  <si>
    <t>Treasury  Stock</t>
  </si>
  <si>
    <t>Issuances of Common Stock</t>
  </si>
  <si>
    <t>Memo: % Interest Earned on Cash</t>
  </si>
  <si>
    <t>Memo: % Interest Rate on Debt</t>
  </si>
  <si>
    <t>=G31*F38</t>
  </si>
  <si>
    <t>=G32*SUM(F55:F56)</t>
  </si>
  <si>
    <t>note there may be circularity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</si>
</sst>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);\(0.0\)"/>
    <numFmt numFmtId="165" formatCode="0.0%"/>
  </numFmts>
  <fonts count="11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70C0"/>
      <name val="Aptos Narrow"/>
      <family val="2"/>
      <scheme val="minor"/>
    </font>
    <font>
      <b/>
      <u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12"/>
      <color theme="1"/>
      <name val="Aptos Narrow (Body)"/>
    </font>
    <font>
      <sz val="12"/>
      <name val="Aptos Narrow"/>
      <family val="2"/>
      <scheme val="minor"/>
    </font>
    <font>
      <sz val="12"/>
      <color theme="8" tint="0.59999389629810485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1" applyNumberFormat="0" applyFill="0" applyAlignment="0" applyProtection="0"/>
  </cellStyleXfs>
  <cellXfs count="26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64" fontId="3" fillId="0" borderId="0" xfId="0" applyNumberFormat="1" applyFont="1"/>
    <xf numFmtId="164" fontId="4" fillId="0" borderId="0" xfId="0" applyNumberFormat="1" applyFont="1"/>
    <xf numFmtId="164" fontId="5" fillId="0" borderId="0" xfId="0" applyNumberFormat="1" applyFont="1"/>
    <xf numFmtId="165" fontId="0" fillId="0" borderId="0" xfId="0" applyNumberFormat="1"/>
    <xf numFmtId="9" fontId="0" fillId="0" borderId="0" xfId="0" applyNumberFormat="1"/>
    <xf numFmtId="165" fontId="6" fillId="0" borderId="0" xfId="0" applyNumberFormat="1" applyFont="1"/>
    <xf numFmtId="164" fontId="0" fillId="0" borderId="0" xfId="0" quotePrefix="1" applyNumberFormat="1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2" borderId="0" xfId="0" applyNumberFormat="1" applyFill="1"/>
    <xf numFmtId="164" fontId="1" fillId="0" borderId="2" xfId="0" applyNumberFormat="1" applyFont="1" applyBorder="1"/>
    <xf numFmtId="164" fontId="0" fillId="0" borderId="2" xfId="0" applyNumberFormat="1" applyBorder="1"/>
    <xf numFmtId="164" fontId="8" fillId="0" borderId="0" xfId="0" applyNumberFormat="1" applyFont="1"/>
    <xf numFmtId="164" fontId="9" fillId="0" borderId="0" xfId="0" applyNumberFormat="1" applyFont="1"/>
    <xf numFmtId="164" fontId="0" fillId="0" borderId="0" xfId="0" applyNumberFormat="1" applyAlignment="1">
      <alignment horizontal="right"/>
    </xf>
    <xf numFmtId="164" fontId="10" fillId="0" borderId="0" xfId="0" applyNumberFormat="1" applyFont="1"/>
    <xf numFmtId="0" fontId="7" fillId="0" borderId="1" xfId="1"/>
    <xf numFmtId="164" fontId="0" fillId="2" borderId="0" xfId="0" quotePrefix="1" applyNumberFormat="1" applyFill="1"/>
    <xf numFmtId="164" fontId="9" fillId="2" borderId="0" xfId="0" applyNumberFormat="1" applyFont="1" applyFill="1"/>
    <xf numFmtId="165" fontId="4" fillId="0" borderId="0" xfId="0" applyNumberFormat="1" applyFont="1"/>
  </cellXfs>
  <cellStyles count="2">
    <cellStyle name="Heading 2" xfId="1" builtinId="17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7C111-1FC1-4F47-A3FC-2A9DE27B75D8}">
  <dimension ref="A1:Q112"/>
  <sheetViews>
    <sheetView tabSelected="1" zoomScale="110" zoomScaleNormal="110" workbookViewId="0">
      <selection activeCell="K71" sqref="K71"/>
    </sheetView>
  </sheetViews>
  <sheetFormatPr baseColWidth="10" defaultRowHeight="16" x14ac:dyDescent="0.2"/>
  <cols>
    <col min="1" max="2" width="10.83203125" style="1"/>
    <col min="3" max="3" width="37.5" style="1" bestFit="1" customWidth="1"/>
    <col min="4" max="5" width="10.83203125" style="1"/>
    <col min="6" max="6" width="10.83203125" style="1" customWidth="1"/>
    <col min="7" max="12" width="10.83203125" style="1"/>
    <col min="13" max="13" width="24.83203125" style="1" bestFit="1" customWidth="1"/>
    <col min="14" max="16384" width="10.83203125" style="1"/>
  </cols>
  <sheetData>
    <row r="1" spans="1:15" ht="19" thickBot="1" x14ac:dyDescent="0.3">
      <c r="A1" s="1" t="s">
        <v>2</v>
      </c>
      <c r="C1" s="3"/>
      <c r="D1" s="22">
        <v>2021</v>
      </c>
      <c r="E1" s="22">
        <v>2022</v>
      </c>
      <c r="F1" s="22">
        <v>2023</v>
      </c>
      <c r="G1" s="22">
        <v>2024</v>
      </c>
      <c r="H1" s="22">
        <v>2025</v>
      </c>
      <c r="I1" s="22">
        <v>2026</v>
      </c>
      <c r="J1" s="22">
        <v>2027</v>
      </c>
      <c r="K1" s="22">
        <v>2028</v>
      </c>
    </row>
    <row r="2" spans="1:15" ht="17" thickTop="1" x14ac:dyDescent="0.2">
      <c r="E2" s="2" t="s">
        <v>0</v>
      </c>
      <c r="I2" s="2" t="s">
        <v>1</v>
      </c>
    </row>
    <row r="3" spans="1:15" x14ac:dyDescent="0.2">
      <c r="M3" s="14" t="s">
        <v>31</v>
      </c>
    </row>
    <row r="4" spans="1:15" x14ac:dyDescent="0.2">
      <c r="B4" s="1" t="s">
        <v>109</v>
      </c>
      <c r="C4" s="4" t="s">
        <v>4</v>
      </c>
    </row>
    <row r="6" spans="1:15" x14ac:dyDescent="0.2">
      <c r="C6" s="1" t="s">
        <v>3</v>
      </c>
      <c r="D6" s="7">
        <v>1000</v>
      </c>
      <c r="E6" s="7">
        <v>1100</v>
      </c>
      <c r="F6" s="7">
        <v>1200</v>
      </c>
      <c r="G6" s="1">
        <f>F6*(1+G19)</f>
        <v>1314.5454545454545</v>
      </c>
      <c r="H6" s="1">
        <f t="shared" ref="H6:K6" si="0">G6*(1+H19)</f>
        <v>1440.0247933884298</v>
      </c>
      <c r="I6" s="1">
        <f t="shared" si="0"/>
        <v>1577.481705484598</v>
      </c>
      <c r="J6" s="1">
        <f t="shared" si="0"/>
        <v>1728.0595046444914</v>
      </c>
      <c r="K6" s="1">
        <f t="shared" si="0"/>
        <v>1893.0106391787383</v>
      </c>
      <c r="M6" s="12" t="s">
        <v>19</v>
      </c>
    </row>
    <row r="7" spans="1:15" x14ac:dyDescent="0.2">
      <c r="C7" s="5" t="s">
        <v>12</v>
      </c>
      <c r="D7" s="7">
        <v>-600</v>
      </c>
      <c r="E7" s="7">
        <v>-700</v>
      </c>
      <c r="F7" s="7">
        <v>-775</v>
      </c>
      <c r="G7" s="1">
        <f>-((1-G20)*G6)</f>
        <v>-824.74449035812688</v>
      </c>
      <c r="H7" s="1">
        <f t="shared" ref="H7:K7" si="1">-((1-H20)*H6)</f>
        <v>-903.47010080140262</v>
      </c>
      <c r="I7" s="1">
        <f t="shared" si="1"/>
        <v>-989.71042860517286</v>
      </c>
      <c r="J7" s="1">
        <f t="shared" si="1"/>
        <v>-1084.1827876993029</v>
      </c>
      <c r="K7" s="1">
        <f t="shared" si="1"/>
        <v>-1187.672962888782</v>
      </c>
      <c r="M7" s="12" t="s">
        <v>23</v>
      </c>
    </row>
    <row r="8" spans="1:15" x14ac:dyDescent="0.2">
      <c r="C8" s="5" t="s">
        <v>5</v>
      </c>
      <c r="D8" s="7">
        <v>-150</v>
      </c>
      <c r="E8" s="7">
        <v>-165</v>
      </c>
      <c r="F8" s="7">
        <v>-175</v>
      </c>
      <c r="G8" s="1">
        <f>-G6*G21</f>
        <v>-195.35606060606059</v>
      </c>
      <c r="H8" s="1">
        <f t="shared" ref="H8:K8" si="2">-H6*H21</f>
        <v>-214.00368457300274</v>
      </c>
      <c r="I8" s="1">
        <f t="shared" si="2"/>
        <v>-234.43130900951664</v>
      </c>
      <c r="J8" s="1">
        <f t="shared" si="2"/>
        <v>-256.80884305133412</v>
      </c>
      <c r="K8" s="1">
        <f t="shared" si="2"/>
        <v>-281.32241443350694</v>
      </c>
      <c r="M8" s="12" t="s">
        <v>24</v>
      </c>
    </row>
    <row r="9" spans="1:15" x14ac:dyDescent="0.2">
      <c r="C9" s="4" t="s">
        <v>6</v>
      </c>
      <c r="D9" s="2">
        <f>D6+D7+D8</f>
        <v>250</v>
      </c>
      <c r="E9" s="2">
        <f t="shared" ref="E9:F9" si="3">E6+E7+E8</f>
        <v>235</v>
      </c>
      <c r="F9" s="2">
        <f t="shared" si="3"/>
        <v>250</v>
      </c>
      <c r="G9" s="2">
        <f t="shared" ref="G9" si="4">G6+G7+G8</f>
        <v>294.444903581267</v>
      </c>
      <c r="H9" s="2">
        <f t="shared" ref="H9" si="5">H6+H7+H8</f>
        <v>322.55100801402443</v>
      </c>
      <c r="I9" s="2">
        <f t="shared" ref="I9" si="6">I6+I7+I8</f>
        <v>353.33996786990849</v>
      </c>
      <c r="J9" s="2">
        <f t="shared" ref="J9" si="7">J6+J7+J8</f>
        <v>387.06787389385437</v>
      </c>
      <c r="K9" s="2">
        <f t="shared" ref="K9" si="8">K6+K7+K8</f>
        <v>424.0152618564494</v>
      </c>
    </row>
    <row r="10" spans="1:15" x14ac:dyDescent="0.2">
      <c r="F10" s="6"/>
    </row>
    <row r="11" spans="1:15" x14ac:dyDescent="0.2">
      <c r="C11" s="1" t="s">
        <v>7</v>
      </c>
      <c r="D11" s="7">
        <v>5</v>
      </c>
      <c r="E11" s="7">
        <v>6</v>
      </c>
      <c r="F11" s="7">
        <v>7</v>
      </c>
      <c r="G11" s="24">
        <f>G31*F36</f>
        <v>9.18</v>
      </c>
      <c r="H11" s="24">
        <f>H31*G36</f>
        <v>8.3778536948735649</v>
      </c>
      <c r="I11" s="24">
        <f>I31*H36</f>
        <v>7.8621109868144323</v>
      </c>
      <c r="J11" s="24">
        <f>J31*I36</f>
        <v>7.7718602148112144</v>
      </c>
      <c r="K11" s="24">
        <f>K31*J36</f>
        <v>8.1577701596140635</v>
      </c>
      <c r="M11" s="23" t="s">
        <v>168</v>
      </c>
      <c r="O11" s="3" t="s">
        <v>170</v>
      </c>
    </row>
    <row r="12" spans="1:15" x14ac:dyDescent="0.2">
      <c r="C12" s="5" t="s">
        <v>8</v>
      </c>
      <c r="D12" s="7">
        <v>-13</v>
      </c>
      <c r="E12" s="7">
        <v>-14</v>
      </c>
      <c r="F12" s="7">
        <v>-15</v>
      </c>
      <c r="G12" s="24">
        <f>-(G32*SUM(F53,F54))</f>
        <v>-15.280000000000001</v>
      </c>
      <c r="H12" s="24">
        <f>-(H32*SUM(G53,G54))</f>
        <v>-14.88</v>
      </c>
      <c r="I12" s="24">
        <f>-(I32*SUM(H53,H54))</f>
        <v>-14.88</v>
      </c>
      <c r="J12" s="24">
        <f>-(J32*SUM(I53,I54))</f>
        <v>-14.88</v>
      </c>
      <c r="K12" s="24">
        <f>-(K32*SUM(J53,J54))</f>
        <v>-14.88</v>
      </c>
      <c r="M12" s="23" t="s">
        <v>169</v>
      </c>
    </row>
    <row r="13" spans="1:15" x14ac:dyDescent="0.2">
      <c r="C13" s="4" t="s">
        <v>9</v>
      </c>
      <c r="D13" s="2">
        <f>D9+SUM(D11:D12)</f>
        <v>242</v>
      </c>
      <c r="E13" s="2">
        <f t="shared" ref="E13" si="9">E9+SUM(E11:E12)</f>
        <v>227</v>
      </c>
      <c r="F13" s="2">
        <f>F9+SUM(F11:F12)</f>
        <v>242</v>
      </c>
      <c r="G13" s="2">
        <f t="shared" ref="G13:K13" si="10">G9+SUM(G11:G12)</f>
        <v>288.34490358126698</v>
      </c>
      <c r="H13" s="2">
        <f t="shared" si="10"/>
        <v>316.04886170889802</v>
      </c>
      <c r="I13" s="2">
        <f t="shared" si="10"/>
        <v>346.3220788567229</v>
      </c>
      <c r="J13" s="2">
        <f t="shared" si="10"/>
        <v>379.9597341086656</v>
      </c>
      <c r="K13" s="2">
        <f t="shared" si="10"/>
        <v>417.29303201606348</v>
      </c>
      <c r="M13" s="12" t="s">
        <v>26</v>
      </c>
    </row>
    <row r="15" spans="1:15" x14ac:dyDescent="0.2">
      <c r="C15" s="1" t="s">
        <v>10</v>
      </c>
      <c r="D15" s="7">
        <v>-70</v>
      </c>
      <c r="E15" s="7">
        <v>-68</v>
      </c>
      <c r="F15" s="7">
        <v>-71</v>
      </c>
      <c r="G15" s="1">
        <f>-G13*G22</f>
        <v>-84.793018666393266</v>
      </c>
      <c r="H15" s="1">
        <f t="shared" ref="H15:K15" si="11">-H13*H22</f>
        <v>-92.939867143592465</v>
      </c>
      <c r="I15" s="1">
        <f t="shared" si="11"/>
        <v>-101.84225256752565</v>
      </c>
      <c r="J15" s="1">
        <f t="shared" si="11"/>
        <v>-111.7340116874083</v>
      </c>
      <c r="K15" s="1">
        <f t="shared" si="11"/>
        <v>-122.71254117422413</v>
      </c>
      <c r="M15" s="12" t="s">
        <v>103</v>
      </c>
    </row>
    <row r="16" spans="1:15" x14ac:dyDescent="0.2">
      <c r="C16" s="2" t="s">
        <v>11</v>
      </c>
      <c r="D16" s="2">
        <f>D13+D15</f>
        <v>172</v>
      </c>
      <c r="E16" s="2">
        <f t="shared" ref="E16:F16" si="12">E13+E15</f>
        <v>159</v>
      </c>
      <c r="F16" s="2">
        <f t="shared" si="12"/>
        <v>171</v>
      </c>
      <c r="G16" s="2">
        <f t="shared" ref="G16" si="13">G13+G15</f>
        <v>203.55188491487371</v>
      </c>
      <c r="H16" s="2">
        <f t="shared" ref="H16" si="14">H13+H15</f>
        <v>223.10899456530555</v>
      </c>
      <c r="I16" s="2">
        <f t="shared" ref="I16" si="15">I13+I15</f>
        <v>244.47982628919726</v>
      </c>
      <c r="J16" s="2">
        <f t="shared" ref="J16" si="16">J13+J15</f>
        <v>268.22572242125727</v>
      </c>
      <c r="K16" s="2">
        <f t="shared" ref="K16" si="17">K13+K15</f>
        <v>294.58049084183938</v>
      </c>
      <c r="M16" s="12" t="s">
        <v>27</v>
      </c>
    </row>
    <row r="18" spans="3:17" x14ac:dyDescent="0.2">
      <c r="C18" s="8" t="s">
        <v>13</v>
      </c>
      <c r="D18" s="10"/>
    </row>
    <row r="19" spans="3:17" x14ac:dyDescent="0.2">
      <c r="C19" s="1" t="s">
        <v>17</v>
      </c>
      <c r="E19" s="11">
        <f>E6/D6-1</f>
        <v>0.10000000000000009</v>
      </c>
      <c r="F19" s="9">
        <f>F6/E6-1</f>
        <v>9.0909090909090828E-2</v>
      </c>
      <c r="G19" s="9">
        <f>AVERAGE($E$19:$F$19)</f>
        <v>9.5454545454545459E-2</v>
      </c>
      <c r="H19" s="9">
        <f>AVERAGE($E$19:$F$19)</f>
        <v>9.5454545454545459E-2</v>
      </c>
      <c r="I19" s="9">
        <f t="shared" ref="I19:K19" si="18">H19</f>
        <v>9.5454545454545459E-2</v>
      </c>
      <c r="J19" s="9">
        <f t="shared" si="18"/>
        <v>9.5454545454545459E-2</v>
      </c>
      <c r="K19" s="9">
        <f t="shared" si="18"/>
        <v>9.5454545454545459E-2</v>
      </c>
      <c r="M19" s="12" t="s">
        <v>18</v>
      </c>
      <c r="N19" s="12"/>
    </row>
    <row r="20" spans="3:17" x14ac:dyDescent="0.2">
      <c r="C20" s="1" t="s">
        <v>14</v>
      </c>
      <c r="D20" s="10">
        <f>1+(D7/D6)</f>
        <v>0.4</v>
      </c>
      <c r="E20" s="10">
        <f>1+(E7/E6)</f>
        <v>0.36363636363636365</v>
      </c>
      <c r="F20" s="10">
        <f>1+(F7/F6)</f>
        <v>0.35416666666666663</v>
      </c>
      <c r="G20" s="10">
        <f>AVERAGE(D20:F20)</f>
        <v>0.37260101010101004</v>
      </c>
      <c r="H20" s="10">
        <f>AVERAGE(D20:F20)</f>
        <v>0.37260101010101004</v>
      </c>
      <c r="I20" s="10">
        <f>H20</f>
        <v>0.37260101010101004</v>
      </c>
      <c r="J20" s="10">
        <f t="shared" ref="J20:K20" si="19">I20</f>
        <v>0.37260101010101004</v>
      </c>
      <c r="K20" s="10">
        <f t="shared" si="19"/>
        <v>0.37260101010101004</v>
      </c>
      <c r="M20" s="12" t="s">
        <v>20</v>
      </c>
      <c r="N20" s="13" t="s">
        <v>21</v>
      </c>
      <c r="O20" s="12" t="s">
        <v>22</v>
      </c>
      <c r="Q20" s="12"/>
    </row>
    <row r="21" spans="3:17" x14ac:dyDescent="0.2">
      <c r="C21" s="1" t="s">
        <v>15</v>
      </c>
      <c r="D21" s="10">
        <f>-D8/D6</f>
        <v>0.15</v>
      </c>
      <c r="E21" s="10">
        <f t="shared" ref="E21:F21" si="20">-E8/E6</f>
        <v>0.15</v>
      </c>
      <c r="F21" s="10">
        <f t="shared" si="20"/>
        <v>0.14583333333333334</v>
      </c>
      <c r="G21" s="10">
        <f>AVERAGE(D21:F21)</f>
        <v>0.14861111111111111</v>
      </c>
      <c r="H21" s="10">
        <f>$G$21</f>
        <v>0.14861111111111111</v>
      </c>
      <c r="I21" s="10">
        <f>$G$21</f>
        <v>0.14861111111111111</v>
      </c>
      <c r="J21" s="10">
        <f>$G$21</f>
        <v>0.14861111111111111</v>
      </c>
      <c r="K21" s="10">
        <f>$G$21</f>
        <v>0.14861111111111111</v>
      </c>
      <c r="M21" s="12" t="s">
        <v>25</v>
      </c>
    </row>
    <row r="22" spans="3:17" x14ac:dyDescent="0.2">
      <c r="C22" s="1" t="s">
        <v>16</v>
      </c>
      <c r="D22" s="10">
        <f>-(D15/D13)</f>
        <v>0.28925619834710742</v>
      </c>
      <c r="E22" s="10">
        <f t="shared" ref="E22:F22" si="21">-(E15/E13)</f>
        <v>0.29955947136563876</v>
      </c>
      <c r="F22" s="10">
        <f t="shared" si="21"/>
        <v>0.29338842975206614</v>
      </c>
      <c r="G22" s="10">
        <f>AVERAGE(D22:F22)</f>
        <v>0.29406803315493746</v>
      </c>
      <c r="H22" s="10">
        <f>$G$22</f>
        <v>0.29406803315493746</v>
      </c>
      <c r="I22" s="10">
        <f t="shared" ref="I22:K22" si="22">$G$22</f>
        <v>0.29406803315493746</v>
      </c>
      <c r="J22" s="10">
        <f t="shared" si="22"/>
        <v>0.29406803315493746</v>
      </c>
      <c r="K22" s="10">
        <f t="shared" si="22"/>
        <v>0.29406803315493746</v>
      </c>
      <c r="M22" s="12" t="s">
        <v>28</v>
      </c>
      <c r="N22" s="13" t="s">
        <v>21</v>
      </c>
      <c r="O22" s="12" t="s">
        <v>29</v>
      </c>
    </row>
    <row r="23" spans="3:17" x14ac:dyDescent="0.2">
      <c r="C23" s="3" t="s">
        <v>42</v>
      </c>
      <c r="G23" s="10">
        <f>G7/F7-1</f>
        <v>6.4186439171776577E-2</v>
      </c>
      <c r="H23" s="10">
        <f t="shared" ref="H23:K23" si="23">H7/G7-1</f>
        <v>9.5454545454545459E-2</v>
      </c>
      <c r="I23" s="10">
        <f t="shared" si="23"/>
        <v>9.5454545454545459E-2</v>
      </c>
      <c r="J23" s="10">
        <f t="shared" si="23"/>
        <v>9.5454545454545459E-2</v>
      </c>
      <c r="K23" s="10">
        <f t="shared" si="23"/>
        <v>9.5454545454545459E-2</v>
      </c>
      <c r="M23" s="12" t="s">
        <v>43</v>
      </c>
    </row>
    <row r="25" spans="3:17" x14ac:dyDescent="0.2">
      <c r="C25" s="3" t="s">
        <v>49</v>
      </c>
      <c r="D25" s="7">
        <v>-25</v>
      </c>
      <c r="E25" s="7">
        <v>-30</v>
      </c>
      <c r="F25" s="7">
        <v>-35</v>
      </c>
      <c r="G25" s="1">
        <f>F25*(1+G19)</f>
        <v>-38.340909090909093</v>
      </c>
      <c r="H25" s="1">
        <f t="shared" ref="H25:K25" si="24">G25*(1+H19)</f>
        <v>-42.000723140495872</v>
      </c>
      <c r="I25" s="1">
        <f t="shared" si="24"/>
        <v>-46.009883076634111</v>
      </c>
      <c r="J25" s="1">
        <f t="shared" si="24"/>
        <v>-50.401735552131001</v>
      </c>
      <c r="K25" s="1">
        <f t="shared" si="24"/>
        <v>-55.212810309379869</v>
      </c>
      <c r="M25" s="12" t="s">
        <v>50</v>
      </c>
      <c r="Q25" s="1" t="s">
        <v>51</v>
      </c>
    </row>
    <row r="26" spans="3:17" x14ac:dyDescent="0.2">
      <c r="C26" s="3" t="s">
        <v>52</v>
      </c>
      <c r="D26" s="7">
        <v>-35</v>
      </c>
      <c r="E26" s="7">
        <v>-40</v>
      </c>
      <c r="F26" s="7">
        <v>-67</v>
      </c>
      <c r="G26" s="1">
        <f>F26*(1+G19)</f>
        <v>-73.395454545454541</v>
      </c>
      <c r="H26" s="1">
        <f t="shared" ref="H26:K26" si="25">G26*(1+H19)</f>
        <v>-80.40138429752065</v>
      </c>
      <c r="I26" s="1">
        <f t="shared" si="25"/>
        <v>-88.076061889556712</v>
      </c>
      <c r="J26" s="1">
        <f t="shared" si="25"/>
        <v>-96.483322342650766</v>
      </c>
      <c r="K26" s="1">
        <f t="shared" si="25"/>
        <v>-105.69309402081288</v>
      </c>
      <c r="M26" s="12" t="s">
        <v>59</v>
      </c>
    </row>
    <row r="28" spans="3:17" x14ac:dyDescent="0.2">
      <c r="C28" s="3" t="s">
        <v>55</v>
      </c>
      <c r="D28" s="7">
        <v>-10</v>
      </c>
      <c r="E28" s="7">
        <v>-12</v>
      </c>
      <c r="F28" s="7">
        <v>-14</v>
      </c>
      <c r="G28" s="1">
        <f>F28*(1+G19)</f>
        <v>-15.336363636363636</v>
      </c>
      <c r="H28" s="1">
        <f t="shared" ref="H28:K28" si="26">G28*(1+H19)</f>
        <v>-16.800289256198347</v>
      </c>
      <c r="I28" s="1">
        <f t="shared" si="26"/>
        <v>-18.403953230653645</v>
      </c>
      <c r="J28" s="1">
        <f t="shared" si="26"/>
        <v>-20.160694220852402</v>
      </c>
      <c r="K28" s="1">
        <f t="shared" si="26"/>
        <v>-22.08512412375195</v>
      </c>
      <c r="M28" s="12" t="s">
        <v>41</v>
      </c>
    </row>
    <row r="29" spans="3:17" x14ac:dyDescent="0.2">
      <c r="C29" s="3" t="s">
        <v>54</v>
      </c>
      <c r="D29" s="7">
        <v>-16</v>
      </c>
      <c r="E29" s="7">
        <v>-18</v>
      </c>
      <c r="F29" s="7">
        <v>-21</v>
      </c>
      <c r="G29" s="1">
        <f>F29*(1+G19)</f>
        <v>-23.004545454545454</v>
      </c>
      <c r="H29" s="1">
        <f t="shared" ref="H29:K29" si="27">G29*(1+H19)</f>
        <v>-25.200433884297521</v>
      </c>
      <c r="I29" s="1">
        <f t="shared" si="27"/>
        <v>-27.605929845980466</v>
      </c>
      <c r="J29" s="1">
        <f t="shared" si="27"/>
        <v>-30.241041331278602</v>
      </c>
      <c r="K29" s="1">
        <f t="shared" si="27"/>
        <v>-33.127686185627923</v>
      </c>
      <c r="M29" s="12" t="s">
        <v>57</v>
      </c>
    </row>
    <row r="31" spans="3:17" x14ac:dyDescent="0.2">
      <c r="C31" s="3" t="s">
        <v>166</v>
      </c>
      <c r="G31" s="25">
        <v>0.03</v>
      </c>
      <c r="H31" s="25">
        <v>0.03</v>
      </c>
      <c r="I31" s="25">
        <v>0.03</v>
      </c>
      <c r="J31" s="25">
        <v>0.03</v>
      </c>
      <c r="K31" s="25">
        <v>0.03</v>
      </c>
    </row>
    <row r="32" spans="3:17" x14ac:dyDescent="0.2">
      <c r="C32" s="3" t="s">
        <v>167</v>
      </c>
      <c r="G32" s="25">
        <v>0.08</v>
      </c>
      <c r="H32" s="25">
        <v>0.08</v>
      </c>
      <c r="I32" s="25">
        <v>0.08</v>
      </c>
      <c r="J32" s="25">
        <v>0.08</v>
      </c>
      <c r="K32" s="25">
        <v>0.08</v>
      </c>
    </row>
    <row r="33" spans="1:17" ht="17" thickBot="1" x14ac:dyDescent="0.25"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</row>
    <row r="35" spans="1:17" x14ac:dyDescent="0.2">
      <c r="B35" s="1" t="s">
        <v>109</v>
      </c>
      <c r="C35" s="2" t="s">
        <v>30</v>
      </c>
    </row>
    <row r="36" spans="1:17" x14ac:dyDescent="0.2">
      <c r="A36" s="3" t="s">
        <v>160</v>
      </c>
      <c r="C36" s="1" t="s">
        <v>32</v>
      </c>
      <c r="D36" s="7">
        <v>286</v>
      </c>
      <c r="E36" s="7">
        <v>296</v>
      </c>
      <c r="F36" s="7">
        <v>306</v>
      </c>
      <c r="G36" s="15">
        <f>F36+G109</f>
        <v>279.26178982911881</v>
      </c>
      <c r="H36" s="15">
        <f>G36+H109</f>
        <v>262.07036622714776</v>
      </c>
      <c r="I36" s="15">
        <f>H36+I109</f>
        <v>259.06200716037381</v>
      </c>
      <c r="J36" s="15">
        <f>I36+J109</f>
        <v>271.92567198713544</v>
      </c>
      <c r="K36" s="15">
        <f>J36+K109</f>
        <v>302.51863610045899</v>
      </c>
      <c r="M36" s="15" t="s">
        <v>157</v>
      </c>
    </row>
    <row r="37" spans="1:17" x14ac:dyDescent="0.2">
      <c r="C37" s="1" t="s">
        <v>33</v>
      </c>
      <c r="D37" s="7">
        <v>135</v>
      </c>
      <c r="E37" s="7">
        <v>145</v>
      </c>
      <c r="F37" s="7">
        <v>154</v>
      </c>
      <c r="G37" s="1">
        <f>F37*(1+G19)</f>
        <v>168.7</v>
      </c>
      <c r="H37" s="1">
        <f>G37*(1+H19)</f>
        <v>184.8031818181818</v>
      </c>
      <c r="I37" s="1">
        <f>H37*(1+I19)</f>
        <v>202.44348553719007</v>
      </c>
      <c r="J37" s="1">
        <f>I37*(1+J19)</f>
        <v>221.76763642937641</v>
      </c>
      <c r="K37" s="1">
        <f>J37*(1+K19)</f>
        <v>242.93636536127144</v>
      </c>
      <c r="M37" s="12" t="s">
        <v>41</v>
      </c>
      <c r="Q37" s="1" t="s">
        <v>48</v>
      </c>
    </row>
    <row r="38" spans="1:17" x14ac:dyDescent="0.2">
      <c r="C38" s="1" t="s">
        <v>34</v>
      </c>
      <c r="D38" s="7">
        <v>265</v>
      </c>
      <c r="E38" s="7">
        <v>297</v>
      </c>
      <c r="F38" s="7">
        <v>345</v>
      </c>
      <c r="G38" s="1">
        <f>F38*(1+G23)</f>
        <v>367.14432151426291</v>
      </c>
      <c r="H38" s="1">
        <f>G38*(1+H23)</f>
        <v>402.18991584062439</v>
      </c>
      <c r="I38" s="1">
        <f>H38*(1+I23)</f>
        <v>440.58077144359311</v>
      </c>
      <c r="J38" s="1">
        <f>I38*(1+J23)</f>
        <v>482.63620871775424</v>
      </c>
      <c r="K38" s="1">
        <f>J38*(1+K23)</f>
        <v>528.70602864081263</v>
      </c>
      <c r="M38" s="12" t="s">
        <v>44</v>
      </c>
      <c r="Q38" s="1" t="s">
        <v>47</v>
      </c>
    </row>
    <row r="39" spans="1:17" x14ac:dyDescent="0.2">
      <c r="C39" s="1" t="s">
        <v>35</v>
      </c>
      <c r="D39" s="7">
        <v>39</v>
      </c>
      <c r="E39" s="7">
        <v>41</v>
      </c>
      <c r="F39" s="7">
        <v>45</v>
      </c>
      <c r="G39" s="1">
        <f>F39*(1+G19)</f>
        <v>49.295454545454547</v>
      </c>
      <c r="H39" s="1">
        <f>G39*(1+H19)</f>
        <v>54.000929752066121</v>
      </c>
      <c r="I39" s="1">
        <f>H39*(1+I19)</f>
        <v>59.155563955672434</v>
      </c>
      <c r="J39" s="1">
        <f>I39*(1+J19)</f>
        <v>64.80223142416844</v>
      </c>
      <c r="K39" s="1">
        <f>J39*(1+K19)</f>
        <v>70.987898969202703</v>
      </c>
      <c r="M39" s="12" t="s">
        <v>45</v>
      </c>
      <c r="Q39" s="1" t="s">
        <v>48</v>
      </c>
    </row>
    <row r="40" spans="1:17" x14ac:dyDescent="0.2">
      <c r="C40" s="1" t="s">
        <v>36</v>
      </c>
      <c r="D40" s="2">
        <f t="shared" ref="D40:E40" si="28">SUM(D36:D39)</f>
        <v>725</v>
      </c>
      <c r="E40" s="2">
        <f t="shared" si="28"/>
        <v>779</v>
      </c>
      <c r="F40" s="2">
        <f>SUM(F36:F39)</f>
        <v>850</v>
      </c>
      <c r="G40" s="2">
        <f>SUM(G36:G39)</f>
        <v>864.40156588883622</v>
      </c>
      <c r="H40" s="2">
        <f t="shared" ref="H40:K40" si="29">SUM(H36:H39)</f>
        <v>903.06439363802008</v>
      </c>
      <c r="I40" s="2">
        <f t="shared" si="29"/>
        <v>961.24182809682941</v>
      </c>
      <c r="J40" s="2">
        <f t="shared" si="29"/>
        <v>1041.1317485584345</v>
      </c>
      <c r="K40" s="2">
        <f t="shared" si="29"/>
        <v>1145.1489290717457</v>
      </c>
      <c r="M40" s="12" t="s">
        <v>46</v>
      </c>
    </row>
    <row r="42" spans="1:17" x14ac:dyDescent="0.2">
      <c r="C42" s="1" t="s">
        <v>37</v>
      </c>
      <c r="D42" s="7">
        <v>210</v>
      </c>
      <c r="E42" s="7">
        <v>243</v>
      </c>
      <c r="F42" s="7">
        <v>265</v>
      </c>
      <c r="G42" s="1">
        <f>F42-G26+G25</f>
        <v>300.0545454545454</v>
      </c>
      <c r="H42" s="1">
        <f>G42-H26+H25</f>
        <v>338.45520661157013</v>
      </c>
      <c r="I42" s="1">
        <f>H42-I26+I25</f>
        <v>380.52138542449279</v>
      </c>
      <c r="J42" s="1">
        <f>I42-J26+J25</f>
        <v>426.60297221501253</v>
      </c>
      <c r="K42" s="1">
        <f>J42-K26+K25</f>
        <v>477.08325592644553</v>
      </c>
      <c r="M42" s="12" t="s">
        <v>53</v>
      </c>
    </row>
    <row r="43" spans="1:17" x14ac:dyDescent="0.2">
      <c r="C43" s="1" t="s">
        <v>38</v>
      </c>
      <c r="D43" s="7">
        <v>47</v>
      </c>
      <c r="E43" s="7">
        <v>56</v>
      </c>
      <c r="F43" s="7">
        <v>67</v>
      </c>
      <c r="G43" s="1">
        <f>F43-G29+G28</f>
        <v>74.668181818181807</v>
      </c>
      <c r="H43" s="1">
        <f>G43-H29+H28</f>
        <v>83.068326446280992</v>
      </c>
      <c r="I43" s="1">
        <f>H43-I29+I28</f>
        <v>92.270303061607819</v>
      </c>
      <c r="J43" s="1">
        <f>I43-J29+J28</f>
        <v>102.35065017203402</v>
      </c>
      <c r="K43" s="1">
        <f>J43-K29+K28</f>
        <v>113.39321223390998</v>
      </c>
      <c r="M43" s="12" t="s">
        <v>56</v>
      </c>
    </row>
    <row r="44" spans="1:17" x14ac:dyDescent="0.2">
      <c r="C44" s="1" t="s">
        <v>39</v>
      </c>
      <c r="D44" s="2">
        <f>SUM(D42:D43)</f>
        <v>257</v>
      </c>
      <c r="E44" s="2">
        <f t="shared" ref="E44:F44" si="30">SUM(E42:E43)</f>
        <v>299</v>
      </c>
      <c r="F44" s="2">
        <f t="shared" si="30"/>
        <v>332</v>
      </c>
      <c r="G44" s="2">
        <f>SUM(G42:G43)</f>
        <v>374.72272727272718</v>
      </c>
      <c r="H44" s="2">
        <f t="shared" ref="H44:J44" si="31">SUM(H42:H43)</f>
        <v>421.52353305785113</v>
      </c>
      <c r="I44" s="2">
        <f t="shared" si="31"/>
        <v>472.79168848610061</v>
      </c>
      <c r="J44" s="2">
        <f t="shared" si="31"/>
        <v>528.95362238704661</v>
      </c>
      <c r="K44" s="2">
        <f>SUM(K42:K43)</f>
        <v>590.47646816035547</v>
      </c>
    </row>
    <row r="46" spans="1:17" x14ac:dyDescent="0.2">
      <c r="C46" s="2" t="s">
        <v>40</v>
      </c>
      <c r="D46" s="2">
        <f>D40+D44</f>
        <v>982</v>
      </c>
      <c r="E46" s="2">
        <f t="shared" ref="E46:K46" si="32">E40+E44</f>
        <v>1078</v>
      </c>
      <c r="F46" s="2">
        <f t="shared" si="32"/>
        <v>1182</v>
      </c>
      <c r="G46" s="2">
        <f t="shared" si="32"/>
        <v>1239.1242931615634</v>
      </c>
      <c r="H46" s="2">
        <f t="shared" si="32"/>
        <v>1324.5879266958711</v>
      </c>
      <c r="I46" s="2">
        <f t="shared" si="32"/>
        <v>1434.0335165829301</v>
      </c>
      <c r="J46" s="2">
        <f t="shared" si="32"/>
        <v>1570.0853709454811</v>
      </c>
      <c r="K46" s="2">
        <f t="shared" si="32"/>
        <v>1735.625397232101</v>
      </c>
      <c r="M46" s="12" t="s">
        <v>58</v>
      </c>
    </row>
    <row r="48" spans="1:17" x14ac:dyDescent="0.2">
      <c r="C48" s="18" t="s">
        <v>60</v>
      </c>
      <c r="D48" s="7">
        <v>45</v>
      </c>
      <c r="E48" s="7">
        <v>47</v>
      </c>
      <c r="F48" s="7">
        <v>49</v>
      </c>
      <c r="G48" s="1">
        <f>F48*(1+G23)</f>
        <v>52.145135519417053</v>
      </c>
      <c r="H48" s="1">
        <f>G48*(1+H19)</f>
        <v>57.122625728088678</v>
      </c>
      <c r="I48" s="1">
        <f>H48*(1+I19)</f>
        <v>62.575240002133505</v>
      </c>
      <c r="J48" s="1">
        <f>I48*(1+J19)</f>
        <v>68.548331093246247</v>
      </c>
      <c r="K48" s="1">
        <f>J48*(1+K19)</f>
        <v>75.091580879419752</v>
      </c>
      <c r="M48" s="12" t="s">
        <v>64</v>
      </c>
    </row>
    <row r="49" spans="3:17" x14ac:dyDescent="0.2">
      <c r="C49" s="1" t="s">
        <v>61</v>
      </c>
      <c r="D49" s="7">
        <v>32</v>
      </c>
      <c r="E49" s="7">
        <v>37</v>
      </c>
      <c r="F49" s="7">
        <v>47</v>
      </c>
      <c r="G49" s="1">
        <f>F49*(1+G19)</f>
        <v>51.486363636363635</v>
      </c>
      <c r="H49" s="1">
        <f>G49*(1+H19)</f>
        <v>56.400971074380166</v>
      </c>
      <c r="I49" s="1">
        <f>H49*(1+I19)</f>
        <v>61.784700131480093</v>
      </c>
      <c r="J49" s="1">
        <f>I49*(1+J19)</f>
        <v>67.682330598575916</v>
      </c>
      <c r="K49" s="1">
        <f>J49*(1+K19)</f>
        <v>74.142916701167252</v>
      </c>
      <c r="M49" s="12" t="s">
        <v>65</v>
      </c>
    </row>
    <row r="50" spans="3:17" x14ac:dyDescent="0.2">
      <c r="C50" s="1" t="s">
        <v>62</v>
      </c>
      <c r="D50" s="7">
        <v>112</v>
      </c>
      <c r="E50" s="7">
        <v>143</v>
      </c>
      <c r="F50" s="7">
        <v>167</v>
      </c>
      <c r="G50" s="1">
        <f>F50*(1+G19)</f>
        <v>182.94090909090909</v>
      </c>
      <c r="H50" s="1">
        <f>G50*(1+H19)</f>
        <v>200.40345041322314</v>
      </c>
      <c r="I50" s="1">
        <f>H50*(1+I19)</f>
        <v>219.53287067993989</v>
      </c>
      <c r="J50" s="1">
        <f>I50*(1+J19)</f>
        <v>240.48828106302506</v>
      </c>
      <c r="K50" s="1">
        <f>J50*(1+K19)</f>
        <v>263.4439806190411</v>
      </c>
      <c r="M50" s="12" t="s">
        <v>65</v>
      </c>
    </row>
    <row r="51" spans="3:17" x14ac:dyDescent="0.2">
      <c r="C51" s="2" t="s">
        <v>63</v>
      </c>
      <c r="D51" s="2">
        <f>SUM(D48:D50)</f>
        <v>189</v>
      </c>
      <c r="E51" s="2">
        <f t="shared" ref="E51:K51" si="33">SUM(E48:E50)</f>
        <v>227</v>
      </c>
      <c r="F51" s="2">
        <f t="shared" si="33"/>
        <v>263</v>
      </c>
      <c r="G51" s="2">
        <f t="shared" si="33"/>
        <v>286.57240824668975</v>
      </c>
      <c r="H51" s="2">
        <f t="shared" si="33"/>
        <v>313.92704721569197</v>
      </c>
      <c r="I51" s="2">
        <f t="shared" si="33"/>
        <v>343.89281081355352</v>
      </c>
      <c r="J51" s="2">
        <f t="shared" si="33"/>
        <v>376.71894275484721</v>
      </c>
      <c r="K51" s="2">
        <f t="shared" si="33"/>
        <v>412.6784781996281</v>
      </c>
      <c r="M51" s="12" t="s">
        <v>66</v>
      </c>
    </row>
    <row r="53" spans="3:17" x14ac:dyDescent="0.2">
      <c r="C53" s="1" t="s">
        <v>69</v>
      </c>
      <c r="D53" s="7">
        <v>0</v>
      </c>
      <c r="E53" s="7">
        <v>12</v>
      </c>
      <c r="F53" s="7">
        <v>5</v>
      </c>
      <c r="G53" s="15">
        <f>F53+G112</f>
        <v>0</v>
      </c>
      <c r="H53" s="15">
        <f t="shared" ref="H53:K53" si="34">G53+H112</f>
        <v>0</v>
      </c>
      <c r="I53" s="15">
        <f t="shared" si="34"/>
        <v>0</v>
      </c>
      <c r="J53" s="15">
        <f t="shared" si="34"/>
        <v>0</v>
      </c>
      <c r="K53" s="15">
        <f t="shared" si="34"/>
        <v>0</v>
      </c>
    </row>
    <row r="54" spans="3:17" x14ac:dyDescent="0.2">
      <c r="C54" s="1" t="s">
        <v>67</v>
      </c>
      <c r="D54" s="7">
        <v>167</v>
      </c>
      <c r="E54" s="7">
        <v>178</v>
      </c>
      <c r="F54" s="7">
        <v>186</v>
      </c>
      <c r="G54" s="19">
        <v>186</v>
      </c>
      <c r="H54" s="19">
        <v>186</v>
      </c>
      <c r="I54" s="19">
        <v>186</v>
      </c>
      <c r="J54" s="19">
        <v>186</v>
      </c>
      <c r="K54" s="19">
        <v>186</v>
      </c>
      <c r="M54" s="1" t="s">
        <v>74</v>
      </c>
    </row>
    <row r="55" spans="3:17" x14ac:dyDescent="0.2">
      <c r="C55" s="1" t="s">
        <v>70</v>
      </c>
      <c r="D55" s="7">
        <v>45</v>
      </c>
      <c r="E55" s="7">
        <v>47</v>
      </c>
      <c r="F55" s="7">
        <v>49</v>
      </c>
      <c r="G55" s="1">
        <v>49</v>
      </c>
      <c r="H55" s="1">
        <v>49</v>
      </c>
      <c r="I55" s="1">
        <v>49</v>
      </c>
      <c r="J55" s="1">
        <v>49</v>
      </c>
      <c r="K55" s="1">
        <v>49</v>
      </c>
      <c r="M55" s="1" t="s">
        <v>74</v>
      </c>
    </row>
    <row r="56" spans="3:17" x14ac:dyDescent="0.2">
      <c r="C56" s="2" t="s">
        <v>71</v>
      </c>
      <c r="D56" s="2">
        <f>SUM(D53:D55)+D51</f>
        <v>401</v>
      </c>
      <c r="E56" s="2">
        <f t="shared" ref="E56:K56" si="35">SUM(E53:E55)+E51</f>
        <v>464</v>
      </c>
      <c r="F56" s="2">
        <f t="shared" si="35"/>
        <v>503</v>
      </c>
      <c r="G56" s="2">
        <f t="shared" si="35"/>
        <v>521.57240824668975</v>
      </c>
      <c r="H56" s="2">
        <f t="shared" si="35"/>
        <v>548.92704721569203</v>
      </c>
      <c r="I56" s="2">
        <f t="shared" si="35"/>
        <v>578.89281081355352</v>
      </c>
      <c r="J56" s="2">
        <f t="shared" si="35"/>
        <v>611.71894275484715</v>
      </c>
      <c r="K56" s="2">
        <f t="shared" si="35"/>
        <v>647.6784781996281</v>
      </c>
      <c r="M56" s="12" t="s">
        <v>72</v>
      </c>
      <c r="Q56" s="3" t="s">
        <v>73</v>
      </c>
    </row>
    <row r="58" spans="3:17" x14ac:dyDescent="0.2">
      <c r="C58" s="1" t="s">
        <v>75</v>
      </c>
      <c r="D58" s="7">
        <v>35</v>
      </c>
      <c r="E58" s="7">
        <v>37</v>
      </c>
      <c r="F58" s="7">
        <v>39</v>
      </c>
      <c r="G58" s="21">
        <f>G72</f>
        <v>44</v>
      </c>
      <c r="H58" s="21">
        <f t="shared" ref="H58:K58" si="36">H72</f>
        <v>49</v>
      </c>
      <c r="I58" s="21">
        <f t="shared" si="36"/>
        <v>54</v>
      </c>
      <c r="J58" s="21">
        <f t="shared" si="36"/>
        <v>59</v>
      </c>
      <c r="K58" s="21">
        <f t="shared" si="36"/>
        <v>64</v>
      </c>
      <c r="M58" s="12" t="s">
        <v>96</v>
      </c>
    </row>
    <row r="59" spans="3:17" x14ac:dyDescent="0.2">
      <c r="C59" s="1" t="s">
        <v>164</v>
      </c>
      <c r="D59" s="7">
        <v>-145</v>
      </c>
      <c r="E59" s="7">
        <v>-178</v>
      </c>
      <c r="F59" s="7">
        <v>-210</v>
      </c>
      <c r="G59" s="21">
        <f>G76</f>
        <v>-230</v>
      </c>
      <c r="H59" s="21">
        <f>H76</f>
        <v>-250</v>
      </c>
      <c r="I59" s="21">
        <f>I76</f>
        <v>-270</v>
      </c>
      <c r="J59" s="21">
        <f>J76</f>
        <v>-290</v>
      </c>
      <c r="K59" s="21">
        <f>K76</f>
        <v>-310</v>
      </c>
      <c r="M59" s="12" t="s">
        <v>97</v>
      </c>
    </row>
    <row r="60" spans="3:17" x14ac:dyDescent="0.2">
      <c r="C60" s="1" t="s">
        <v>76</v>
      </c>
      <c r="D60" s="7">
        <v>-7</v>
      </c>
      <c r="E60" s="7">
        <v>12</v>
      </c>
      <c r="F60" s="7">
        <v>43</v>
      </c>
      <c r="G60" s="1">
        <f>F60</f>
        <v>43</v>
      </c>
      <c r="H60" s="1">
        <f t="shared" ref="H60:K60" si="37">G60</f>
        <v>43</v>
      </c>
      <c r="I60" s="1">
        <f t="shared" si="37"/>
        <v>43</v>
      </c>
      <c r="J60" s="1">
        <f t="shared" si="37"/>
        <v>43</v>
      </c>
      <c r="K60" s="1">
        <f t="shared" si="37"/>
        <v>43</v>
      </c>
      <c r="M60" s="1" t="s">
        <v>98</v>
      </c>
    </row>
    <row r="61" spans="3:17" x14ac:dyDescent="0.2">
      <c r="C61" s="1" t="s">
        <v>77</v>
      </c>
      <c r="D61" s="7">
        <v>698</v>
      </c>
      <c r="E61" s="7">
        <v>743</v>
      </c>
      <c r="F61" s="7">
        <v>807</v>
      </c>
      <c r="G61" s="21">
        <f>G81</f>
        <v>860.55188491487365</v>
      </c>
      <c r="H61" s="21">
        <f t="shared" ref="H61:K61" si="38">H81</f>
        <v>933.66087948017912</v>
      </c>
      <c r="I61" s="21">
        <f t="shared" si="38"/>
        <v>1028.1407057693764</v>
      </c>
      <c r="J61" s="21">
        <f t="shared" si="38"/>
        <v>1146.3664281906335</v>
      </c>
      <c r="K61" s="21">
        <f t="shared" si="38"/>
        <v>1290.946919032473</v>
      </c>
      <c r="M61" s="12" t="s">
        <v>107</v>
      </c>
    </row>
    <row r="62" spans="3:17" x14ac:dyDescent="0.2">
      <c r="C62" s="2" t="s">
        <v>78</v>
      </c>
      <c r="D62" s="2">
        <f>SUM(D58:D61)</f>
        <v>581</v>
      </c>
      <c r="E62" s="2">
        <f t="shared" ref="E62:K62" si="39">SUM(E58:E61)</f>
        <v>614</v>
      </c>
      <c r="F62" s="2">
        <f t="shared" si="39"/>
        <v>679</v>
      </c>
      <c r="G62" s="2">
        <f t="shared" si="39"/>
        <v>717.55188491487365</v>
      </c>
      <c r="H62" s="2">
        <f t="shared" si="39"/>
        <v>775.66087948017912</v>
      </c>
      <c r="I62" s="2">
        <f t="shared" si="39"/>
        <v>855.14070576937638</v>
      </c>
      <c r="J62" s="2">
        <f t="shared" si="39"/>
        <v>958.36642819063354</v>
      </c>
      <c r="K62" s="2">
        <f t="shared" si="39"/>
        <v>1087.946919032473</v>
      </c>
      <c r="M62" s="12" t="s">
        <v>80</v>
      </c>
    </row>
    <row r="64" spans="3:17" x14ac:dyDescent="0.2">
      <c r="C64" s="2" t="s">
        <v>79</v>
      </c>
      <c r="D64" s="2">
        <f>D62+D56</f>
        <v>982</v>
      </c>
      <c r="E64" s="2">
        <f t="shared" ref="E64:K64" si="40">E62+E56</f>
        <v>1078</v>
      </c>
      <c r="F64" s="2">
        <f t="shared" si="40"/>
        <v>1182</v>
      </c>
      <c r="G64" s="2">
        <f t="shared" si="40"/>
        <v>1239.1242931615634</v>
      </c>
      <c r="H64" s="2">
        <f t="shared" si="40"/>
        <v>1324.5879266958711</v>
      </c>
      <c r="I64" s="2">
        <f t="shared" si="40"/>
        <v>1434.0335165829299</v>
      </c>
      <c r="J64" s="2">
        <f t="shared" si="40"/>
        <v>1570.0853709454807</v>
      </c>
      <c r="K64" s="2">
        <f t="shared" si="40"/>
        <v>1735.625397232101</v>
      </c>
      <c r="M64" s="12" t="s">
        <v>83</v>
      </c>
    </row>
    <row r="65" spans="2:13" x14ac:dyDescent="0.2">
      <c r="C65" s="2" t="s">
        <v>40</v>
      </c>
      <c r="D65" s="2">
        <f>D46</f>
        <v>982</v>
      </c>
      <c r="E65" s="2">
        <f t="shared" ref="E65:K65" si="41">E46</f>
        <v>1078</v>
      </c>
      <c r="F65" s="2">
        <f t="shared" si="41"/>
        <v>1182</v>
      </c>
      <c r="G65" s="2">
        <f t="shared" si="41"/>
        <v>1239.1242931615634</v>
      </c>
      <c r="H65" s="2">
        <f t="shared" si="41"/>
        <v>1324.5879266958711</v>
      </c>
      <c r="I65" s="2">
        <f t="shared" si="41"/>
        <v>1434.0335165829301</v>
      </c>
      <c r="J65" s="2">
        <f t="shared" si="41"/>
        <v>1570.0853709454811</v>
      </c>
      <c r="K65" s="2">
        <f t="shared" si="41"/>
        <v>1735.625397232101</v>
      </c>
      <c r="M65" s="12" t="s">
        <v>58</v>
      </c>
    </row>
    <row r="66" spans="2:13" x14ac:dyDescent="0.2">
      <c r="C66" s="1" t="s">
        <v>82</v>
      </c>
      <c r="D66" s="1">
        <f>D64-D65</f>
        <v>0</v>
      </c>
      <c r="E66" s="1">
        <f t="shared" ref="E66:K66" si="42">E64-E65</f>
        <v>0</v>
      </c>
      <c r="F66" s="1">
        <f t="shared" si="42"/>
        <v>0</v>
      </c>
      <c r="G66" s="1">
        <f t="shared" si="42"/>
        <v>0</v>
      </c>
      <c r="H66" s="1">
        <f t="shared" si="42"/>
        <v>0</v>
      </c>
      <c r="I66" s="1">
        <f t="shared" si="42"/>
        <v>0</v>
      </c>
      <c r="J66" s="1">
        <f t="shared" si="42"/>
        <v>0</v>
      </c>
      <c r="K66" s="1">
        <f t="shared" si="42"/>
        <v>0</v>
      </c>
      <c r="M66" s="12" t="s">
        <v>84</v>
      </c>
    </row>
    <row r="67" spans="2:13" x14ac:dyDescent="0.2">
      <c r="C67" s="1" t="s">
        <v>81</v>
      </c>
      <c r="D67" s="20" t="b">
        <f>IF(D66=0,TRUE,FALSE)</f>
        <v>1</v>
      </c>
      <c r="E67" s="20" t="b">
        <f t="shared" ref="E67:J67" si="43">IF(E66=0,TRUE,FALSE)</f>
        <v>1</v>
      </c>
      <c r="F67" s="20" t="b">
        <f t="shared" si="43"/>
        <v>1</v>
      </c>
      <c r="G67" s="20" t="b">
        <f t="shared" si="43"/>
        <v>1</v>
      </c>
      <c r="H67" s="20" t="b">
        <f t="shared" si="43"/>
        <v>1</v>
      </c>
      <c r="I67" s="20" t="b">
        <f t="shared" si="43"/>
        <v>1</v>
      </c>
      <c r="J67" s="20" t="b">
        <f t="shared" si="43"/>
        <v>1</v>
      </c>
      <c r="K67" s="20" t="b">
        <f t="shared" ref="K67" si="44">IF(K66=0,TRUE,FALSE)</f>
        <v>1</v>
      </c>
      <c r="M67" s="12" t="s">
        <v>85</v>
      </c>
    </row>
    <row r="69" spans="2:13" x14ac:dyDescent="0.2">
      <c r="B69" s="1" t="s">
        <v>109</v>
      </c>
      <c r="C69" s="2" t="s">
        <v>110</v>
      </c>
    </row>
    <row r="70" spans="2:13" x14ac:dyDescent="0.2">
      <c r="C70" s="1" t="s">
        <v>86</v>
      </c>
      <c r="G70" s="1">
        <f>F58</f>
        <v>39</v>
      </c>
      <c r="H70" s="1">
        <f>G72</f>
        <v>44</v>
      </c>
      <c r="I70" s="1">
        <f t="shared" ref="I70:K70" si="45">H72</f>
        <v>49</v>
      </c>
      <c r="J70" s="1">
        <f t="shared" si="45"/>
        <v>54</v>
      </c>
      <c r="K70" s="1">
        <f t="shared" si="45"/>
        <v>59</v>
      </c>
      <c r="M70" s="12" t="s">
        <v>90</v>
      </c>
    </row>
    <row r="71" spans="2:13" x14ac:dyDescent="0.2">
      <c r="C71" s="1" t="s">
        <v>87</v>
      </c>
      <c r="G71" s="7">
        <v>5</v>
      </c>
      <c r="H71" s="7">
        <v>5</v>
      </c>
      <c r="I71" s="7">
        <v>5</v>
      </c>
      <c r="J71" s="7">
        <v>5</v>
      </c>
      <c r="K71" s="7">
        <v>5</v>
      </c>
    </row>
    <row r="72" spans="2:13" x14ac:dyDescent="0.2">
      <c r="C72" s="2" t="s">
        <v>88</v>
      </c>
      <c r="D72" s="2"/>
      <c r="E72" s="2"/>
      <c r="F72" s="2"/>
      <c r="G72" s="2">
        <f>SUM(G70:G71)</f>
        <v>44</v>
      </c>
      <c r="H72" s="2">
        <f>H70+H71</f>
        <v>49</v>
      </c>
      <c r="I72" s="2">
        <f t="shared" ref="I72:K72" si="46">I70+I71</f>
        <v>54</v>
      </c>
      <c r="J72" s="2">
        <f t="shared" si="46"/>
        <v>59</v>
      </c>
      <c r="K72" s="2">
        <f t="shared" si="46"/>
        <v>64</v>
      </c>
      <c r="M72" s="12" t="s">
        <v>89</v>
      </c>
    </row>
    <row r="74" spans="2:13" x14ac:dyDescent="0.2">
      <c r="C74" s="1" t="s">
        <v>91</v>
      </c>
      <c r="G74" s="1">
        <f>F59</f>
        <v>-210</v>
      </c>
      <c r="H74" s="1">
        <f>G76</f>
        <v>-230</v>
      </c>
      <c r="I74" s="1">
        <f t="shared" ref="I74:K74" si="47">H76</f>
        <v>-250</v>
      </c>
      <c r="J74" s="1">
        <f t="shared" si="47"/>
        <v>-270</v>
      </c>
      <c r="K74" s="1">
        <f t="shared" si="47"/>
        <v>-290</v>
      </c>
      <c r="M74" s="12" t="s">
        <v>93</v>
      </c>
    </row>
    <row r="75" spans="2:13" x14ac:dyDescent="0.2">
      <c r="C75" s="1" t="s">
        <v>94</v>
      </c>
      <c r="G75" s="7">
        <v>-20</v>
      </c>
      <c r="H75" s="7">
        <v>-20</v>
      </c>
      <c r="I75" s="7">
        <v>-20</v>
      </c>
      <c r="J75" s="7">
        <v>-20</v>
      </c>
      <c r="K75" s="7">
        <v>-20</v>
      </c>
    </row>
    <row r="76" spans="2:13" x14ac:dyDescent="0.2">
      <c r="C76" s="2" t="s">
        <v>92</v>
      </c>
      <c r="D76" s="2"/>
      <c r="E76" s="2"/>
      <c r="F76" s="2"/>
      <c r="G76" s="2">
        <f>SUM(G74:G75)</f>
        <v>-230</v>
      </c>
      <c r="H76" s="2">
        <f t="shared" ref="H76:K76" si="48">SUM(H74:H75)</f>
        <v>-250</v>
      </c>
      <c r="I76" s="2">
        <f t="shared" si="48"/>
        <v>-270</v>
      </c>
      <c r="J76" s="2">
        <f t="shared" si="48"/>
        <v>-290</v>
      </c>
      <c r="K76" s="2">
        <f t="shared" si="48"/>
        <v>-310</v>
      </c>
      <c r="M76" s="12" t="s">
        <v>95</v>
      </c>
    </row>
    <row r="78" spans="2:13" x14ac:dyDescent="0.2">
      <c r="C78" s="1" t="s">
        <v>99</v>
      </c>
      <c r="G78" s="1">
        <f>F61</f>
        <v>807</v>
      </c>
      <c r="H78" s="1">
        <f>G81</f>
        <v>860.55188491487365</v>
      </c>
      <c r="I78" s="1">
        <f>H81</f>
        <v>933.66087948017912</v>
      </c>
      <c r="J78" s="1">
        <f>I81</f>
        <v>1028.1407057693764</v>
      </c>
      <c r="K78" s="1">
        <f>J81</f>
        <v>1146.3664281906335</v>
      </c>
      <c r="M78" s="12" t="s">
        <v>104</v>
      </c>
    </row>
    <row r="79" spans="2:13" x14ac:dyDescent="0.2">
      <c r="C79" s="1" t="s">
        <v>11</v>
      </c>
      <c r="G79" s="21">
        <f>G16</f>
        <v>203.55188491487371</v>
      </c>
      <c r="H79" s="21">
        <f>H16</f>
        <v>223.10899456530555</v>
      </c>
      <c r="I79" s="21">
        <f>I16</f>
        <v>244.47982628919726</v>
      </c>
      <c r="J79" s="21">
        <f>J16</f>
        <v>268.22572242125727</v>
      </c>
      <c r="K79" s="21">
        <f>K16</f>
        <v>294.58049084183938</v>
      </c>
      <c r="M79" s="12" t="s">
        <v>105</v>
      </c>
    </row>
    <row r="80" spans="2:13" x14ac:dyDescent="0.2">
      <c r="C80" s="1" t="s">
        <v>102</v>
      </c>
      <c r="G80" s="7">
        <v>-150</v>
      </c>
      <c r="H80" s="7">
        <v>-150</v>
      </c>
      <c r="I80" s="7">
        <v>-150</v>
      </c>
      <c r="J80" s="7">
        <v>-150</v>
      </c>
      <c r="K80" s="7">
        <v>-150</v>
      </c>
    </row>
    <row r="81" spans="2:17" x14ac:dyDescent="0.2">
      <c r="C81" s="2" t="s">
        <v>100</v>
      </c>
      <c r="D81" s="2"/>
      <c r="E81" s="2"/>
      <c r="F81" s="2"/>
      <c r="G81" s="2">
        <f>SUM(G78:G80)</f>
        <v>860.55188491487365</v>
      </c>
      <c r="H81" s="2">
        <f t="shared" ref="H81:K81" si="49">SUM(H78:H80)</f>
        <v>933.66087948017912</v>
      </c>
      <c r="I81" s="2">
        <f t="shared" si="49"/>
        <v>1028.1407057693764</v>
      </c>
      <c r="J81" s="2">
        <f t="shared" si="49"/>
        <v>1146.3664281906335</v>
      </c>
      <c r="K81" s="2">
        <f t="shared" si="49"/>
        <v>1290.946919032473</v>
      </c>
      <c r="M81" s="12" t="s">
        <v>106</v>
      </c>
    </row>
    <row r="82" spans="2:17" ht="17" thickBot="1" x14ac:dyDescent="0.25">
      <c r="C82" s="16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</row>
    <row r="84" spans="2:17" x14ac:dyDescent="0.2">
      <c r="B84" s="1" t="s">
        <v>109</v>
      </c>
      <c r="C84" s="2" t="s">
        <v>108</v>
      </c>
    </row>
    <row r="86" spans="2:17" x14ac:dyDescent="0.2">
      <c r="C86" s="6" t="s">
        <v>121</v>
      </c>
      <c r="D86" s="21"/>
      <c r="E86" s="21"/>
      <c r="F86" s="21"/>
      <c r="G86" s="21">
        <f>G16</f>
        <v>203.55188491487371</v>
      </c>
      <c r="H86" s="21">
        <f>H16</f>
        <v>223.10899456530555</v>
      </c>
      <c r="I86" s="21">
        <f>I16</f>
        <v>244.47982628919726</v>
      </c>
      <c r="J86" s="21">
        <f>J16</f>
        <v>268.22572242125727</v>
      </c>
      <c r="K86" s="21">
        <f>K16</f>
        <v>294.58049084183938</v>
      </c>
      <c r="N86" s="1" t="s">
        <v>11</v>
      </c>
    </row>
    <row r="87" spans="2:17" x14ac:dyDescent="0.2">
      <c r="B87" s="3" t="s">
        <v>111</v>
      </c>
      <c r="C87" s="1" t="s">
        <v>117</v>
      </c>
      <c r="G87" s="1">
        <f>-(G25+G28)</f>
        <v>53.677272727272729</v>
      </c>
      <c r="H87" s="1">
        <f>-(H25+H28)</f>
        <v>58.801012396694219</v>
      </c>
      <c r="I87" s="1">
        <f>-(I25+I28)</f>
        <v>64.413836307287752</v>
      </c>
      <c r="J87" s="1">
        <f>-(J25+J28)</f>
        <v>70.562429772983407</v>
      </c>
      <c r="K87" s="1">
        <f>-(K25+K28)</f>
        <v>77.297934433131815</v>
      </c>
      <c r="M87" s="12" t="s">
        <v>119</v>
      </c>
      <c r="N87" s="12" t="s">
        <v>163</v>
      </c>
      <c r="Q87" s="1" t="s">
        <v>120</v>
      </c>
    </row>
    <row r="88" spans="2:17" x14ac:dyDescent="0.2">
      <c r="B88" s="3" t="s">
        <v>112</v>
      </c>
      <c r="C88" s="1" t="s">
        <v>33</v>
      </c>
      <c r="G88" s="1">
        <f t="shared" ref="G88:K89" si="50">F37-G37</f>
        <v>-14.699999999999989</v>
      </c>
      <c r="H88" s="1">
        <f t="shared" si="50"/>
        <v>-16.10318181818181</v>
      </c>
      <c r="I88" s="1">
        <f t="shared" si="50"/>
        <v>-17.640303719008273</v>
      </c>
      <c r="J88" s="1">
        <f t="shared" si="50"/>
        <v>-19.324150892186339</v>
      </c>
      <c r="K88" s="1">
        <f t="shared" si="50"/>
        <v>-21.168728931895032</v>
      </c>
      <c r="M88" s="12" t="s">
        <v>124</v>
      </c>
      <c r="N88" s="1" t="s">
        <v>122</v>
      </c>
      <c r="Q88" s="1" t="s">
        <v>123</v>
      </c>
    </row>
    <row r="89" spans="2:17" x14ac:dyDescent="0.2">
      <c r="B89" s="3" t="s">
        <v>113</v>
      </c>
      <c r="C89" s="1" t="s">
        <v>34</v>
      </c>
      <c r="G89" s="1">
        <f t="shared" si="50"/>
        <v>-22.144321514262913</v>
      </c>
      <c r="H89" s="1">
        <f t="shared" si="50"/>
        <v>-35.045594326361481</v>
      </c>
      <c r="I89" s="1">
        <f t="shared" si="50"/>
        <v>-38.390855602968713</v>
      </c>
      <c r="J89" s="1">
        <f t="shared" si="50"/>
        <v>-42.055437274161136</v>
      </c>
      <c r="K89" s="1">
        <f t="shared" si="50"/>
        <v>-46.06981992305839</v>
      </c>
      <c r="M89" s="12" t="s">
        <v>125</v>
      </c>
      <c r="N89" s="1" t="s">
        <v>34</v>
      </c>
    </row>
    <row r="90" spans="2:17" x14ac:dyDescent="0.2">
      <c r="B90" s="3" t="s">
        <v>114</v>
      </c>
      <c r="C90" s="1" t="s">
        <v>35</v>
      </c>
      <c r="G90" s="1">
        <f>F39-G39</f>
        <v>-4.2954545454545467</v>
      </c>
      <c r="H90" s="1">
        <f t="shared" ref="H90:K90" si="51">G39-H39</f>
        <v>-4.7054752066115739</v>
      </c>
      <c r="I90" s="1">
        <f t="shared" si="51"/>
        <v>-5.1546342036063137</v>
      </c>
      <c r="J90" s="1">
        <f t="shared" si="51"/>
        <v>-5.6466674684960054</v>
      </c>
      <c r="K90" s="1">
        <f t="shared" si="51"/>
        <v>-6.1856675450342635</v>
      </c>
      <c r="M90" s="12" t="s">
        <v>126</v>
      </c>
      <c r="N90" s="1" t="s">
        <v>127</v>
      </c>
    </row>
    <row r="91" spans="2:17" x14ac:dyDescent="0.2">
      <c r="B91" s="3" t="s">
        <v>115</v>
      </c>
      <c r="C91" s="18" t="s">
        <v>60</v>
      </c>
      <c r="G91" s="1">
        <f>G48-F48</f>
        <v>3.1451355194170532</v>
      </c>
      <c r="H91" s="1">
        <f t="shared" ref="H91:K91" si="52">H48-G48</f>
        <v>4.9774902086716253</v>
      </c>
      <c r="I91" s="1">
        <f t="shared" si="52"/>
        <v>5.4526142740448265</v>
      </c>
      <c r="J91" s="1">
        <f t="shared" si="52"/>
        <v>5.9730910911127424</v>
      </c>
      <c r="K91" s="1">
        <f t="shared" si="52"/>
        <v>6.5432497861735044</v>
      </c>
      <c r="M91" s="12" t="s">
        <v>128</v>
      </c>
      <c r="N91" s="1" t="s">
        <v>127</v>
      </c>
      <c r="Q91" s="1" t="s">
        <v>129</v>
      </c>
    </row>
    <row r="92" spans="2:17" x14ac:dyDescent="0.2">
      <c r="B92" s="3" t="s">
        <v>116</v>
      </c>
      <c r="C92" s="1" t="s">
        <v>61</v>
      </c>
      <c r="G92" s="1">
        <f t="shared" ref="G92:K92" si="53">G49-F49</f>
        <v>4.4863636363636346</v>
      </c>
      <c r="H92" s="1">
        <f t="shared" si="53"/>
        <v>4.9146074380165317</v>
      </c>
      <c r="I92" s="1">
        <f t="shared" si="53"/>
        <v>5.3837290570999272</v>
      </c>
      <c r="J92" s="1">
        <f t="shared" si="53"/>
        <v>5.8976304670958228</v>
      </c>
      <c r="K92" s="1">
        <f t="shared" si="53"/>
        <v>6.4605861025913356</v>
      </c>
      <c r="M92" s="12" t="s">
        <v>130</v>
      </c>
      <c r="N92" s="1" t="s">
        <v>127</v>
      </c>
    </row>
    <row r="93" spans="2:17" x14ac:dyDescent="0.2">
      <c r="C93" s="1" t="s">
        <v>62</v>
      </c>
      <c r="G93" s="1">
        <f t="shared" ref="G93:K93" si="54">G50-F50</f>
        <v>15.940909090909088</v>
      </c>
      <c r="H93" s="1">
        <f t="shared" si="54"/>
        <v>17.462541322314053</v>
      </c>
      <c r="I93" s="1">
        <f t="shared" si="54"/>
        <v>19.12942026671675</v>
      </c>
      <c r="J93" s="1">
        <f t="shared" si="54"/>
        <v>20.955410383085166</v>
      </c>
      <c r="K93" s="1">
        <f t="shared" si="54"/>
        <v>22.955699556016043</v>
      </c>
      <c r="M93" s="12" t="s">
        <v>131</v>
      </c>
      <c r="N93" s="1" t="s">
        <v>127</v>
      </c>
    </row>
    <row r="94" spans="2:17" x14ac:dyDescent="0.2">
      <c r="C94" s="2" t="s">
        <v>118</v>
      </c>
      <c r="D94" s="2"/>
      <c r="E94" s="2"/>
      <c r="F94" s="2"/>
      <c r="G94" s="2">
        <f>SUM(G86:G93)</f>
        <v>239.66178982911879</v>
      </c>
      <c r="H94" s="2">
        <f t="shared" ref="H94:K94" si="55">SUM(H86:H93)</f>
        <v>253.41039457984712</v>
      </c>
      <c r="I94" s="2">
        <f t="shared" si="55"/>
        <v>277.67363266876322</v>
      </c>
      <c r="J94" s="2">
        <f t="shared" si="55"/>
        <v>304.588028500691</v>
      </c>
      <c r="K94" s="2">
        <f t="shared" si="55"/>
        <v>334.41374431976436</v>
      </c>
      <c r="M94" s="12" t="s">
        <v>132</v>
      </c>
    </row>
    <row r="96" spans="2:17" x14ac:dyDescent="0.2">
      <c r="C96" s="1" t="s">
        <v>133</v>
      </c>
      <c r="G96" s="21">
        <f>G26</f>
        <v>-73.395454545454541</v>
      </c>
      <c r="H96" s="21">
        <f>H26</f>
        <v>-80.40138429752065</v>
      </c>
      <c r="I96" s="21">
        <f>I26</f>
        <v>-88.076061889556712</v>
      </c>
      <c r="J96" s="21">
        <f>J26</f>
        <v>-96.483322342650766</v>
      </c>
      <c r="K96" s="21">
        <f>K26</f>
        <v>-105.69309402081288</v>
      </c>
      <c r="M96" s="12" t="s">
        <v>135</v>
      </c>
    </row>
    <row r="97" spans="1:13" x14ac:dyDescent="0.2">
      <c r="C97" s="1" t="s">
        <v>134</v>
      </c>
      <c r="G97" s="21">
        <f>G29</f>
        <v>-23.004545454545454</v>
      </c>
      <c r="H97" s="21">
        <f>H29</f>
        <v>-25.200433884297521</v>
      </c>
      <c r="I97" s="21">
        <f>I29</f>
        <v>-27.605929845980466</v>
      </c>
      <c r="J97" s="21">
        <f>J29</f>
        <v>-30.241041331278602</v>
      </c>
      <c r="K97" s="21">
        <f>K29</f>
        <v>-33.127686185627923</v>
      </c>
      <c r="M97" s="12" t="s">
        <v>136</v>
      </c>
    </row>
    <row r="98" spans="1:13" x14ac:dyDescent="0.2">
      <c r="C98" s="2" t="s">
        <v>137</v>
      </c>
      <c r="G98" s="2">
        <f>SUM(G96:G97)</f>
        <v>-96.399999999999991</v>
      </c>
      <c r="H98" s="2">
        <f t="shared" ref="H98:K98" si="56">SUM(H96:H97)</f>
        <v>-105.60181818181817</v>
      </c>
      <c r="I98" s="2">
        <f t="shared" si="56"/>
        <v>-115.68199173553718</v>
      </c>
      <c r="J98" s="2">
        <f t="shared" si="56"/>
        <v>-126.72436367392936</v>
      </c>
      <c r="K98" s="2">
        <f t="shared" si="56"/>
        <v>-138.82078020644082</v>
      </c>
    </row>
    <row r="99" spans="1:13" x14ac:dyDescent="0.2">
      <c r="C99" s="2"/>
      <c r="D99" s="2"/>
      <c r="E99" s="2"/>
      <c r="F99" s="2"/>
      <c r="G99" s="2"/>
      <c r="H99" s="2"/>
      <c r="I99" s="2"/>
      <c r="J99" s="2"/>
      <c r="K99" s="2"/>
    </row>
    <row r="100" spans="1:13" x14ac:dyDescent="0.2">
      <c r="B100" s="3" t="s">
        <v>140</v>
      </c>
      <c r="C100" s="1" t="s">
        <v>67</v>
      </c>
      <c r="G100" s="19">
        <f>G54-F54</f>
        <v>0</v>
      </c>
      <c r="H100" s="19">
        <f t="shared" ref="H100:K100" si="57">H54-G54</f>
        <v>0</v>
      </c>
      <c r="I100" s="19">
        <f t="shared" si="57"/>
        <v>0</v>
      </c>
      <c r="J100" s="19">
        <f t="shared" si="57"/>
        <v>0</v>
      </c>
      <c r="K100" s="19">
        <f t="shared" si="57"/>
        <v>0</v>
      </c>
      <c r="M100" s="12" t="s">
        <v>138</v>
      </c>
    </row>
    <row r="101" spans="1:13" x14ac:dyDescent="0.2">
      <c r="B101" s="3" t="s">
        <v>141</v>
      </c>
      <c r="C101" s="1" t="s">
        <v>68</v>
      </c>
      <c r="F101" s="19"/>
      <c r="G101" s="24">
        <f>G53-F53</f>
        <v>-5</v>
      </c>
      <c r="H101" s="24">
        <f t="shared" ref="H101:K101" si="58">H53-G53</f>
        <v>0</v>
      </c>
      <c r="I101" s="24">
        <f t="shared" si="58"/>
        <v>0</v>
      </c>
      <c r="J101" s="24">
        <f>J53-I53</f>
        <v>0</v>
      </c>
      <c r="K101" s="24">
        <f t="shared" si="58"/>
        <v>0</v>
      </c>
      <c r="M101" s="23" t="s">
        <v>158</v>
      </c>
    </row>
    <row r="102" spans="1:13" x14ac:dyDescent="0.2">
      <c r="B102" s="3" t="s">
        <v>142</v>
      </c>
      <c r="C102" s="1" t="s">
        <v>70</v>
      </c>
      <c r="G102" s="1">
        <f>G55-F55</f>
        <v>0</v>
      </c>
      <c r="H102" s="1">
        <f t="shared" ref="H102:K102" si="59">H55-G55</f>
        <v>0</v>
      </c>
      <c r="I102" s="1">
        <f t="shared" si="59"/>
        <v>0</v>
      </c>
      <c r="J102" s="1">
        <f t="shared" si="59"/>
        <v>0</v>
      </c>
      <c r="K102" s="1">
        <f t="shared" si="59"/>
        <v>0</v>
      </c>
      <c r="M102" s="12" t="s">
        <v>139</v>
      </c>
    </row>
    <row r="103" spans="1:13" x14ac:dyDescent="0.2">
      <c r="B103" s="3" t="s">
        <v>143</v>
      </c>
      <c r="C103" s="1" t="s">
        <v>165</v>
      </c>
      <c r="G103" s="1">
        <f>G71</f>
        <v>5</v>
      </c>
      <c r="H103" s="1">
        <f t="shared" ref="H103:K103" si="60">H71</f>
        <v>5</v>
      </c>
      <c r="I103" s="1">
        <f t="shared" si="60"/>
        <v>5</v>
      </c>
      <c r="J103" s="1">
        <f t="shared" si="60"/>
        <v>5</v>
      </c>
      <c r="K103" s="1">
        <f t="shared" si="60"/>
        <v>5</v>
      </c>
      <c r="M103" s="12" t="s">
        <v>150</v>
      </c>
    </row>
    <row r="104" spans="1:13" x14ac:dyDescent="0.2">
      <c r="B104" s="3" t="s">
        <v>144</v>
      </c>
      <c r="C104" s="1" t="s">
        <v>148</v>
      </c>
      <c r="G104" s="21">
        <f>G75</f>
        <v>-20</v>
      </c>
      <c r="H104" s="21">
        <f t="shared" ref="H104:K104" si="61">H75</f>
        <v>-20</v>
      </c>
      <c r="I104" s="21">
        <f t="shared" si="61"/>
        <v>-20</v>
      </c>
      <c r="J104" s="21">
        <f t="shared" si="61"/>
        <v>-20</v>
      </c>
      <c r="K104" s="21">
        <f t="shared" si="61"/>
        <v>-20</v>
      </c>
      <c r="M104" s="12" t="s">
        <v>151</v>
      </c>
    </row>
    <row r="105" spans="1:13" x14ac:dyDescent="0.2">
      <c r="B105" s="3" t="s">
        <v>145</v>
      </c>
      <c r="C105" s="1" t="s">
        <v>76</v>
      </c>
      <c r="G105" s="1">
        <f>G60-F60</f>
        <v>0</v>
      </c>
      <c r="H105" s="1">
        <f t="shared" ref="H105:K105" si="62">H60-G60</f>
        <v>0</v>
      </c>
      <c r="I105" s="1">
        <f t="shared" si="62"/>
        <v>0</v>
      </c>
      <c r="J105" s="1">
        <f t="shared" si="62"/>
        <v>0</v>
      </c>
      <c r="K105" s="1">
        <f t="shared" si="62"/>
        <v>0</v>
      </c>
      <c r="M105" s="12" t="s">
        <v>149</v>
      </c>
    </row>
    <row r="106" spans="1:13" x14ac:dyDescent="0.2">
      <c r="B106" s="3" t="s">
        <v>146</v>
      </c>
      <c r="C106" s="1" t="s">
        <v>101</v>
      </c>
      <c r="G106" s="21">
        <f>G80</f>
        <v>-150</v>
      </c>
      <c r="H106" s="21">
        <f t="shared" ref="H106:K106" si="63">H80</f>
        <v>-150</v>
      </c>
      <c r="I106" s="21">
        <f t="shared" si="63"/>
        <v>-150</v>
      </c>
      <c r="J106" s="21">
        <f t="shared" si="63"/>
        <v>-150</v>
      </c>
      <c r="K106" s="21">
        <f t="shared" si="63"/>
        <v>-150</v>
      </c>
      <c r="M106" s="12" t="s">
        <v>154</v>
      </c>
    </row>
    <row r="107" spans="1:13" x14ac:dyDescent="0.2">
      <c r="B107" s="3" t="s">
        <v>147</v>
      </c>
      <c r="C107" s="2" t="s">
        <v>152</v>
      </c>
      <c r="G107" s="2">
        <f>SUM(G100:G106)</f>
        <v>-170</v>
      </c>
      <c r="H107" s="2">
        <f t="shared" ref="H107:K107" si="64">SUM(H100:H106)</f>
        <v>-165</v>
      </c>
      <c r="I107" s="2">
        <f t="shared" si="64"/>
        <v>-165</v>
      </c>
      <c r="J107" s="2">
        <f t="shared" si="64"/>
        <v>-165</v>
      </c>
      <c r="K107" s="2">
        <f t="shared" si="64"/>
        <v>-165</v>
      </c>
      <c r="M107" s="12" t="s">
        <v>153</v>
      </c>
    </row>
    <row r="109" spans="1:13" x14ac:dyDescent="0.2">
      <c r="C109" s="2" t="s">
        <v>155</v>
      </c>
      <c r="G109" s="2">
        <f>G94+G98+G107</f>
        <v>-26.738210170881189</v>
      </c>
      <c r="H109" s="2">
        <f>H94+H98+H107</f>
        <v>-17.191423601971053</v>
      </c>
      <c r="I109" s="2">
        <f>I94+I98+I107</f>
        <v>-3.0083590667739486</v>
      </c>
      <c r="J109" s="2">
        <f>J94+J98+J107</f>
        <v>12.863664826761635</v>
      </c>
      <c r="K109" s="2">
        <f>K94+K98+K107</f>
        <v>30.592964113323546</v>
      </c>
      <c r="M109" s="12" t="s">
        <v>156</v>
      </c>
    </row>
    <row r="111" spans="1:13" x14ac:dyDescent="0.2">
      <c r="A111" s="3" t="s">
        <v>161</v>
      </c>
      <c r="C111" s="1" t="s">
        <v>159</v>
      </c>
      <c r="G111" s="1">
        <f>F36+G94+G98+SUM(G100,G102:G106)</f>
        <v>284.26178982911881</v>
      </c>
      <c r="H111" s="1">
        <f>G36+H94+H98+SUM(H100,H102:H106)</f>
        <v>262.0703662271477</v>
      </c>
      <c r="I111" s="1">
        <f>H36+I94+I98+SUM(I100,I102:I106)</f>
        <v>259.06200716037381</v>
      </c>
      <c r="J111" s="1">
        <f>I36+J94+J98+SUM(J100,J102:J106)</f>
        <v>271.92567198713539</v>
      </c>
      <c r="K111" s="1">
        <f>J36+K94+K98+SUM(K100,K102:K106)</f>
        <v>302.51863610045899</v>
      </c>
    </row>
    <row r="112" spans="1:13" x14ac:dyDescent="0.2">
      <c r="C112" s="2" t="s">
        <v>162</v>
      </c>
      <c r="D112" s="2"/>
      <c r="E112" s="2"/>
      <c r="F112" s="2"/>
      <c r="G112" s="2">
        <f>-MIN(G111,F53)</f>
        <v>-5</v>
      </c>
      <c r="H112" s="2">
        <f>-MIN(H111,G53)</f>
        <v>0</v>
      </c>
      <c r="I112" s="2">
        <f>-MIN(I111,H53)</f>
        <v>0</v>
      </c>
      <c r="J112" s="2">
        <f>-MIN(J111,I53)</f>
        <v>0</v>
      </c>
      <c r="K112" s="2">
        <f>-MIN(K111,J53)</f>
        <v>0</v>
      </c>
    </row>
  </sheetData>
  <conditionalFormatting sqref="D67:K67">
    <cfRule type="containsText" dxfId="1" priority="1" operator="containsText" text="TRUE">
      <formula>NOT(ISERROR(SEARCH("TRUE",D67)))</formula>
    </cfRule>
    <cfRule type="containsText" dxfId="0" priority="2" operator="containsText" text="FALSE">
      <formula>NOT(ISERROR(SEARCH("FALSE",D67)))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Three-Statement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Hung</dc:creator>
  <cp:lastModifiedBy>Ivan Hung</cp:lastModifiedBy>
  <dcterms:created xsi:type="dcterms:W3CDTF">2024-04-10T19:28:45Z</dcterms:created>
  <dcterms:modified xsi:type="dcterms:W3CDTF">2024-04-13T17:01:40Z</dcterms:modified>
</cp:coreProperties>
</file>