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员工" sheetId="1" r:id="rId1"/>
    <sheet name="班组长" sheetId="2" r:id="rId2"/>
    <sheet name="考勤" sheetId="3" r:id="rId3"/>
  </sheets>
  <definedNames>
    <definedName name="_xlnm._FilterDatabase" localSheetId="0" hidden="1">员工!$A$2:$O$17</definedName>
    <definedName name="_xlnm._FilterDatabase" localSheetId="1" hidden="1">班组长!$A$2:$T$13</definedName>
    <definedName name="_xlnm._FilterDatabase" localSheetId="2" hidden="1">考勤!#REF!</definedName>
  </definedNames>
  <calcPr calcId="144525"/>
</workbook>
</file>

<file path=xl/sharedStrings.xml><?xml version="1.0" encoding="utf-8"?>
<sst xmlns="http://schemas.openxmlformats.org/spreadsheetml/2006/main" count="175" uniqueCount="91">
  <si>
    <t>2020年7月工资统计</t>
  </si>
  <si>
    <t>序号</t>
  </si>
  <si>
    <t>部门</t>
  </si>
  <si>
    <t>姓名</t>
  </si>
  <si>
    <t>工号</t>
  </si>
  <si>
    <t>出勤</t>
  </si>
  <si>
    <t>单价</t>
  </si>
  <si>
    <t>金额</t>
  </si>
  <si>
    <t>小计</t>
  </si>
  <si>
    <t>全勤奖</t>
  </si>
  <si>
    <t>高温费</t>
  </si>
  <si>
    <t>补助</t>
  </si>
  <si>
    <t>学历</t>
  </si>
  <si>
    <t>工龄</t>
  </si>
  <si>
    <t>工龄金额</t>
  </si>
  <si>
    <t>应发工资</t>
  </si>
  <si>
    <t>圆电缆仓库</t>
  </si>
  <si>
    <t>杨明</t>
  </si>
  <si>
    <t>604</t>
  </si>
  <si>
    <t>外发仓库</t>
  </si>
  <si>
    <t>张国栋</t>
  </si>
  <si>
    <t>121</t>
  </si>
  <si>
    <t>配件仓库</t>
  </si>
  <si>
    <t>陈严芳</t>
  </si>
  <si>
    <t>500</t>
  </si>
  <si>
    <t>李祥华</t>
  </si>
  <si>
    <t>700</t>
  </si>
  <si>
    <t>吴涛</t>
  </si>
  <si>
    <t>382</t>
  </si>
  <si>
    <t>陈建忠</t>
  </si>
  <si>
    <t>394</t>
  </si>
  <si>
    <t>小线仓库</t>
  </si>
  <si>
    <t>康秀英</t>
  </si>
  <si>
    <t>353</t>
  </si>
  <si>
    <t>林亚中</t>
  </si>
  <si>
    <t>292</t>
  </si>
  <si>
    <t>李小军</t>
  </si>
  <si>
    <t>327</t>
  </si>
  <si>
    <t>五金仓库</t>
  </si>
  <si>
    <t>王海兰</t>
  </si>
  <si>
    <t>666</t>
  </si>
  <si>
    <t>扁电缆仓库</t>
  </si>
  <si>
    <t>储章</t>
  </si>
  <si>
    <t>501</t>
  </si>
  <si>
    <t>铲车</t>
  </si>
  <si>
    <t>陶擘擘</t>
  </si>
  <si>
    <t>张晓晨</t>
  </si>
  <si>
    <t>徐建</t>
  </si>
  <si>
    <t>合计</t>
  </si>
  <si>
    <t>编制：沈孝春 2020.08.18</t>
  </si>
  <si>
    <t>审核：</t>
  </si>
  <si>
    <t>2020年07月份仓库班组长管理员工资统计</t>
  </si>
  <si>
    <t>工时</t>
  </si>
  <si>
    <t>标准工时</t>
  </si>
  <si>
    <t>固定</t>
  </si>
  <si>
    <t>岗位</t>
  </si>
  <si>
    <t>绩效</t>
  </si>
  <si>
    <t>全勤</t>
  </si>
  <si>
    <t>文凭</t>
  </si>
  <si>
    <t>加班</t>
  </si>
  <si>
    <t>加班费</t>
  </si>
  <si>
    <t>总计</t>
  </si>
  <si>
    <t>叶军</t>
  </si>
  <si>
    <t>344</t>
  </si>
  <si>
    <t>陈强</t>
  </si>
  <si>
    <t>205</t>
  </si>
  <si>
    <t>金高峰</t>
  </si>
  <si>
    <t>322</t>
  </si>
  <si>
    <t>诸天元</t>
  </si>
  <si>
    <t>313</t>
  </si>
  <si>
    <t>沈燕华</t>
  </si>
  <si>
    <t>157</t>
  </si>
  <si>
    <t>董云</t>
  </si>
  <si>
    <t>573</t>
  </si>
  <si>
    <t>王妹妹</t>
  </si>
  <si>
    <t>585</t>
  </si>
  <si>
    <t>李娜</t>
  </si>
  <si>
    <t>职员代码</t>
  </si>
  <si>
    <t>累计出勤</t>
  </si>
  <si>
    <t>计件工资</t>
  </si>
  <si>
    <t>总金额</t>
  </si>
  <si>
    <t>平均值</t>
  </si>
  <si>
    <t>迟到</t>
  </si>
  <si>
    <t>请假/天</t>
  </si>
  <si>
    <t>无请假单</t>
  </si>
  <si>
    <t>潘爱国</t>
  </si>
  <si>
    <t>叉车工</t>
  </si>
  <si>
    <t>扁电缆</t>
  </si>
  <si>
    <t>数据录入</t>
  </si>
  <si>
    <t>赵怡晴</t>
  </si>
  <si>
    <t>实习生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</si>
</sst>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  <numFmt numFmtId="177" formatCode="0.00_ "/>
    <numFmt numFmtId="178" formatCode="0_ "/>
  </numFmts>
  <fonts count="36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b/>
      <sz val="10"/>
      <color theme="1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2" fillId="7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18" applyNumberFormat="0" applyFon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0" fillId="5" borderId="17" applyNumberFormat="0" applyAlignment="0" applyProtection="0">
      <alignment vertical="center"/>
    </xf>
    <xf numFmtId="0" fontId="30" fillId="5" borderId="19" applyNumberFormat="0" applyAlignment="0" applyProtection="0">
      <alignment vertical="center"/>
    </xf>
    <xf numFmtId="0" fontId="27" fillId="17" borderId="20" applyNumberForma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2" fillId="0" borderId="0">
      <alignment vertical="center"/>
    </xf>
    <xf numFmtId="0" fontId="25" fillId="3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2" fillId="0" borderId="0"/>
    <xf numFmtId="0" fontId="25" fillId="2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1" xfId="51" applyFont="1" applyBorder="1" applyAlignment="1">
      <alignment horizontal="center" vertical="center" shrinkToFit="1"/>
    </xf>
    <xf numFmtId="0" fontId="2" fillId="0" borderId="1" xfId="51" applyFont="1" applyBorder="1" applyAlignment="1">
      <alignment horizontal="center" vertical="center" shrinkToFit="1"/>
    </xf>
    <xf numFmtId="0" fontId="1" fillId="0" borderId="1" xfId="48" applyFont="1" applyBorder="1" applyAlignment="1">
      <alignment horizontal="center" vertical="center"/>
    </xf>
    <xf numFmtId="0" fontId="1" fillId="0" borderId="1" xfId="5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0" fontId="4" fillId="2" borderId="1" xfId="51" applyFont="1" applyFill="1" applyBorder="1" applyAlignment="1">
      <alignment horizontal="center" vertical="center"/>
    </xf>
    <xf numFmtId="0" fontId="4" fillId="2" borderId="1" xfId="48" applyFont="1" applyFill="1" applyBorder="1" applyAlignment="1">
      <alignment horizontal="center" vertical="center"/>
    </xf>
    <xf numFmtId="0" fontId="5" fillId="0" borderId="1" xfId="48" applyFont="1" applyBorder="1" applyAlignment="1">
      <alignment horizontal="center" vertical="center"/>
    </xf>
    <xf numFmtId="0" fontId="6" fillId="2" borderId="1" xfId="48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shrinkToFit="1"/>
    </xf>
    <xf numFmtId="0" fontId="5" fillId="2" borderId="1" xfId="5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5" fillId="2" borderId="1" xfId="48" applyFont="1" applyFill="1" applyBorder="1" applyAlignment="1">
      <alignment horizontal="center" vertical="center"/>
    </xf>
    <xf numFmtId="0" fontId="6" fillId="2" borderId="1" xfId="51" applyFont="1" applyFill="1" applyBorder="1" applyAlignment="1">
      <alignment horizontal="center" vertical="center"/>
    </xf>
    <xf numFmtId="0" fontId="5" fillId="3" borderId="1" xfId="48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2" fillId="0" borderId="1" xfId="5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44" applyFont="1" applyBorder="1" applyAlignment="1">
      <alignment horizontal="center" vertical="center" wrapText="1"/>
    </xf>
    <xf numFmtId="0" fontId="1" fillId="0" borderId="1" xfId="44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178" fontId="2" fillId="0" borderId="1" xfId="0" applyNumberFormat="1" applyFont="1" applyBorder="1" applyAlignment="1">
      <alignment horizontal="center" vertical="center" shrinkToFit="1"/>
    </xf>
    <xf numFmtId="176" fontId="2" fillId="0" borderId="1" xfId="0" applyNumberFormat="1" applyFont="1" applyBorder="1" applyAlignment="1">
      <alignment horizontal="center" vertical="center" shrinkToFit="1"/>
    </xf>
    <xf numFmtId="176" fontId="11" fillId="0" borderId="1" xfId="0" applyNumberFormat="1" applyFont="1" applyBorder="1" applyAlignment="1">
      <alignment horizontal="center" vertical="center" shrinkToFit="1"/>
    </xf>
    <xf numFmtId="178" fontId="11" fillId="0" borderId="1" xfId="0" applyNumberFormat="1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178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7" fillId="0" borderId="1" xfId="0" applyFont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2" borderId="2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4" fillId="2" borderId="9" xfId="0" applyFont="1" applyFill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43" fontId="15" fillId="0" borderId="14" xfId="8" applyFont="1" applyBorder="1" applyAlignment="1">
      <alignment horizontal="center" vertical="center"/>
    </xf>
    <xf numFmtId="43" fontId="15" fillId="0" borderId="0" xfId="8" applyFont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9" fillId="2" borderId="3" xfId="0" applyFont="1" applyFill="1" applyBorder="1" applyAlignment="1">
      <alignment vertical="center"/>
    </xf>
    <xf numFmtId="0" fontId="0" fillId="0" borderId="6" xfId="0" applyNumberForma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5" fillId="0" borderId="1" xfId="5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pageSetUpPr fitToPage="1"/>
  </sheetPr>
  <dimension ref="A1:O19"/>
  <sheetViews>
    <sheetView tabSelected="1" workbookViewId="0">
      <pane ySplit="1" topLeftCell="A2" activePane="bottomLeft" state="frozen"/>
      <selection/>
      <selection pane="bottomLeft" activeCell="F21" sqref="F21"/>
    </sheetView>
  </sheetViews>
  <sheetFormatPr defaultColWidth="9" defaultRowHeight="14"/>
  <cols>
    <col min="1" max="1" width="7.62727272727273" customWidth="1"/>
    <col min="2" max="2" width="10.7545454545455" customWidth="1"/>
    <col min="3" max="3" width="9.75454545454545" customWidth="1"/>
    <col min="4" max="4" width="10" customWidth="1"/>
    <col min="5" max="5" width="11.3727272727273" customWidth="1"/>
    <col min="6" max="6" width="10" customWidth="1"/>
    <col min="7" max="7" width="11.6272727272727" customWidth="1"/>
    <col min="8" max="8" width="10.6272727272727" customWidth="1"/>
    <col min="9" max="10" width="9" customWidth="1"/>
    <col min="11" max="11" width="7.25454545454545" customWidth="1"/>
    <col min="12" max="12" width="7" customWidth="1"/>
    <col min="13" max="13" width="6.12727272727273" customWidth="1"/>
    <col min="14" max="14" width="9.25454545454545" customWidth="1"/>
    <col min="15" max="15" width="13.2545454545455" customWidth="1"/>
  </cols>
  <sheetData>
    <row r="1" ht="18" customHeight="1" spans="1:15">
      <c r="A1" s="40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79"/>
    </row>
    <row r="2" s="37" customFormat="1" ht="17.25" customHeight="1" spans="1:15">
      <c r="A2" s="42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6</v>
      </c>
      <c r="G2" s="43" t="s">
        <v>7</v>
      </c>
      <c r="H2" s="43" t="s">
        <v>8</v>
      </c>
      <c r="I2" s="43" t="s">
        <v>9</v>
      </c>
      <c r="J2" s="43" t="s">
        <v>10</v>
      </c>
      <c r="K2" s="43" t="s">
        <v>11</v>
      </c>
      <c r="L2" s="43" t="s">
        <v>12</v>
      </c>
      <c r="M2" s="43" t="s">
        <v>13</v>
      </c>
      <c r="N2" s="43" t="s">
        <v>14</v>
      </c>
      <c r="O2" s="62" t="s">
        <v>15</v>
      </c>
    </row>
    <row r="3" ht="15" customHeight="1" spans="1:15">
      <c r="A3" s="70">
        <v>1</v>
      </c>
      <c r="B3" s="48" t="s">
        <v>16</v>
      </c>
      <c r="C3" s="15" t="s">
        <v>17</v>
      </c>
      <c r="D3" s="71" t="s">
        <v>18</v>
      </c>
      <c r="E3" s="48">
        <f>VLOOKUP(C3,考勤!D:F,3,0)</f>
        <v>37.19</v>
      </c>
      <c r="F3" s="48">
        <v>170</v>
      </c>
      <c r="G3" s="48">
        <f>E3*F3</f>
        <v>6322.3</v>
      </c>
      <c r="H3" s="48">
        <f t="shared" ref="H3:H10" si="0">G3</f>
        <v>6322.3</v>
      </c>
      <c r="I3" s="48">
        <f>VLOOKUP(C3,考勤!D:P,13,0)</f>
        <v>200</v>
      </c>
      <c r="J3" s="48">
        <f>VLOOKUP(C3,考勤!D:Q,14,0)</f>
        <v>200</v>
      </c>
      <c r="K3" s="48"/>
      <c r="L3" s="48"/>
      <c r="M3" s="48">
        <f>VLOOKUP(C3,考勤!D:M,10,0)</f>
        <v>2</v>
      </c>
      <c r="N3" s="48">
        <f t="shared" ref="N3:N16" si="1">M3*20</f>
        <v>40</v>
      </c>
      <c r="O3" s="80">
        <f>H3+I3+J3+K3+L3+N3</f>
        <v>6762.3</v>
      </c>
    </row>
    <row r="4" ht="15" customHeight="1" spans="1:15">
      <c r="A4" s="70">
        <v>2</v>
      </c>
      <c r="B4" s="48" t="s">
        <v>19</v>
      </c>
      <c r="C4" s="15" t="s">
        <v>20</v>
      </c>
      <c r="D4" s="71" t="s">
        <v>21</v>
      </c>
      <c r="E4" s="48">
        <f>VLOOKUP(C4,考勤!D:F,3,0)</f>
        <v>28.38</v>
      </c>
      <c r="F4" s="48">
        <v>170</v>
      </c>
      <c r="G4" s="48">
        <f t="shared" ref="G4:G11" si="2">E4*F4</f>
        <v>4824.6</v>
      </c>
      <c r="H4" s="48">
        <f t="shared" si="0"/>
        <v>4824.6</v>
      </c>
      <c r="I4" s="48">
        <f>VLOOKUP(C4,考勤!D:P,13,0)</f>
        <v>200</v>
      </c>
      <c r="J4" s="48">
        <f>VLOOKUP(C4,考勤!D:Q,14,0)</f>
        <v>300</v>
      </c>
      <c r="K4" s="48"/>
      <c r="L4" s="48"/>
      <c r="M4" s="48">
        <f>VLOOKUP(C4,考勤!D:M,10,0)</f>
        <v>2</v>
      </c>
      <c r="N4" s="48">
        <f t="shared" si="1"/>
        <v>40</v>
      </c>
      <c r="O4" s="80">
        <f t="shared" ref="O4:O16" si="3">H4+I4+J4+K4+L4+N4</f>
        <v>5364.6</v>
      </c>
    </row>
    <row r="5" ht="15" customHeight="1" spans="1:15">
      <c r="A5" s="70">
        <v>3</v>
      </c>
      <c r="B5" s="48" t="s">
        <v>22</v>
      </c>
      <c r="C5" s="15" t="s">
        <v>23</v>
      </c>
      <c r="D5" s="71" t="s">
        <v>24</v>
      </c>
      <c r="E5" s="48">
        <f>VLOOKUP(C5,考勤!D:F,3,0)</f>
        <v>27.31</v>
      </c>
      <c r="F5" s="48">
        <v>160</v>
      </c>
      <c r="G5" s="48">
        <f t="shared" si="2"/>
        <v>4369.6</v>
      </c>
      <c r="H5" s="48">
        <f t="shared" si="0"/>
        <v>4369.6</v>
      </c>
      <c r="I5" s="48">
        <f>VLOOKUP(C5,考勤!D:P,13,0)</f>
        <v>200</v>
      </c>
      <c r="J5" s="48">
        <f>VLOOKUP(C5,考勤!D:Q,14,0)</f>
        <v>300</v>
      </c>
      <c r="K5" s="48"/>
      <c r="L5" s="48"/>
      <c r="M5" s="48">
        <f>VLOOKUP(C5,考勤!D:M,10,0)</f>
        <v>4</v>
      </c>
      <c r="N5" s="48">
        <f t="shared" si="1"/>
        <v>80</v>
      </c>
      <c r="O5" s="80">
        <f t="shared" si="3"/>
        <v>4949.6</v>
      </c>
    </row>
    <row r="6" ht="15" customHeight="1" spans="1:15">
      <c r="A6" s="70">
        <v>4</v>
      </c>
      <c r="B6" s="48" t="s">
        <v>22</v>
      </c>
      <c r="C6" s="15" t="s">
        <v>25</v>
      </c>
      <c r="D6" s="71" t="s">
        <v>26</v>
      </c>
      <c r="E6" s="48">
        <f>VLOOKUP(C6,考勤!D:F,3,0)</f>
        <v>30.5</v>
      </c>
      <c r="F6" s="48">
        <v>160</v>
      </c>
      <c r="G6" s="48">
        <f t="shared" si="2"/>
        <v>4880</v>
      </c>
      <c r="H6" s="48">
        <f t="shared" si="0"/>
        <v>4880</v>
      </c>
      <c r="I6" s="48">
        <f>VLOOKUP(C6,考勤!D:P,13,0)</f>
        <v>200</v>
      </c>
      <c r="J6" s="48">
        <f>VLOOKUP(C6,考勤!D:Q,14,0)</f>
        <v>300</v>
      </c>
      <c r="K6" s="48"/>
      <c r="L6" s="48"/>
      <c r="M6" s="48">
        <f>VLOOKUP(C6,考勤!D:M,10,0)</f>
        <v>5</v>
      </c>
      <c r="N6" s="48">
        <f t="shared" si="1"/>
        <v>100</v>
      </c>
      <c r="O6" s="80">
        <f t="shared" si="3"/>
        <v>5480</v>
      </c>
    </row>
    <row r="7" ht="15" customHeight="1" spans="1:15">
      <c r="A7" s="70">
        <v>5</v>
      </c>
      <c r="B7" s="48" t="s">
        <v>22</v>
      </c>
      <c r="C7" s="15" t="s">
        <v>27</v>
      </c>
      <c r="D7" s="71" t="s">
        <v>28</v>
      </c>
      <c r="E7" s="48">
        <f>VLOOKUP(C7,考勤!D:F,3,0)</f>
        <v>30.5</v>
      </c>
      <c r="F7" s="48">
        <v>160</v>
      </c>
      <c r="G7" s="48">
        <f t="shared" si="2"/>
        <v>4880</v>
      </c>
      <c r="H7" s="48">
        <f t="shared" si="0"/>
        <v>4880</v>
      </c>
      <c r="I7" s="48">
        <f>VLOOKUP(C7,考勤!D:P,13,0)</f>
        <v>200</v>
      </c>
      <c r="J7" s="48">
        <f>VLOOKUP(C7,考勤!D:Q,14,0)</f>
        <v>300</v>
      </c>
      <c r="K7" s="48"/>
      <c r="L7" s="48"/>
      <c r="M7" s="48">
        <f>VLOOKUP(C7,考勤!D:M,10,0)</f>
        <v>0</v>
      </c>
      <c r="N7" s="48">
        <f t="shared" si="1"/>
        <v>0</v>
      </c>
      <c r="O7" s="80">
        <f t="shared" si="3"/>
        <v>5380</v>
      </c>
    </row>
    <row r="8" ht="15" customHeight="1" spans="1:15">
      <c r="A8" s="70">
        <v>6</v>
      </c>
      <c r="B8" s="48" t="s">
        <v>22</v>
      </c>
      <c r="C8" s="15" t="s">
        <v>29</v>
      </c>
      <c r="D8" s="71" t="s">
        <v>30</v>
      </c>
      <c r="E8" s="48">
        <f>VLOOKUP(C8,考勤!D:F,3,0)</f>
        <v>30.94</v>
      </c>
      <c r="F8" s="48">
        <v>160</v>
      </c>
      <c r="G8" s="48">
        <f t="shared" si="2"/>
        <v>4950.4</v>
      </c>
      <c r="H8" s="48">
        <f t="shared" si="0"/>
        <v>4950.4</v>
      </c>
      <c r="I8" s="48">
        <f>VLOOKUP(C8,考勤!D:P,13,0)</f>
        <v>200</v>
      </c>
      <c r="J8" s="48">
        <f>VLOOKUP(C8,考勤!D:Q,14,0)</f>
        <v>300</v>
      </c>
      <c r="K8" s="48"/>
      <c r="L8" s="48"/>
      <c r="M8" s="48">
        <f>VLOOKUP(C8,考勤!D:M,10,0)</f>
        <v>2</v>
      </c>
      <c r="N8" s="48">
        <f t="shared" si="1"/>
        <v>40</v>
      </c>
      <c r="O8" s="80">
        <f t="shared" si="3"/>
        <v>5490.4</v>
      </c>
    </row>
    <row r="9" ht="15" customHeight="1" spans="1:15">
      <c r="A9" s="70">
        <v>7</v>
      </c>
      <c r="B9" s="48" t="s">
        <v>31</v>
      </c>
      <c r="C9" s="15" t="s">
        <v>32</v>
      </c>
      <c r="D9" s="71" t="s">
        <v>33</v>
      </c>
      <c r="E9" s="48">
        <f>VLOOKUP(C9,考勤!D:F,3,0)</f>
        <v>33.56</v>
      </c>
      <c r="F9" s="48">
        <v>150</v>
      </c>
      <c r="G9" s="48">
        <f t="shared" si="2"/>
        <v>5034</v>
      </c>
      <c r="H9" s="48">
        <f t="shared" si="0"/>
        <v>5034</v>
      </c>
      <c r="I9" s="48">
        <f>VLOOKUP(C9,考勤!D:P,13,0)</f>
        <v>200</v>
      </c>
      <c r="J9" s="48">
        <f>VLOOKUP(C9,考勤!D:Q,14,0)</f>
        <v>200</v>
      </c>
      <c r="K9" s="48">
        <v>500</v>
      </c>
      <c r="L9" s="48">
        <v>50</v>
      </c>
      <c r="M9" s="48">
        <f>VLOOKUP(C9,考勤!D:M,10,0)</f>
        <v>0</v>
      </c>
      <c r="N9" s="48">
        <f t="shared" si="1"/>
        <v>0</v>
      </c>
      <c r="O9" s="80">
        <f t="shared" si="3"/>
        <v>5984</v>
      </c>
    </row>
    <row r="10" ht="15" customHeight="1" spans="1:15">
      <c r="A10" s="70">
        <v>8</v>
      </c>
      <c r="B10" s="48" t="s">
        <v>31</v>
      </c>
      <c r="C10" s="15" t="s">
        <v>34</v>
      </c>
      <c r="D10" s="71" t="s">
        <v>35</v>
      </c>
      <c r="E10" s="48">
        <f>VLOOKUP(C10,考勤!D:F,3,0)</f>
        <v>29.38</v>
      </c>
      <c r="F10" s="48">
        <v>160</v>
      </c>
      <c r="G10" s="48">
        <f t="shared" si="2"/>
        <v>4700.8</v>
      </c>
      <c r="H10" s="48">
        <f t="shared" si="0"/>
        <v>4700.8</v>
      </c>
      <c r="I10" s="48">
        <f>VLOOKUP(C10,考勤!D:P,13,0)</f>
        <v>200</v>
      </c>
      <c r="J10" s="48">
        <f>VLOOKUP(C10,考勤!D:Q,14,0)</f>
        <v>200</v>
      </c>
      <c r="K10" s="48"/>
      <c r="L10" s="48"/>
      <c r="M10" s="48">
        <f>VLOOKUP(C10,考勤!D:M,10,0)</f>
        <v>10</v>
      </c>
      <c r="N10" s="48">
        <f t="shared" si="1"/>
        <v>200</v>
      </c>
      <c r="O10" s="80">
        <f t="shared" si="3"/>
        <v>5300.8</v>
      </c>
    </row>
    <row r="11" ht="15" customHeight="1" spans="1:15">
      <c r="A11" s="70">
        <v>9</v>
      </c>
      <c r="B11" s="48" t="s">
        <v>31</v>
      </c>
      <c r="C11" s="15" t="s">
        <v>36</v>
      </c>
      <c r="D11" s="71" t="s">
        <v>37</v>
      </c>
      <c r="E11" s="48">
        <f>VLOOKUP(C11,考勤!D:F,3,0)</f>
        <v>29.75</v>
      </c>
      <c r="F11" s="48">
        <v>150</v>
      </c>
      <c r="G11" s="48">
        <f t="shared" si="2"/>
        <v>4462.5</v>
      </c>
      <c r="H11" s="48">
        <f t="shared" ref="H11" si="4">G11</f>
        <v>4462.5</v>
      </c>
      <c r="I11" s="48">
        <f>VLOOKUP(C11,考勤!D:P,13,0)</f>
        <v>200</v>
      </c>
      <c r="J11" s="48">
        <f>VLOOKUP(C11,考勤!D:Q,14,0)</f>
        <v>200</v>
      </c>
      <c r="K11" s="48"/>
      <c r="L11" s="48"/>
      <c r="M11" s="48">
        <f>VLOOKUP(C11,考勤!D:M,10,0)</f>
        <v>0</v>
      </c>
      <c r="N11" s="48">
        <f t="shared" ref="N11" si="5">M11*20</f>
        <v>0</v>
      </c>
      <c r="O11" s="80">
        <f t="shared" si="3"/>
        <v>4862.5</v>
      </c>
    </row>
    <row r="12" ht="15" customHeight="1" spans="1:15">
      <c r="A12" s="70">
        <v>10</v>
      </c>
      <c r="B12" s="48" t="s">
        <v>38</v>
      </c>
      <c r="C12" s="15" t="s">
        <v>39</v>
      </c>
      <c r="D12" s="71" t="s">
        <v>40</v>
      </c>
      <c r="E12" s="48">
        <f>VLOOKUP(C12,考勤!D:F,3,0)</f>
        <v>37.06</v>
      </c>
      <c r="F12" s="48">
        <v>165</v>
      </c>
      <c r="G12" s="48">
        <f t="shared" ref="G12:G16" si="6">E12*F12</f>
        <v>6114.9</v>
      </c>
      <c r="H12" s="48">
        <f t="shared" ref="H12:H16" si="7">G12</f>
        <v>6114.9</v>
      </c>
      <c r="I12" s="48">
        <f>VLOOKUP(C12,考勤!D:P,13,0)</f>
        <v>200</v>
      </c>
      <c r="J12" s="48">
        <f>VLOOKUP(C12,考勤!D:Q,14,0)</f>
        <v>300</v>
      </c>
      <c r="K12" s="48"/>
      <c r="L12" s="48"/>
      <c r="M12" s="48">
        <f>VLOOKUP(C12,考勤!D:M,10,0)</f>
        <v>8</v>
      </c>
      <c r="N12" s="48">
        <f t="shared" ref="N12:N13" si="8">M12*20</f>
        <v>160</v>
      </c>
      <c r="O12" s="80">
        <f t="shared" si="3"/>
        <v>6774.9</v>
      </c>
    </row>
    <row r="13" ht="15" customHeight="1" spans="1:15">
      <c r="A13" s="70">
        <v>11</v>
      </c>
      <c r="B13" s="48" t="s">
        <v>41</v>
      </c>
      <c r="C13" s="15" t="s">
        <v>42</v>
      </c>
      <c r="D13" s="71" t="s">
        <v>43</v>
      </c>
      <c r="E13" s="48">
        <f>VLOOKUP(C13,考勤!D:F,3,0)</f>
        <v>40.31</v>
      </c>
      <c r="F13" s="48">
        <v>180</v>
      </c>
      <c r="G13" s="48">
        <f t="shared" si="6"/>
        <v>7255.8</v>
      </c>
      <c r="H13" s="48">
        <f t="shared" si="7"/>
        <v>7255.8</v>
      </c>
      <c r="I13" s="48">
        <f>VLOOKUP(C13,考勤!D:P,13,0)</f>
        <v>100</v>
      </c>
      <c r="J13" s="48">
        <f>VLOOKUP(C13,考勤!D:Q,14,0)</f>
        <v>260</v>
      </c>
      <c r="K13" s="48">
        <v>300</v>
      </c>
      <c r="L13" s="48"/>
      <c r="M13" s="48">
        <f>VLOOKUP(C13,考勤!D:M,10,0)</f>
        <v>2</v>
      </c>
      <c r="N13" s="48">
        <f t="shared" si="8"/>
        <v>40</v>
      </c>
      <c r="O13" s="80">
        <f t="shared" si="3"/>
        <v>7955.8</v>
      </c>
    </row>
    <row r="14" ht="15" customHeight="1" spans="1:15">
      <c r="A14" s="70">
        <v>12</v>
      </c>
      <c r="B14" s="48" t="s">
        <v>44</v>
      </c>
      <c r="C14" s="12" t="s">
        <v>45</v>
      </c>
      <c r="D14" s="9">
        <v>10</v>
      </c>
      <c r="E14" s="48">
        <f>VLOOKUP(C14,考勤!D:F,3,0)</f>
        <v>18.69</v>
      </c>
      <c r="F14" s="48">
        <v>170</v>
      </c>
      <c r="G14" s="48">
        <f t="shared" si="6"/>
        <v>3177.3</v>
      </c>
      <c r="H14" s="48">
        <f t="shared" si="7"/>
        <v>3177.3</v>
      </c>
      <c r="I14" s="48">
        <f>VLOOKUP(C14,考勤!D:P,13,0)</f>
        <v>0</v>
      </c>
      <c r="J14" s="48">
        <f>VLOOKUP(C14,考勤!D:Q,14,0)</f>
        <v>150</v>
      </c>
      <c r="K14" s="48"/>
      <c r="L14" s="48"/>
      <c r="M14" s="48">
        <f>VLOOKUP(C14,考勤!D:M,10,0)</f>
        <v>0</v>
      </c>
      <c r="N14" s="48">
        <f t="shared" si="1"/>
        <v>0</v>
      </c>
      <c r="O14" s="80">
        <f t="shared" si="3"/>
        <v>3327.3</v>
      </c>
    </row>
    <row r="15" ht="15" customHeight="1" spans="1:15">
      <c r="A15" s="70">
        <v>13</v>
      </c>
      <c r="B15" s="48" t="s">
        <v>44</v>
      </c>
      <c r="C15" s="72" t="s">
        <v>46</v>
      </c>
      <c r="D15" s="9">
        <v>116</v>
      </c>
      <c r="E15" s="48">
        <f>VLOOKUP(C15,考勤!D:F,3,0)</f>
        <v>36.38</v>
      </c>
      <c r="F15" s="48">
        <v>170</v>
      </c>
      <c r="G15" s="48">
        <f t="shared" si="6"/>
        <v>6184.6</v>
      </c>
      <c r="H15" s="48">
        <f t="shared" si="7"/>
        <v>6184.6</v>
      </c>
      <c r="I15" s="48">
        <f>VLOOKUP(C15,考勤!D:P,13,0)</f>
        <v>200</v>
      </c>
      <c r="J15" s="48">
        <f>VLOOKUP(C15,考勤!D:Q,14,0)</f>
        <v>300</v>
      </c>
      <c r="K15" s="48"/>
      <c r="L15" s="48"/>
      <c r="M15" s="48">
        <f>VLOOKUP(C15,考勤!D:M,10,0)</f>
        <v>0</v>
      </c>
      <c r="N15" s="48">
        <f t="shared" ref="N15" si="9">M15*20</f>
        <v>0</v>
      </c>
      <c r="O15" s="80">
        <f t="shared" si="3"/>
        <v>6684.6</v>
      </c>
    </row>
    <row r="16" ht="15" customHeight="1" spans="1:15">
      <c r="A16" s="70">
        <v>14</v>
      </c>
      <c r="B16" s="48" t="s">
        <v>44</v>
      </c>
      <c r="C16" s="72" t="s">
        <v>47</v>
      </c>
      <c r="D16" s="9">
        <v>330</v>
      </c>
      <c r="E16" s="48">
        <f>VLOOKUP(C16,考勤!D:F,3,0)</f>
        <v>28.63</v>
      </c>
      <c r="F16" s="48">
        <v>170</v>
      </c>
      <c r="G16" s="48">
        <f t="shared" si="6"/>
        <v>4867.1</v>
      </c>
      <c r="H16" s="48">
        <f t="shared" si="7"/>
        <v>4867.1</v>
      </c>
      <c r="I16" s="48">
        <f>VLOOKUP(C16,考勤!D:P,13,0)</f>
        <v>0</v>
      </c>
      <c r="J16" s="48">
        <f>VLOOKUP(C16,考勤!D:Q,14,0)</f>
        <v>220</v>
      </c>
      <c r="K16" s="48"/>
      <c r="L16" s="48"/>
      <c r="M16" s="48">
        <f>VLOOKUP(C16,考勤!D:M,10,0)</f>
        <v>0</v>
      </c>
      <c r="N16" s="48">
        <f t="shared" si="1"/>
        <v>0</v>
      </c>
      <c r="O16" s="80">
        <f t="shared" si="3"/>
        <v>5087.1</v>
      </c>
    </row>
    <row r="17" ht="15" customHeight="1" spans="1:15">
      <c r="A17" s="73"/>
      <c r="B17" s="74" t="s">
        <v>48</v>
      </c>
      <c r="C17" s="74"/>
      <c r="D17" s="75"/>
      <c r="E17" s="74">
        <f>SUM(E3:E16)</f>
        <v>438.58</v>
      </c>
      <c r="F17" s="74"/>
      <c r="G17" s="74">
        <f t="shared" ref="G17:O17" si="10">SUM(G3:G16)</f>
        <v>72023.9</v>
      </c>
      <c r="H17" s="74">
        <f t="shared" si="10"/>
        <v>72023.9</v>
      </c>
      <c r="I17" s="74">
        <f t="shared" si="10"/>
        <v>2300</v>
      </c>
      <c r="J17" s="74">
        <f t="shared" si="10"/>
        <v>3530</v>
      </c>
      <c r="K17" s="74">
        <f t="shared" si="10"/>
        <v>800</v>
      </c>
      <c r="L17" s="74">
        <f t="shared" si="10"/>
        <v>50</v>
      </c>
      <c r="M17" s="74">
        <f t="shared" si="10"/>
        <v>35</v>
      </c>
      <c r="N17" s="74">
        <f t="shared" si="10"/>
        <v>700</v>
      </c>
      <c r="O17" s="81">
        <f t="shared" si="10"/>
        <v>79403.9</v>
      </c>
    </row>
    <row r="18" spans="1:15">
      <c r="A18" s="76"/>
      <c r="B18" s="59"/>
      <c r="C18" s="77"/>
      <c r="D18" s="78"/>
      <c r="E18" s="77"/>
      <c r="F18" s="77"/>
      <c r="G18" s="77"/>
      <c r="H18" s="77"/>
      <c r="I18" s="77"/>
      <c r="J18" s="77"/>
      <c r="K18" s="77"/>
      <c r="L18" s="77"/>
      <c r="M18" s="59"/>
      <c r="N18" s="77"/>
      <c r="O18" s="77"/>
    </row>
    <row r="19" ht="17.5" spans="1:10">
      <c r="A19" s="39" t="s">
        <v>49</v>
      </c>
      <c r="B19" s="39"/>
      <c r="C19" s="39"/>
      <c r="D19" s="39"/>
      <c r="E19" s="39"/>
      <c r="F19" s="39"/>
      <c r="G19" s="39"/>
      <c r="H19" s="39" t="s">
        <v>50</v>
      </c>
      <c r="I19" s="39"/>
      <c r="J19" s="39"/>
    </row>
  </sheetData>
  <autoFilter ref="A2:O17">
    <extLst/>
  </autoFilter>
  <pageMargins left="0.708661417322835" right="0.708661417322835" top="0.748031496062992" bottom="0.748031496062992" header="0.31496062992126" footer="0.31496062992126"/>
  <pageSetup paperSize="9" scale="93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T14"/>
  <sheetViews>
    <sheetView workbookViewId="0">
      <selection activeCell="N3" sqref="N3"/>
    </sheetView>
  </sheetViews>
  <sheetFormatPr defaultColWidth="9" defaultRowHeight="14"/>
  <cols>
    <col min="1" max="1" width="5.25454545454545" customWidth="1"/>
    <col min="2" max="2" width="8" customWidth="1"/>
    <col min="3" max="3" width="6" customWidth="1"/>
    <col min="4" max="4" width="7.5" customWidth="1"/>
    <col min="5" max="5" width="10" customWidth="1"/>
    <col min="6" max="6" width="7.75454545454545" customWidth="1"/>
    <col min="7" max="7" width="6.37272727272727" customWidth="1"/>
    <col min="8" max="8" width="5.87272727272727" customWidth="1"/>
    <col min="9" max="9" width="7.12727272727273" customWidth="1"/>
    <col min="10" max="10" width="5.62727272727273" customWidth="1"/>
    <col min="11" max="11" width="7.75454545454545" customWidth="1"/>
    <col min="12" max="12" width="7.62727272727273" customWidth="1"/>
    <col min="13" max="13" width="10" customWidth="1"/>
    <col min="14" max="14" width="6" customWidth="1"/>
    <col min="15" max="15" width="5.62727272727273" customWidth="1"/>
    <col min="16" max="16" width="12.1272727272727" customWidth="1"/>
    <col min="17" max="17" width="6" customWidth="1"/>
    <col min="18" max="19" width="9.75454545454545" customWidth="1"/>
    <col min="20" max="20" width="14.5" customWidth="1"/>
  </cols>
  <sheetData>
    <row r="1" ht="18.25" spans="1:20">
      <c r="A1" s="40" t="s">
        <v>51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60"/>
    </row>
    <row r="2" s="37" customFormat="1" ht="33.75" customHeight="1" spans="1:20">
      <c r="A2" s="42" t="s">
        <v>1</v>
      </c>
      <c r="B2" s="43" t="s">
        <v>3</v>
      </c>
      <c r="C2" s="43" t="s">
        <v>4</v>
      </c>
      <c r="D2" s="43" t="s">
        <v>52</v>
      </c>
      <c r="E2" s="44" t="s">
        <v>53</v>
      </c>
      <c r="F2" s="43" t="s">
        <v>54</v>
      </c>
      <c r="G2" s="43" t="s">
        <v>55</v>
      </c>
      <c r="H2" s="43" t="s">
        <v>56</v>
      </c>
      <c r="I2" s="44" t="s">
        <v>57</v>
      </c>
      <c r="J2" s="43" t="s">
        <v>58</v>
      </c>
      <c r="K2" s="43" t="s">
        <v>8</v>
      </c>
      <c r="L2" s="43" t="s">
        <v>11</v>
      </c>
      <c r="M2" s="43" t="s">
        <v>8</v>
      </c>
      <c r="N2" s="43" t="s">
        <v>59</v>
      </c>
      <c r="O2" s="43" t="s">
        <v>6</v>
      </c>
      <c r="P2" s="43" t="s">
        <v>60</v>
      </c>
      <c r="Q2" s="43" t="s">
        <v>13</v>
      </c>
      <c r="R2" s="43" t="s">
        <v>14</v>
      </c>
      <c r="S2" s="61" t="s">
        <v>10</v>
      </c>
      <c r="T2" s="62" t="s">
        <v>61</v>
      </c>
    </row>
    <row r="3" s="38" customFormat="1" ht="30" customHeight="1" spans="1:20">
      <c r="A3" s="45">
        <v>1</v>
      </c>
      <c r="B3" s="46" t="s">
        <v>62</v>
      </c>
      <c r="C3" s="47" t="s">
        <v>63</v>
      </c>
      <c r="D3" s="46">
        <f>VLOOKUP(B3,考勤!D:F,3,0)</f>
        <v>32.31</v>
      </c>
      <c r="E3" s="46">
        <v>23</v>
      </c>
      <c r="F3" s="46">
        <v>2480</v>
      </c>
      <c r="G3" s="46">
        <v>440</v>
      </c>
      <c r="H3" s="48">
        <v>1550</v>
      </c>
      <c r="I3" s="46">
        <f>VLOOKUP(B3,考勤!D:P,13,0)</f>
        <v>200</v>
      </c>
      <c r="J3" s="46"/>
      <c r="K3" s="46">
        <f t="shared" ref="K3:K10" si="0">SUM(F3:J3)</f>
        <v>4670</v>
      </c>
      <c r="L3" s="46">
        <v>300</v>
      </c>
      <c r="M3" s="55">
        <f>K3+L3</f>
        <v>4970</v>
      </c>
      <c r="N3" s="46">
        <f t="shared" ref="N3:N10" si="1">D3-E3</f>
        <v>9.31</v>
      </c>
      <c r="O3" s="46">
        <v>120</v>
      </c>
      <c r="P3" s="46">
        <f t="shared" ref="P3:P6" si="2">N3*O3</f>
        <v>1117.2</v>
      </c>
      <c r="Q3" s="46">
        <f>VLOOKUP(B3,考勤!D:M,10,0)</f>
        <v>9</v>
      </c>
      <c r="R3" s="46">
        <f t="shared" ref="R3:R5" si="3">Q3*20</f>
        <v>180</v>
      </c>
      <c r="S3" s="63">
        <f>VLOOKUP(B3,考勤!D:Q,14,0)</f>
        <v>200</v>
      </c>
      <c r="T3" s="64">
        <f>M3+P3+R3+S3</f>
        <v>6467.2</v>
      </c>
    </row>
    <row r="4" s="38" customFormat="1" ht="30" customHeight="1" spans="1:20">
      <c r="A4" s="45">
        <v>2</v>
      </c>
      <c r="B4" s="46" t="s">
        <v>64</v>
      </c>
      <c r="C4" s="47" t="s">
        <v>65</v>
      </c>
      <c r="D4" s="46">
        <f>VLOOKUP(B4,考勤!D:F,3,0)</f>
        <v>25.31</v>
      </c>
      <c r="E4" s="46">
        <v>23</v>
      </c>
      <c r="F4" s="46">
        <v>2480</v>
      </c>
      <c r="G4" s="48">
        <v>440</v>
      </c>
      <c r="H4" s="48">
        <v>1340</v>
      </c>
      <c r="I4" s="46">
        <f>VLOOKUP(B4,考勤!D:P,13,0)</f>
        <v>200</v>
      </c>
      <c r="J4" s="46"/>
      <c r="K4" s="46">
        <f t="shared" si="0"/>
        <v>4460</v>
      </c>
      <c r="L4" s="46"/>
      <c r="M4" s="55">
        <f t="shared" ref="M4:M10" si="4">K4+L4</f>
        <v>4460</v>
      </c>
      <c r="N4" s="46">
        <f t="shared" si="1"/>
        <v>2.31</v>
      </c>
      <c r="O4" s="46">
        <v>120</v>
      </c>
      <c r="P4" s="46">
        <f t="shared" si="2"/>
        <v>277.2</v>
      </c>
      <c r="Q4" s="46">
        <f>VLOOKUP(B4,考勤!D:M,10,0)</f>
        <v>8</v>
      </c>
      <c r="R4" s="46">
        <f t="shared" si="3"/>
        <v>160</v>
      </c>
      <c r="S4" s="63">
        <f>VLOOKUP(B4,考勤!D:Q,14,0)</f>
        <v>300</v>
      </c>
      <c r="T4" s="64">
        <f t="shared" ref="T4:T10" si="5">M4+P4+R4+S4</f>
        <v>5197.2</v>
      </c>
    </row>
    <row r="5" s="38" customFormat="1" ht="30" customHeight="1" spans="1:20">
      <c r="A5" s="45">
        <v>3</v>
      </c>
      <c r="B5" s="46" t="s">
        <v>66</v>
      </c>
      <c r="C5" s="47" t="s">
        <v>67</v>
      </c>
      <c r="D5" s="46">
        <f>VLOOKUP(B5,考勤!D:F,3,0)</f>
        <v>29.69</v>
      </c>
      <c r="E5" s="46">
        <v>23</v>
      </c>
      <c r="F5" s="46">
        <v>2480</v>
      </c>
      <c r="G5" s="46">
        <v>440</v>
      </c>
      <c r="H5" s="48">
        <v>1459</v>
      </c>
      <c r="I5" s="46">
        <f>VLOOKUP(B5,考勤!D:P,13,0)</f>
        <v>200</v>
      </c>
      <c r="J5" s="46">
        <v>50</v>
      </c>
      <c r="K5" s="46">
        <f t="shared" si="0"/>
        <v>4629</v>
      </c>
      <c r="L5" s="46">
        <v>200</v>
      </c>
      <c r="M5" s="55">
        <f t="shared" si="4"/>
        <v>4829</v>
      </c>
      <c r="N5" s="46">
        <f t="shared" ref="N5" si="6">D5-E5</f>
        <v>6.69</v>
      </c>
      <c r="O5" s="46">
        <v>120</v>
      </c>
      <c r="P5" s="46">
        <f t="shared" si="2"/>
        <v>802.8</v>
      </c>
      <c r="Q5" s="46">
        <f>VLOOKUP(B5,考勤!D:M,10,0)</f>
        <v>10</v>
      </c>
      <c r="R5" s="46">
        <f t="shared" si="3"/>
        <v>200</v>
      </c>
      <c r="S5" s="63">
        <f>VLOOKUP(B5,考勤!D:Q,14,0)</f>
        <v>200</v>
      </c>
      <c r="T5" s="64">
        <f t="shared" si="5"/>
        <v>6031.8</v>
      </c>
    </row>
    <row r="6" s="38" customFormat="1" ht="30" customHeight="1" spans="1:20">
      <c r="A6" s="45">
        <v>4</v>
      </c>
      <c r="B6" s="46" t="s">
        <v>68</v>
      </c>
      <c r="C6" s="47" t="s">
        <v>69</v>
      </c>
      <c r="D6" s="46">
        <f>VLOOKUP(B6,考勤!D:F,3,0)</f>
        <v>27.19</v>
      </c>
      <c r="E6" s="46">
        <v>23</v>
      </c>
      <c r="F6" s="46">
        <v>2480</v>
      </c>
      <c r="G6" s="46">
        <v>440</v>
      </c>
      <c r="H6" s="46">
        <v>1000</v>
      </c>
      <c r="I6" s="46">
        <f>VLOOKUP(B6,考勤!D:P,13,0)</f>
        <v>200</v>
      </c>
      <c r="J6" s="46"/>
      <c r="K6" s="46">
        <f t="shared" si="0"/>
        <v>4120</v>
      </c>
      <c r="L6" s="46"/>
      <c r="M6" s="55">
        <f t="shared" si="4"/>
        <v>4120</v>
      </c>
      <c r="N6" s="46">
        <f t="shared" si="1"/>
        <v>4.19</v>
      </c>
      <c r="O6" s="46">
        <v>120</v>
      </c>
      <c r="P6" s="46">
        <f t="shared" si="2"/>
        <v>502.8</v>
      </c>
      <c r="Q6" s="46">
        <f>VLOOKUP(B6,考勤!D:M,10,0)</f>
        <v>10</v>
      </c>
      <c r="R6" s="46">
        <v>200</v>
      </c>
      <c r="S6" s="63">
        <f>VLOOKUP(B6,考勤!D:Q,14,0)</f>
        <v>300</v>
      </c>
      <c r="T6" s="64">
        <f t="shared" si="5"/>
        <v>5122.8</v>
      </c>
    </row>
    <row r="7" s="38" customFormat="1" ht="30" customHeight="1" spans="1:20">
      <c r="A7" s="45">
        <v>5</v>
      </c>
      <c r="B7" s="49" t="s">
        <v>70</v>
      </c>
      <c r="C7" s="47" t="s">
        <v>71</v>
      </c>
      <c r="D7" s="46">
        <f>VLOOKUP(B7,考勤!D:F,3,0)</f>
        <v>33.56</v>
      </c>
      <c r="E7" s="46">
        <v>23</v>
      </c>
      <c r="F7" s="46">
        <v>2480</v>
      </c>
      <c r="G7" s="46">
        <v>440</v>
      </c>
      <c r="H7" s="46">
        <v>780</v>
      </c>
      <c r="I7" s="46">
        <f>VLOOKUP(B7,考勤!D:P,13,0)</f>
        <v>200</v>
      </c>
      <c r="J7" s="46"/>
      <c r="K7" s="46">
        <f t="shared" si="0"/>
        <v>3900</v>
      </c>
      <c r="L7" s="46"/>
      <c r="M7" s="55">
        <f t="shared" si="4"/>
        <v>3900</v>
      </c>
      <c r="N7" s="46">
        <f t="shared" si="1"/>
        <v>10.56</v>
      </c>
      <c r="O7" s="46">
        <v>120</v>
      </c>
      <c r="P7" s="46">
        <f>O7*N7</f>
        <v>1267.2</v>
      </c>
      <c r="Q7" s="46">
        <f>VLOOKUP(B7,考勤!D:M,10,0)</f>
        <v>6</v>
      </c>
      <c r="R7" s="46">
        <f t="shared" ref="R7:R10" si="7">Q7*20</f>
        <v>120</v>
      </c>
      <c r="S7" s="63">
        <f>VLOOKUP(B7,考勤!D:Q,14,0)</f>
        <v>300</v>
      </c>
      <c r="T7" s="64">
        <f t="shared" si="5"/>
        <v>5587.2</v>
      </c>
    </row>
    <row r="8" s="38" customFormat="1" ht="30" customHeight="1" spans="1:20">
      <c r="A8" s="45">
        <v>6</v>
      </c>
      <c r="B8" s="49" t="s">
        <v>72</v>
      </c>
      <c r="C8" s="47" t="s">
        <v>73</v>
      </c>
      <c r="D8" s="46">
        <f>VLOOKUP(B8,考勤!D:F,3,0)</f>
        <v>32.56</v>
      </c>
      <c r="E8" s="46">
        <v>23</v>
      </c>
      <c r="F8" s="46">
        <v>2480</v>
      </c>
      <c r="G8" s="46">
        <v>440</v>
      </c>
      <c r="H8" s="46">
        <v>780</v>
      </c>
      <c r="I8" s="46">
        <f>VLOOKUP(B8,考勤!D:P,13,0)</f>
        <v>200</v>
      </c>
      <c r="J8" s="46"/>
      <c r="K8" s="46">
        <f t="shared" si="0"/>
        <v>3900</v>
      </c>
      <c r="L8" s="46"/>
      <c r="M8" s="55">
        <f t="shared" si="4"/>
        <v>3900</v>
      </c>
      <c r="N8" s="46">
        <f t="shared" si="1"/>
        <v>9.56</v>
      </c>
      <c r="O8" s="46">
        <v>120</v>
      </c>
      <c r="P8" s="46">
        <f>O8*N8</f>
        <v>1147.2</v>
      </c>
      <c r="Q8" s="46">
        <f>VLOOKUP(B8,考勤!D:M,10,0)</f>
        <v>7</v>
      </c>
      <c r="R8" s="46">
        <f t="shared" si="7"/>
        <v>140</v>
      </c>
      <c r="S8" s="63">
        <f>VLOOKUP(B8,考勤!D:Q,14,0)</f>
        <v>200</v>
      </c>
      <c r="T8" s="64">
        <f t="shared" si="5"/>
        <v>5387.2</v>
      </c>
    </row>
    <row r="9" s="38" customFormat="1" ht="30" customHeight="1" spans="1:20">
      <c r="A9" s="45">
        <v>7</v>
      </c>
      <c r="B9" s="46" t="s">
        <v>74</v>
      </c>
      <c r="C9" s="47" t="s">
        <v>75</v>
      </c>
      <c r="D9" s="46">
        <f>VLOOKUP(B9,考勤!D:F,3,0)</f>
        <v>28.25</v>
      </c>
      <c r="E9" s="46">
        <v>23</v>
      </c>
      <c r="F9" s="46">
        <v>2480</v>
      </c>
      <c r="G9" s="46">
        <v>440</v>
      </c>
      <c r="H9" s="46">
        <v>780</v>
      </c>
      <c r="I9" s="46">
        <f>VLOOKUP(B9,考勤!D:P,13,0)</f>
        <v>0</v>
      </c>
      <c r="J9" s="46"/>
      <c r="K9" s="46">
        <f t="shared" ref="K9" si="8">SUM(F9:J9)</f>
        <v>3700</v>
      </c>
      <c r="L9" s="46">
        <v>200</v>
      </c>
      <c r="M9" s="55">
        <f t="shared" ref="M9" si="9">K9+L9</f>
        <v>3900</v>
      </c>
      <c r="N9" s="46">
        <f t="shared" ref="N9" si="10">D9-E9</f>
        <v>5.25</v>
      </c>
      <c r="O9" s="46">
        <v>120</v>
      </c>
      <c r="P9" s="46">
        <f>O9*N9</f>
        <v>630</v>
      </c>
      <c r="Q9" s="46">
        <f>VLOOKUP(B9,考勤!D:M,10,0)</f>
        <v>7</v>
      </c>
      <c r="R9" s="46">
        <f t="shared" si="7"/>
        <v>140</v>
      </c>
      <c r="S9" s="63">
        <f>VLOOKUP(B9,考勤!D:Q,14,0)</f>
        <v>144</v>
      </c>
      <c r="T9" s="64">
        <f t="shared" si="5"/>
        <v>4814</v>
      </c>
    </row>
    <row r="10" s="38" customFormat="1" ht="30" customHeight="1" spans="1:20">
      <c r="A10" s="45">
        <v>8</v>
      </c>
      <c r="B10" s="46" t="s">
        <v>76</v>
      </c>
      <c r="C10" s="47">
        <v>187</v>
      </c>
      <c r="D10" s="46">
        <f>VLOOKUP(B10,考勤!D:F,3,0)</f>
        <v>16.44</v>
      </c>
      <c r="E10" s="46">
        <v>23</v>
      </c>
      <c r="F10" s="46">
        <v>3000</v>
      </c>
      <c r="G10" s="46">
        <v>1000</v>
      </c>
      <c r="H10" s="46">
        <v>1000</v>
      </c>
      <c r="I10" s="46">
        <f>VLOOKUP(B10,考勤!D:P,13,0)</f>
        <v>0</v>
      </c>
      <c r="J10" s="46"/>
      <c r="K10" s="46">
        <f t="shared" si="0"/>
        <v>5000</v>
      </c>
      <c r="L10" s="46"/>
      <c r="M10" s="56">
        <f t="shared" si="4"/>
        <v>5000</v>
      </c>
      <c r="N10" s="57"/>
      <c r="O10" s="57">
        <v>120</v>
      </c>
      <c r="P10" s="57">
        <v>-2140</v>
      </c>
      <c r="Q10" s="57">
        <f>VLOOKUP(B10,考勤!D:M,10,0)</f>
        <v>0</v>
      </c>
      <c r="R10" s="57">
        <f t="shared" si="7"/>
        <v>0</v>
      </c>
      <c r="S10" s="65">
        <f>VLOOKUP(B10,考勤!D:Q,14,0)</f>
        <v>90</v>
      </c>
      <c r="T10" s="64">
        <f t="shared" si="5"/>
        <v>2950</v>
      </c>
    </row>
    <row r="11" s="38" customFormat="1" ht="30" customHeight="1" spans="1:20">
      <c r="A11" s="50"/>
      <c r="B11" s="51" t="s">
        <v>48</v>
      </c>
      <c r="C11" s="52"/>
      <c r="D11" s="51">
        <f>SUM(D3:D10)</f>
        <v>225.31</v>
      </c>
      <c r="E11" s="51"/>
      <c r="F11" s="51">
        <f t="shared" ref="F11:T11" si="11">SUM(F3:F10)</f>
        <v>20360</v>
      </c>
      <c r="G11" s="51">
        <f t="shared" si="11"/>
        <v>4080</v>
      </c>
      <c r="H11" s="51">
        <f t="shared" si="11"/>
        <v>8689</v>
      </c>
      <c r="I11" s="51">
        <f t="shared" si="11"/>
        <v>1200</v>
      </c>
      <c r="J11" s="51">
        <f t="shared" si="11"/>
        <v>50</v>
      </c>
      <c r="K11" s="51">
        <f t="shared" si="11"/>
        <v>34379</v>
      </c>
      <c r="L11" s="51">
        <f t="shared" si="11"/>
        <v>700</v>
      </c>
      <c r="M11" s="51">
        <f t="shared" si="11"/>
        <v>35079</v>
      </c>
      <c r="N11" s="51">
        <f t="shared" si="11"/>
        <v>47.87</v>
      </c>
      <c r="O11" s="51">
        <f t="shared" si="11"/>
        <v>960</v>
      </c>
      <c r="P11" s="51">
        <f t="shared" si="11"/>
        <v>3604.4</v>
      </c>
      <c r="Q11" s="51">
        <f t="shared" si="11"/>
        <v>57</v>
      </c>
      <c r="R11" s="51">
        <f t="shared" si="11"/>
        <v>1140</v>
      </c>
      <c r="S11" s="51">
        <f t="shared" si="11"/>
        <v>1734</v>
      </c>
      <c r="T11" s="66">
        <f t="shared" si="11"/>
        <v>41557.4</v>
      </c>
    </row>
    <row r="12" s="38" customFormat="1" ht="30" customHeight="1" spans="1:20">
      <c r="A12" s="53"/>
      <c r="B12" s="53"/>
      <c r="C12" s="54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67"/>
    </row>
    <row r="13" s="39" customFormat="1" ht="30.75" customHeight="1" spans="1:17">
      <c r="A13" s="39" t="s">
        <v>49</v>
      </c>
      <c r="K13" s="39" t="s">
        <v>50</v>
      </c>
      <c r="P13" s="58"/>
      <c r="Q13" s="68"/>
    </row>
    <row r="14" spans="16:17">
      <c r="P14" s="59"/>
      <c r="Q14" s="59"/>
    </row>
  </sheetData>
  <autoFilter ref="A2:T13">
    <extLst/>
  </autoFilter>
  <pageMargins left="0.31496062992126" right="0.118110236220472" top="0.748031496062992" bottom="0.748031496062992" header="0.31496062992126" footer="0.31496062992126"/>
  <pageSetup paperSize="9" scale="9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E4" sqref="E4"/>
    </sheetView>
  </sheetViews>
  <sheetFormatPr defaultColWidth="9" defaultRowHeight="14"/>
  <cols>
    <col min="15" max="15" width="9.5" customWidth="1"/>
  </cols>
  <sheetData>
    <row r="1" spans="1:16">
      <c r="A1" s="1" t="s">
        <v>1</v>
      </c>
      <c r="B1" s="1" t="s">
        <v>77</v>
      </c>
      <c r="C1" s="2" t="s">
        <v>4</v>
      </c>
      <c r="D1" s="1" t="s">
        <v>3</v>
      </c>
      <c r="E1" s="1" t="s">
        <v>55</v>
      </c>
      <c r="F1" s="1" t="s">
        <v>78</v>
      </c>
      <c r="G1" s="1" t="s">
        <v>79</v>
      </c>
      <c r="H1" s="1" t="s">
        <v>80</v>
      </c>
      <c r="I1" s="1" t="s">
        <v>81</v>
      </c>
      <c r="J1" s="23" t="s">
        <v>82</v>
      </c>
      <c r="K1" s="24" t="s">
        <v>83</v>
      </c>
      <c r="L1" s="25" t="s">
        <v>84</v>
      </c>
      <c r="M1" s="26" t="s">
        <v>13</v>
      </c>
      <c r="N1" s="26" t="s">
        <v>57</v>
      </c>
      <c r="O1" s="26" t="s">
        <v>13</v>
      </c>
      <c r="P1" s="26" t="s">
        <v>57</v>
      </c>
    </row>
    <row r="2" spans="2:17">
      <c r="B2" s="1" t="s">
        <v>77</v>
      </c>
      <c r="C2" s="2" t="s">
        <v>4</v>
      </c>
      <c r="D2" s="1" t="s">
        <v>3</v>
      </c>
      <c r="E2" s="1" t="s">
        <v>55</v>
      </c>
      <c r="F2" s="1" t="s">
        <v>78</v>
      </c>
      <c r="G2" s="1" t="s">
        <v>79</v>
      </c>
      <c r="H2" s="1" t="s">
        <v>80</v>
      </c>
      <c r="I2" s="1" t="s">
        <v>81</v>
      </c>
      <c r="J2" s="23" t="s">
        <v>82</v>
      </c>
      <c r="K2" s="24" t="s">
        <v>83</v>
      </c>
      <c r="L2" s="25" t="s">
        <v>84</v>
      </c>
      <c r="M2" s="26" t="s">
        <v>13</v>
      </c>
      <c r="N2" s="26" t="s">
        <v>57</v>
      </c>
      <c r="O2" s="27" t="s">
        <v>10</v>
      </c>
      <c r="P2" s="26" t="s">
        <v>57</v>
      </c>
      <c r="Q2" s="27" t="s">
        <v>10</v>
      </c>
    </row>
    <row r="3" spans="2:17">
      <c r="B3" s="3">
        <v>8021</v>
      </c>
      <c r="C3" s="3">
        <v>200</v>
      </c>
      <c r="D3" s="4" t="s">
        <v>85</v>
      </c>
      <c r="E3" s="3"/>
      <c r="F3" s="5">
        <v>24.06</v>
      </c>
      <c r="G3" s="6"/>
      <c r="H3" s="6"/>
      <c r="I3" s="6"/>
      <c r="J3" s="28"/>
      <c r="K3" s="29">
        <v>2</v>
      </c>
      <c r="L3" s="30"/>
      <c r="M3" s="27">
        <v>10</v>
      </c>
      <c r="N3" s="27">
        <v>0</v>
      </c>
      <c r="O3" s="27">
        <v>230</v>
      </c>
      <c r="P3" s="27">
        <v>0</v>
      </c>
      <c r="Q3" s="27">
        <v>230</v>
      </c>
    </row>
    <row r="4" spans="2:17">
      <c r="B4" s="3">
        <v>4001</v>
      </c>
      <c r="C4" s="3">
        <v>205</v>
      </c>
      <c r="D4" s="7" t="s">
        <v>64</v>
      </c>
      <c r="E4" s="3" t="s">
        <v>22</v>
      </c>
      <c r="F4" s="5">
        <v>25.31</v>
      </c>
      <c r="G4" s="6"/>
      <c r="H4" s="6"/>
      <c r="I4" s="6"/>
      <c r="J4" s="30"/>
      <c r="K4" s="29"/>
      <c r="L4" s="30"/>
      <c r="M4" s="27">
        <v>8</v>
      </c>
      <c r="N4" s="27">
        <v>200</v>
      </c>
      <c r="O4" s="27">
        <v>300</v>
      </c>
      <c r="P4" s="27">
        <v>200</v>
      </c>
      <c r="Q4" s="27">
        <v>300</v>
      </c>
    </row>
    <row r="5" spans="2:17">
      <c r="B5" s="3">
        <v>4013</v>
      </c>
      <c r="C5" s="3">
        <v>700</v>
      </c>
      <c r="D5" s="7" t="s">
        <v>25</v>
      </c>
      <c r="E5" s="3" t="s">
        <v>22</v>
      </c>
      <c r="F5" s="5">
        <v>30.5</v>
      </c>
      <c r="G5" s="6"/>
      <c r="H5" s="6"/>
      <c r="I5" s="6"/>
      <c r="J5" s="30"/>
      <c r="K5" s="29"/>
      <c r="L5" s="29"/>
      <c r="M5" s="27">
        <v>5</v>
      </c>
      <c r="N5" s="27">
        <v>200</v>
      </c>
      <c r="O5" s="27">
        <v>300</v>
      </c>
      <c r="P5" s="27">
        <v>200</v>
      </c>
      <c r="Q5" s="27">
        <v>300</v>
      </c>
    </row>
    <row r="6" spans="2:17">
      <c r="B6" s="3">
        <v>4017</v>
      </c>
      <c r="C6" s="3">
        <v>500</v>
      </c>
      <c r="D6" s="8" t="s">
        <v>23</v>
      </c>
      <c r="E6" s="3" t="s">
        <v>22</v>
      </c>
      <c r="F6" s="5">
        <v>27.31</v>
      </c>
      <c r="G6" s="6"/>
      <c r="H6" s="6"/>
      <c r="I6" s="6"/>
      <c r="J6" s="30"/>
      <c r="K6" s="30"/>
      <c r="L6" s="30"/>
      <c r="M6" s="27">
        <v>4</v>
      </c>
      <c r="N6" s="27">
        <v>200</v>
      </c>
      <c r="O6" s="27">
        <v>300</v>
      </c>
      <c r="P6" s="27">
        <v>200</v>
      </c>
      <c r="Q6" s="27">
        <v>300</v>
      </c>
    </row>
    <row r="7" spans="2:17">
      <c r="B7" s="3">
        <v>4008</v>
      </c>
      <c r="C7" s="3">
        <v>157</v>
      </c>
      <c r="D7" s="7" t="s">
        <v>70</v>
      </c>
      <c r="E7" s="3" t="s">
        <v>22</v>
      </c>
      <c r="F7" s="5">
        <v>33.56</v>
      </c>
      <c r="G7" s="6"/>
      <c r="H7" s="6"/>
      <c r="I7" s="6"/>
      <c r="J7" s="30"/>
      <c r="K7" s="29"/>
      <c r="L7" s="30"/>
      <c r="M7" s="27">
        <v>6</v>
      </c>
      <c r="N7" s="27">
        <v>200</v>
      </c>
      <c r="O7" s="21">
        <v>300</v>
      </c>
      <c r="P7" s="27">
        <v>200</v>
      </c>
      <c r="Q7" s="21">
        <v>300</v>
      </c>
    </row>
    <row r="8" spans="2:17">
      <c r="B8" s="3"/>
      <c r="C8" s="3">
        <v>394</v>
      </c>
      <c r="D8" s="8" t="s">
        <v>29</v>
      </c>
      <c r="E8" s="3" t="s">
        <v>22</v>
      </c>
      <c r="F8" s="5">
        <v>30.94</v>
      </c>
      <c r="G8" s="6"/>
      <c r="H8" s="6"/>
      <c r="I8" s="6"/>
      <c r="J8" s="30"/>
      <c r="K8" s="30"/>
      <c r="L8" s="30"/>
      <c r="M8" s="27">
        <v>2</v>
      </c>
      <c r="N8" s="27">
        <v>200</v>
      </c>
      <c r="O8" s="27">
        <v>300</v>
      </c>
      <c r="P8" s="27">
        <v>200</v>
      </c>
      <c r="Q8" s="27">
        <v>300</v>
      </c>
    </row>
    <row r="9" spans="2:17">
      <c r="B9" s="9"/>
      <c r="C9" s="9">
        <v>382</v>
      </c>
      <c r="D9" s="10" t="s">
        <v>27</v>
      </c>
      <c r="E9" s="9" t="s">
        <v>22</v>
      </c>
      <c r="F9" s="5">
        <v>30.5</v>
      </c>
      <c r="G9" s="11"/>
      <c r="H9" s="11"/>
      <c r="I9" s="11"/>
      <c r="J9" s="31"/>
      <c r="K9" s="31"/>
      <c r="L9" s="32"/>
      <c r="M9" s="13">
        <v>0</v>
      </c>
      <c r="N9" s="13">
        <v>200</v>
      </c>
      <c r="O9" s="13">
        <v>300</v>
      </c>
      <c r="P9" s="13">
        <v>200</v>
      </c>
      <c r="Q9" s="13">
        <v>300</v>
      </c>
    </row>
    <row r="10" spans="2:17">
      <c r="B10" s="9">
        <v>4009</v>
      </c>
      <c r="C10" s="9">
        <v>573</v>
      </c>
      <c r="D10" s="12" t="s">
        <v>72</v>
      </c>
      <c r="E10" s="9" t="s">
        <v>31</v>
      </c>
      <c r="F10" s="5">
        <v>32.56</v>
      </c>
      <c r="G10" s="11"/>
      <c r="H10" s="11"/>
      <c r="I10" s="11"/>
      <c r="J10" s="31"/>
      <c r="K10" s="32"/>
      <c r="L10" s="31"/>
      <c r="M10" s="13">
        <v>7</v>
      </c>
      <c r="N10" s="13">
        <v>200</v>
      </c>
      <c r="O10" s="13">
        <v>200</v>
      </c>
      <c r="P10" s="13">
        <v>200</v>
      </c>
      <c r="Q10" s="13">
        <v>200</v>
      </c>
    </row>
    <row r="11" spans="2:17">
      <c r="B11" s="9">
        <v>4003</v>
      </c>
      <c r="C11" s="9">
        <v>344</v>
      </c>
      <c r="D11" s="12" t="s">
        <v>62</v>
      </c>
      <c r="E11" s="9" t="s">
        <v>31</v>
      </c>
      <c r="F11" s="5">
        <v>32.31</v>
      </c>
      <c r="G11" s="11"/>
      <c r="H11" s="11"/>
      <c r="I11" s="11"/>
      <c r="J11" s="31"/>
      <c r="K11" s="31"/>
      <c r="L11" s="31"/>
      <c r="M11" s="13">
        <v>9</v>
      </c>
      <c r="N11" s="13">
        <v>200</v>
      </c>
      <c r="O11" s="13">
        <v>200</v>
      </c>
      <c r="P11" s="13">
        <v>200</v>
      </c>
      <c r="Q11" s="13">
        <v>200</v>
      </c>
    </row>
    <row r="12" spans="2:17">
      <c r="B12" s="13">
        <v>4002</v>
      </c>
      <c r="C12" s="9">
        <v>322</v>
      </c>
      <c r="D12" s="12" t="s">
        <v>66</v>
      </c>
      <c r="E12" s="9" t="s">
        <v>31</v>
      </c>
      <c r="F12" s="5">
        <v>29.69</v>
      </c>
      <c r="G12" s="11"/>
      <c r="H12" s="11"/>
      <c r="I12" s="11"/>
      <c r="J12" s="31"/>
      <c r="K12" s="32"/>
      <c r="L12" s="31"/>
      <c r="M12" s="13">
        <v>10</v>
      </c>
      <c r="N12" s="13">
        <v>200</v>
      </c>
      <c r="O12" s="13">
        <v>200</v>
      </c>
      <c r="P12" s="13">
        <v>200</v>
      </c>
      <c r="Q12" s="13">
        <v>200</v>
      </c>
    </row>
    <row r="13" spans="2:17">
      <c r="B13" s="14"/>
      <c r="C13" s="9">
        <v>121</v>
      </c>
      <c r="D13" s="10" t="s">
        <v>20</v>
      </c>
      <c r="E13" s="9" t="s">
        <v>31</v>
      </c>
      <c r="F13" s="5">
        <v>28.38</v>
      </c>
      <c r="G13" s="11"/>
      <c r="H13" s="11">
        <v>0</v>
      </c>
      <c r="I13" s="11">
        <v>0</v>
      </c>
      <c r="J13" s="31"/>
      <c r="K13" s="33"/>
      <c r="L13" s="31"/>
      <c r="M13" s="13">
        <v>2</v>
      </c>
      <c r="N13" s="13">
        <v>200</v>
      </c>
      <c r="O13" s="20">
        <v>300</v>
      </c>
      <c r="P13" s="13">
        <v>200</v>
      </c>
      <c r="Q13" s="20">
        <v>300</v>
      </c>
    </row>
    <row r="14" spans="2:17">
      <c r="B14" s="9">
        <v>4035</v>
      </c>
      <c r="C14" s="9">
        <v>292</v>
      </c>
      <c r="D14" s="15" t="s">
        <v>34</v>
      </c>
      <c r="E14" s="9" t="s">
        <v>31</v>
      </c>
      <c r="F14" s="5">
        <v>29.38</v>
      </c>
      <c r="G14" s="11"/>
      <c r="H14" s="11"/>
      <c r="I14" s="11"/>
      <c r="J14" s="31"/>
      <c r="K14" s="33"/>
      <c r="L14" s="32"/>
      <c r="M14" s="13">
        <v>10</v>
      </c>
      <c r="N14" s="13">
        <v>200</v>
      </c>
      <c r="O14" s="20">
        <v>200</v>
      </c>
      <c r="P14" s="13">
        <v>200</v>
      </c>
      <c r="Q14" s="20">
        <v>200</v>
      </c>
    </row>
    <row r="15" spans="2:17">
      <c r="B15" s="9"/>
      <c r="C15" s="9">
        <v>353</v>
      </c>
      <c r="D15" s="16" t="s">
        <v>32</v>
      </c>
      <c r="E15" s="9" t="s">
        <v>31</v>
      </c>
      <c r="F15" s="5">
        <v>33.56</v>
      </c>
      <c r="G15" s="11"/>
      <c r="H15" s="11">
        <v>0</v>
      </c>
      <c r="I15" s="11">
        <v>0</v>
      </c>
      <c r="J15" s="31"/>
      <c r="K15" s="32"/>
      <c r="L15" s="33"/>
      <c r="M15" s="13">
        <v>0</v>
      </c>
      <c r="N15" s="13">
        <v>200</v>
      </c>
      <c r="O15" s="20">
        <v>200</v>
      </c>
      <c r="P15" s="13">
        <v>200</v>
      </c>
      <c r="Q15" s="20">
        <v>200</v>
      </c>
    </row>
    <row r="16" spans="2:17">
      <c r="B16" s="14"/>
      <c r="C16" s="9">
        <v>604</v>
      </c>
      <c r="D16" s="12" t="s">
        <v>17</v>
      </c>
      <c r="E16" s="9" t="s">
        <v>31</v>
      </c>
      <c r="F16" s="5">
        <v>37.19</v>
      </c>
      <c r="G16" s="11"/>
      <c r="H16" s="11"/>
      <c r="I16" s="11"/>
      <c r="J16" s="31"/>
      <c r="K16" s="31"/>
      <c r="L16" s="31"/>
      <c r="M16" s="13">
        <v>2</v>
      </c>
      <c r="N16" s="13">
        <v>200</v>
      </c>
      <c r="O16" s="20">
        <v>200</v>
      </c>
      <c r="P16" s="13">
        <v>200</v>
      </c>
      <c r="Q16" s="20">
        <v>200</v>
      </c>
    </row>
    <row r="17" spans="2:17">
      <c r="B17" s="9"/>
      <c r="C17" s="9">
        <v>116</v>
      </c>
      <c r="D17" s="12" t="s">
        <v>46</v>
      </c>
      <c r="E17" s="9" t="s">
        <v>86</v>
      </c>
      <c r="F17" s="5">
        <v>36.38</v>
      </c>
      <c r="G17" s="11"/>
      <c r="H17" s="11"/>
      <c r="I17" s="11"/>
      <c r="J17" s="31"/>
      <c r="K17" s="34"/>
      <c r="L17" s="33"/>
      <c r="M17" s="13">
        <v>0</v>
      </c>
      <c r="N17" s="13">
        <v>200</v>
      </c>
      <c r="O17" s="20">
        <v>300</v>
      </c>
      <c r="P17" s="13">
        <v>200</v>
      </c>
      <c r="Q17" s="20">
        <v>300</v>
      </c>
    </row>
    <row r="18" spans="2:17">
      <c r="B18" s="9"/>
      <c r="C18" s="9">
        <v>330</v>
      </c>
      <c r="D18" s="12" t="s">
        <v>47</v>
      </c>
      <c r="E18" s="9" t="s">
        <v>86</v>
      </c>
      <c r="F18" s="5">
        <v>28.63</v>
      </c>
      <c r="G18" s="11"/>
      <c r="H18" s="11"/>
      <c r="I18" s="11"/>
      <c r="J18" s="31"/>
      <c r="K18" s="31">
        <v>3.5</v>
      </c>
      <c r="L18" s="35"/>
      <c r="M18" s="13">
        <v>0</v>
      </c>
      <c r="N18" s="13">
        <v>0</v>
      </c>
      <c r="O18" s="20">
        <v>220</v>
      </c>
      <c r="P18" s="13">
        <v>0</v>
      </c>
      <c r="Q18" s="20">
        <v>220</v>
      </c>
    </row>
    <row r="19" spans="2:17">
      <c r="B19" s="9">
        <v>4006</v>
      </c>
      <c r="C19" s="9">
        <v>313</v>
      </c>
      <c r="D19" s="17" t="s">
        <v>68</v>
      </c>
      <c r="E19" s="18" t="s">
        <v>87</v>
      </c>
      <c r="F19" s="5">
        <v>27.19</v>
      </c>
      <c r="G19" s="11"/>
      <c r="H19" s="11"/>
      <c r="I19" s="11"/>
      <c r="J19" s="31"/>
      <c r="K19" s="33"/>
      <c r="L19" s="32"/>
      <c r="M19" s="13">
        <v>10</v>
      </c>
      <c r="N19" s="13">
        <v>200</v>
      </c>
      <c r="O19" s="20">
        <v>300</v>
      </c>
      <c r="P19" s="13">
        <v>200</v>
      </c>
      <c r="Q19" s="20">
        <v>300</v>
      </c>
    </row>
    <row r="20" spans="2:17">
      <c r="B20" s="9">
        <v>4007</v>
      </c>
      <c r="C20" s="9">
        <v>585</v>
      </c>
      <c r="D20" s="12" t="s">
        <v>74</v>
      </c>
      <c r="E20" s="9" t="s">
        <v>31</v>
      </c>
      <c r="F20" s="5">
        <v>28.25</v>
      </c>
      <c r="G20" s="11"/>
      <c r="H20" s="11"/>
      <c r="I20" s="11"/>
      <c r="J20" s="31"/>
      <c r="K20" s="31">
        <v>1.1</v>
      </c>
      <c r="L20" s="31"/>
      <c r="M20" s="13">
        <v>7</v>
      </c>
      <c r="N20" s="13">
        <v>0</v>
      </c>
      <c r="O20" s="20">
        <v>144</v>
      </c>
      <c r="P20" s="13">
        <v>0</v>
      </c>
      <c r="Q20" s="20">
        <v>144</v>
      </c>
    </row>
    <row r="21" spans="2:17">
      <c r="B21" s="9"/>
      <c r="C21" s="9">
        <v>501</v>
      </c>
      <c r="D21" s="17" t="s">
        <v>42</v>
      </c>
      <c r="E21" s="9" t="s">
        <v>86</v>
      </c>
      <c r="F21" s="5">
        <v>40.31</v>
      </c>
      <c r="G21" s="11"/>
      <c r="H21" s="11"/>
      <c r="I21" s="11"/>
      <c r="J21" s="31"/>
      <c r="K21" s="31">
        <v>0.2</v>
      </c>
      <c r="L21" s="32"/>
      <c r="M21" s="13">
        <v>2</v>
      </c>
      <c r="N21" s="13">
        <v>100</v>
      </c>
      <c r="O21" s="20">
        <v>260</v>
      </c>
      <c r="P21" s="13">
        <v>100</v>
      </c>
      <c r="Q21" s="20">
        <v>260</v>
      </c>
    </row>
    <row r="22" spans="2:17">
      <c r="B22" s="19"/>
      <c r="C22" s="9">
        <v>666</v>
      </c>
      <c r="D22" s="12" t="s">
        <v>39</v>
      </c>
      <c r="E22" s="9"/>
      <c r="F22" s="5">
        <v>37.06</v>
      </c>
      <c r="G22" s="11"/>
      <c r="H22" s="11"/>
      <c r="I22" s="11"/>
      <c r="J22" s="31"/>
      <c r="K22" s="32"/>
      <c r="L22" s="33"/>
      <c r="M22" s="13">
        <v>8</v>
      </c>
      <c r="N22" s="13">
        <v>200</v>
      </c>
      <c r="O22" s="20">
        <v>300</v>
      </c>
      <c r="P22" s="13">
        <v>200</v>
      </c>
      <c r="Q22" s="20">
        <v>300</v>
      </c>
    </row>
    <row r="23" spans="2:17">
      <c r="B23" s="9"/>
      <c r="C23" s="9">
        <v>54</v>
      </c>
      <c r="D23" s="12" t="s">
        <v>45</v>
      </c>
      <c r="E23" s="9" t="s">
        <v>86</v>
      </c>
      <c r="F23" s="5">
        <v>18.69</v>
      </c>
      <c r="G23" s="11"/>
      <c r="H23" s="11"/>
      <c r="I23" s="11"/>
      <c r="J23" s="31"/>
      <c r="K23" s="31"/>
      <c r="L23" s="32"/>
      <c r="M23" s="13">
        <v>0</v>
      </c>
      <c r="N23" s="13">
        <v>0</v>
      </c>
      <c r="O23" s="20">
        <v>150</v>
      </c>
      <c r="P23" s="13">
        <v>0</v>
      </c>
      <c r="Q23" s="20">
        <v>150</v>
      </c>
    </row>
    <row r="24" spans="3:17">
      <c r="C24" s="20">
        <v>327</v>
      </c>
      <c r="D24" s="20" t="s">
        <v>36</v>
      </c>
      <c r="E24" s="9" t="s">
        <v>31</v>
      </c>
      <c r="F24" s="20">
        <v>29.75</v>
      </c>
      <c r="G24" s="13"/>
      <c r="H24" s="13"/>
      <c r="I24" s="13"/>
      <c r="M24" s="13">
        <v>0</v>
      </c>
      <c r="N24" s="20">
        <v>200</v>
      </c>
      <c r="O24" s="36">
        <v>200</v>
      </c>
      <c r="P24" s="20">
        <v>200</v>
      </c>
      <c r="Q24" s="36">
        <v>200</v>
      </c>
    </row>
    <row r="25" spans="3:17">
      <c r="C25" s="13">
        <v>187</v>
      </c>
      <c r="D25" s="13" t="s">
        <v>76</v>
      </c>
      <c r="E25" s="13" t="s">
        <v>88</v>
      </c>
      <c r="F25" s="21">
        <v>16.44</v>
      </c>
      <c r="G25" s="20"/>
      <c r="H25" s="20"/>
      <c r="I25" s="20"/>
      <c r="M25" s="13">
        <v>0</v>
      </c>
      <c r="N25" s="13">
        <v>0</v>
      </c>
      <c r="O25" s="20">
        <v>90</v>
      </c>
      <c r="P25" s="13">
        <v>0</v>
      </c>
      <c r="Q25" s="20">
        <v>90</v>
      </c>
    </row>
    <row r="26" spans="3:17">
      <c r="C26" s="13">
        <v>750</v>
      </c>
      <c r="D26" s="13" t="s">
        <v>89</v>
      </c>
      <c r="E26" s="13" t="s">
        <v>90</v>
      </c>
      <c r="F26" s="21">
        <v>4</v>
      </c>
      <c r="G26" s="20"/>
      <c r="H26" s="20"/>
      <c r="I26" s="20"/>
      <c r="M26" s="13">
        <v>0</v>
      </c>
      <c r="N26" s="13">
        <v>0</v>
      </c>
      <c r="O26" s="20">
        <v>0</v>
      </c>
      <c r="P26" s="13">
        <v>0</v>
      </c>
      <c r="Q26" s="20">
        <v>0</v>
      </c>
    </row>
    <row r="27" spans="6:17">
      <c r="F27" s="22">
        <f>SUM(F3:F26)</f>
        <v>691.95</v>
      </c>
      <c r="N27" s="22">
        <f>SUM(N3:N26)</f>
        <v>3500</v>
      </c>
      <c r="Q27">
        <f>SUM(Q3:Q26)</f>
        <v>5494</v>
      </c>
    </row>
    <row r="28" spans="6:17">
      <c r="F28" s="22">
        <f>F27-F3-F26</f>
        <v>663.89</v>
      </c>
      <c r="N28" s="22">
        <f>N27-N3-N26</f>
        <v>3500</v>
      </c>
      <c r="Q28">
        <f>Q27-Q3</f>
        <v>5264</v>
      </c>
    </row>
  </sheetData>
  <conditionalFormatting sqref="D6">
    <cfRule type="duplicateValues" dxfId="0" priority="5" stopIfTrue="1"/>
  </conditionalFormatting>
  <conditionalFormatting sqref="D22">
    <cfRule type="duplicateValues" dxfId="0" priority="1" stopIfTrue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 (Beijing) Limited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</vt:lpstr>
      <vt:lpstr>班组长</vt:lpstr>
      <vt:lpstr>考勤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青青子衿zq</cp:lastModifiedBy>
  <dcterms:created xsi:type="dcterms:W3CDTF">2014-06-24T08:37:00Z</dcterms:created>
  <cp:lastPrinted>2020-08-20T23:49:00Z</cp:lastPrinted>
  <dcterms:modified xsi:type="dcterms:W3CDTF">2020-09-16T10:48:24Z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