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TFS 1\hEEM\eDu\MITA\Beginner to Pro in Excel - Financial Modeling and Evaluation\"/>
    </mc:Choice>
  </mc:AlternateContent>
  <xr:revisionPtr revIDLastSave="0" documentId="13_ncr:1_{2A8A4932-79B9-4B88-93A9-C4C215103A1F}" xr6:coauthVersionLast="45" xr6:coauthVersionMax="45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Input --&gt;" sheetId="17" r:id="rId1"/>
    <sheet name="Drivers" sheetId="20" r:id="rId2"/>
    <sheet name="Workings" sheetId="21" r:id="rId3"/>
    <sheet name="Energy Output Forecast" sheetId="22" r:id="rId4"/>
    <sheet name="Fixed Asset Rolled Forward" sheetId="23" r:id="rId5"/>
    <sheet name="Financing" sheetId="24" r:id="rId6"/>
    <sheet name="P&amp;L" sheetId="25" r:id="rId7"/>
    <sheet name="Cash Flow" sheetId="26" r:id="rId8"/>
    <sheet name="WACC" sheetId="27" r:id="rId9"/>
    <sheet name="Discounted Cash Flow" sheetId="28" r:id="rId10"/>
  </sheets>
  <externalReferences>
    <externalReference r:id="rId11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8" i="28" l="1"/>
  <c r="N12" i="28"/>
  <c r="D5" i="25"/>
  <c r="E5" i="25"/>
  <c r="F5" i="25"/>
  <c r="G5" i="25"/>
  <c r="H5" i="25"/>
  <c r="I5" i="25"/>
  <c r="J5" i="25"/>
  <c r="K5" i="25"/>
  <c r="L5" i="25"/>
  <c r="C5" i="25"/>
  <c r="C24" i="22" l="1"/>
  <c r="D24" i="22"/>
  <c r="E24" i="22"/>
  <c r="F24" i="22"/>
  <c r="G24" i="22"/>
  <c r="H24" i="22"/>
  <c r="I24" i="22"/>
  <c r="J24" i="22"/>
  <c r="K24" i="22"/>
  <c r="L24" i="22"/>
  <c r="C25" i="22"/>
  <c r="D25" i="22"/>
  <c r="E25" i="22"/>
  <c r="F25" i="22"/>
  <c r="G25" i="22"/>
  <c r="H25" i="22"/>
  <c r="I25" i="22"/>
  <c r="J25" i="22"/>
  <c r="K25" i="22"/>
  <c r="L25" i="22"/>
  <c r="D23" i="22"/>
  <c r="E23" i="22"/>
  <c r="F23" i="22"/>
  <c r="G23" i="22"/>
  <c r="H23" i="22"/>
  <c r="I23" i="22"/>
  <c r="J23" i="22"/>
  <c r="K23" i="22"/>
  <c r="L23" i="22"/>
  <c r="C23" i="22"/>
  <c r="D24" i="28" l="1"/>
  <c r="C5" i="28"/>
  <c r="D25" i="28" l="1"/>
  <c r="D26" i="28" s="1"/>
  <c r="D27" i="28" s="1"/>
  <c r="D28" i="28" s="1"/>
  <c r="D29" i="28" s="1"/>
  <c r="D15" i="27" l="1"/>
  <c r="E15" i="27"/>
  <c r="F15" i="27"/>
  <c r="G15" i="27"/>
  <c r="H15" i="27"/>
  <c r="I15" i="27"/>
  <c r="J15" i="27"/>
  <c r="K15" i="27"/>
  <c r="L15" i="27"/>
  <c r="M15" i="27"/>
  <c r="C15" i="27"/>
  <c r="D9" i="27"/>
  <c r="C26" i="27" s="1"/>
  <c r="D10" i="27"/>
  <c r="D11" i="27"/>
  <c r="C10" i="27"/>
  <c r="C11" i="27"/>
  <c r="C9" i="27"/>
  <c r="C5" i="27"/>
  <c r="C6" i="27"/>
  <c r="C25" i="27"/>
  <c r="N11" i="26"/>
  <c r="D9" i="26"/>
  <c r="E9" i="26"/>
  <c r="F9" i="26"/>
  <c r="G9" i="26"/>
  <c r="H9" i="26"/>
  <c r="I9" i="26"/>
  <c r="J9" i="26"/>
  <c r="K9" i="26"/>
  <c r="L9" i="26"/>
  <c r="M9" i="26"/>
  <c r="C9" i="26"/>
  <c r="D8" i="26"/>
  <c r="E8" i="26"/>
  <c r="F8" i="26"/>
  <c r="G8" i="26"/>
  <c r="H8" i="26"/>
  <c r="I8" i="26"/>
  <c r="J8" i="26"/>
  <c r="K8" i="26"/>
  <c r="L8" i="26"/>
  <c r="M8" i="26"/>
  <c r="C8" i="26"/>
  <c r="D9" i="25"/>
  <c r="E9" i="25"/>
  <c r="F9" i="25"/>
  <c r="G9" i="25"/>
  <c r="H9" i="25"/>
  <c r="I9" i="25"/>
  <c r="J9" i="25"/>
  <c r="K9" i="25"/>
  <c r="L9" i="25"/>
  <c r="C9" i="25"/>
  <c r="D17" i="25"/>
  <c r="E17" i="25"/>
  <c r="F17" i="25"/>
  <c r="G17" i="25"/>
  <c r="H17" i="25"/>
  <c r="I17" i="25"/>
  <c r="J17" i="25"/>
  <c r="K17" i="25"/>
  <c r="L17" i="25"/>
  <c r="C17" i="25"/>
  <c r="L10" i="25"/>
  <c r="K10" i="25"/>
  <c r="J10" i="25"/>
  <c r="I10" i="25"/>
  <c r="H10" i="25"/>
  <c r="G10" i="25"/>
  <c r="F10" i="25"/>
  <c r="E10" i="25"/>
  <c r="D10" i="25"/>
  <c r="C10" i="25"/>
  <c r="E16" i="24"/>
  <c r="F16" i="24"/>
  <c r="G16" i="24"/>
  <c r="H16" i="24"/>
  <c r="I16" i="24"/>
  <c r="J16" i="24"/>
  <c r="K16" i="24"/>
  <c r="L16" i="24"/>
  <c r="M16" i="24"/>
  <c r="D16" i="24"/>
  <c r="C16" i="24"/>
  <c r="F12" i="24"/>
  <c r="G12" i="24"/>
  <c r="H12" i="24"/>
  <c r="I12" i="24"/>
  <c r="J12" i="24"/>
  <c r="K12" i="24"/>
  <c r="L12" i="24"/>
  <c r="M12" i="24"/>
  <c r="E12" i="24"/>
  <c r="E14" i="24" s="1"/>
  <c r="F11" i="24" s="1"/>
  <c r="F14" i="24" s="1"/>
  <c r="G11" i="24" s="1"/>
  <c r="G14" i="24" s="1"/>
  <c r="H11" i="24" s="1"/>
  <c r="H14" i="24" s="1"/>
  <c r="I11" i="24" s="1"/>
  <c r="I14" i="24" s="1"/>
  <c r="J11" i="24" s="1"/>
  <c r="J14" i="24" s="1"/>
  <c r="K11" i="24" s="1"/>
  <c r="K14" i="24" s="1"/>
  <c r="L11" i="24" s="1"/>
  <c r="L14" i="24" s="1"/>
  <c r="M11" i="24" s="1"/>
  <c r="M14" i="24" s="1"/>
  <c r="E11" i="24"/>
  <c r="D14" i="24"/>
  <c r="D11" i="24"/>
  <c r="C14" i="24"/>
  <c r="D12" i="24"/>
  <c r="C11" i="24"/>
  <c r="C7" i="24"/>
  <c r="C6" i="24"/>
  <c r="H23" i="23"/>
  <c r="D16" i="23"/>
  <c r="F23" i="23" s="1"/>
  <c r="E16" i="23"/>
  <c r="I24" i="23" s="1"/>
  <c r="F16" i="23"/>
  <c r="H25" i="23" s="1"/>
  <c r="G16" i="23"/>
  <c r="I26" i="23" s="1"/>
  <c r="H16" i="23"/>
  <c r="I6" i="26" s="1"/>
  <c r="I16" i="23"/>
  <c r="K28" i="23" s="1"/>
  <c r="J16" i="23"/>
  <c r="K29" i="23" s="1"/>
  <c r="K16" i="23"/>
  <c r="L6" i="26" s="1"/>
  <c r="L16" i="23"/>
  <c r="M6" i="26" s="1"/>
  <c r="C16" i="23"/>
  <c r="K22" i="23" s="1"/>
  <c r="C15" i="23"/>
  <c r="C3" i="24" s="1"/>
  <c r="C6" i="23"/>
  <c r="C5" i="23"/>
  <c r="C4" i="23"/>
  <c r="C12" i="22"/>
  <c r="D12" i="22"/>
  <c r="E12" i="22"/>
  <c r="F12" i="22"/>
  <c r="G12" i="22"/>
  <c r="H12" i="22"/>
  <c r="I12" i="22"/>
  <c r="J12" i="22"/>
  <c r="K12" i="22"/>
  <c r="L12" i="22"/>
  <c r="C13" i="22"/>
  <c r="D13" i="22"/>
  <c r="E13" i="22"/>
  <c r="F13" i="22"/>
  <c r="G13" i="22"/>
  <c r="H13" i="22"/>
  <c r="I13" i="22"/>
  <c r="J13" i="22"/>
  <c r="K13" i="22"/>
  <c r="L13" i="22"/>
  <c r="D11" i="22"/>
  <c r="E11" i="22"/>
  <c r="F11" i="22"/>
  <c r="G11" i="22"/>
  <c r="H11" i="22"/>
  <c r="I11" i="22"/>
  <c r="J11" i="22"/>
  <c r="K11" i="22"/>
  <c r="L11" i="22"/>
  <c r="C11" i="22"/>
  <c r="G14" i="22" l="1"/>
  <c r="F14" i="22"/>
  <c r="E14" i="22"/>
  <c r="D14" i="22"/>
  <c r="C14" i="22"/>
  <c r="H14" i="22"/>
  <c r="L14" i="22"/>
  <c r="K26" i="22"/>
  <c r="K4" i="25" s="1"/>
  <c r="J26" i="22"/>
  <c r="J4" i="25" s="1"/>
  <c r="I26" i="22"/>
  <c r="I4" i="25" s="1"/>
  <c r="L26" i="22"/>
  <c r="L4" i="25" s="1"/>
  <c r="C26" i="22"/>
  <c r="C4" i="25" s="1"/>
  <c r="E26" i="22"/>
  <c r="E4" i="25" s="1"/>
  <c r="D26" i="22"/>
  <c r="D4" i="25" s="1"/>
  <c r="G26" i="22"/>
  <c r="G4" i="25" s="1"/>
  <c r="F26" i="22"/>
  <c r="F4" i="25" s="1"/>
  <c r="K14" i="22"/>
  <c r="J14" i="22"/>
  <c r="I14" i="22"/>
  <c r="C21" i="23"/>
  <c r="C31" i="23" s="1"/>
  <c r="C17" i="23" s="1"/>
  <c r="C7" i="25" s="1"/>
  <c r="K6" i="26"/>
  <c r="G23" i="23"/>
  <c r="K24" i="23"/>
  <c r="J25" i="23"/>
  <c r="L29" i="23"/>
  <c r="J6" i="26"/>
  <c r="J24" i="23"/>
  <c r="F21" i="23"/>
  <c r="I25" i="23"/>
  <c r="E21" i="23"/>
  <c r="I27" i="23"/>
  <c r="L27" i="23"/>
  <c r="D22" i="23"/>
  <c r="K21" i="23"/>
  <c r="J22" i="23"/>
  <c r="E23" i="23"/>
  <c r="H24" i="23"/>
  <c r="H26" i="23"/>
  <c r="J27" i="23"/>
  <c r="H6" i="26"/>
  <c r="J21" i="23"/>
  <c r="I22" i="23"/>
  <c r="L23" i="23"/>
  <c r="G24" i="23"/>
  <c r="L26" i="23"/>
  <c r="J28" i="23"/>
  <c r="C6" i="26"/>
  <c r="C7" i="26" s="1"/>
  <c r="C11" i="26" s="1"/>
  <c r="G6" i="26"/>
  <c r="L22" i="23"/>
  <c r="L30" i="23"/>
  <c r="I21" i="23"/>
  <c r="H22" i="23"/>
  <c r="K23" i="23"/>
  <c r="G25" i="23"/>
  <c r="K26" i="23"/>
  <c r="L28" i="23"/>
  <c r="D6" i="26"/>
  <c r="F6" i="26"/>
  <c r="H21" i="23"/>
  <c r="G22" i="23"/>
  <c r="J23" i="23"/>
  <c r="F24" i="23"/>
  <c r="L25" i="23"/>
  <c r="J26" i="23"/>
  <c r="E6" i="26"/>
  <c r="E22" i="23"/>
  <c r="G21" i="23"/>
  <c r="F22" i="23"/>
  <c r="I23" i="23"/>
  <c r="L24" i="23"/>
  <c r="K25" i="23"/>
  <c r="L21" i="23"/>
  <c r="D21" i="23"/>
  <c r="K27" i="23"/>
  <c r="F30" i="27"/>
  <c r="M30" i="27"/>
  <c r="E30" i="27"/>
  <c r="I30" i="27"/>
  <c r="D30" i="27"/>
  <c r="H30" i="27"/>
  <c r="L30" i="27"/>
  <c r="C30" i="27"/>
  <c r="G30" i="27"/>
  <c r="K30" i="27"/>
  <c r="J30" i="27"/>
  <c r="J6" i="25" l="1"/>
  <c r="K4" i="26" s="1"/>
  <c r="C6" i="25"/>
  <c r="D4" i="26" s="1"/>
  <c r="E6" i="25"/>
  <c r="F4" i="26" s="1"/>
  <c r="K6" i="25"/>
  <c r="L4" i="26" s="1"/>
  <c r="F6" i="25"/>
  <c r="G4" i="26" s="1"/>
  <c r="G6" i="25"/>
  <c r="H4" i="26" s="1"/>
  <c r="L6" i="25"/>
  <c r="M4" i="26" s="1"/>
  <c r="I6" i="25"/>
  <c r="J4" i="26" s="1"/>
  <c r="D6" i="25"/>
  <c r="E4" i="26" s="1"/>
  <c r="H26" i="22"/>
  <c r="H4" i="25" s="1"/>
  <c r="C18" i="23"/>
  <c r="D15" i="23" s="1"/>
  <c r="G31" i="23"/>
  <c r="G17" i="23" s="1"/>
  <c r="G7" i="25" s="1"/>
  <c r="F31" i="23"/>
  <c r="F17" i="23" s="1"/>
  <c r="K31" i="23"/>
  <c r="K17" i="23" s="1"/>
  <c r="K7" i="25" s="1"/>
  <c r="H31" i="23"/>
  <c r="H17" i="23" s="1"/>
  <c r="H7" i="25" s="1"/>
  <c r="I31" i="23"/>
  <c r="I17" i="23" s="1"/>
  <c r="I7" i="25" s="1"/>
  <c r="E31" i="23"/>
  <c r="E17" i="23" s="1"/>
  <c r="E7" i="25" s="1"/>
  <c r="L31" i="23"/>
  <c r="L17" i="23" s="1"/>
  <c r="L7" i="25" s="1"/>
  <c r="J31" i="23"/>
  <c r="J17" i="23" s="1"/>
  <c r="J7" i="25" s="1"/>
  <c r="F7" i="25"/>
  <c r="C20" i="24"/>
  <c r="C21" i="24" s="1"/>
  <c r="D31" i="23"/>
  <c r="D17" i="23" s="1"/>
  <c r="D7" i="25" s="1"/>
  <c r="F8" i="25" l="1"/>
  <c r="F11" i="25" s="1"/>
  <c r="F12" i="25" s="1"/>
  <c r="G5" i="26" s="1"/>
  <c r="G7" i="26" s="1"/>
  <c r="G11" i="26" s="1"/>
  <c r="C8" i="25"/>
  <c r="C11" i="25" s="1"/>
  <c r="C12" i="25" s="1"/>
  <c r="D5" i="26" s="1"/>
  <c r="D7" i="26" s="1"/>
  <c r="D11" i="26" s="1"/>
  <c r="E8" i="28" s="1"/>
  <c r="E9" i="28" s="1"/>
  <c r="I8" i="25"/>
  <c r="I11" i="25" s="1"/>
  <c r="I12" i="25" s="1"/>
  <c r="J5" i="26" s="1"/>
  <c r="J7" i="26" s="1"/>
  <c r="J11" i="26" s="1"/>
  <c r="K8" i="28" s="1"/>
  <c r="K9" i="28" s="1"/>
  <c r="J8" i="25"/>
  <c r="J11" i="25" s="1"/>
  <c r="J12" i="25" s="1"/>
  <c r="K5" i="26" s="1"/>
  <c r="K7" i="26" s="1"/>
  <c r="K11" i="26" s="1"/>
  <c r="L8" i="28" s="1"/>
  <c r="L9" i="28" s="1"/>
  <c r="E8" i="25"/>
  <c r="E11" i="25" s="1"/>
  <c r="E12" i="25" s="1"/>
  <c r="F5" i="26" s="1"/>
  <c r="F7" i="26" s="1"/>
  <c r="F11" i="26" s="1"/>
  <c r="G8" i="28" s="1"/>
  <c r="G9" i="28" s="1"/>
  <c r="K8" i="25"/>
  <c r="K11" i="25" s="1"/>
  <c r="K12" i="25" s="1"/>
  <c r="L5" i="26" s="1"/>
  <c r="L7" i="26" s="1"/>
  <c r="L11" i="26" s="1"/>
  <c r="M8" i="28" s="1"/>
  <c r="M9" i="28" s="1"/>
  <c r="G8" i="25"/>
  <c r="G11" i="25" s="1"/>
  <c r="G12" i="25" s="1"/>
  <c r="H5" i="26" s="1"/>
  <c r="H7" i="26" s="1"/>
  <c r="H11" i="26" s="1"/>
  <c r="I8" i="28" s="1"/>
  <c r="I9" i="28" s="1"/>
  <c r="L8" i="25"/>
  <c r="L11" i="25" s="1"/>
  <c r="L12" i="25" s="1"/>
  <c r="M5" i="26" s="1"/>
  <c r="M7" i="26" s="1"/>
  <c r="M11" i="26" s="1"/>
  <c r="N8" i="28" s="1"/>
  <c r="N9" i="28" s="1"/>
  <c r="D8" i="25"/>
  <c r="D11" i="25" s="1"/>
  <c r="D12" i="25" s="1"/>
  <c r="E5" i="26" s="1"/>
  <c r="E7" i="26" s="1"/>
  <c r="E11" i="26" s="1"/>
  <c r="H6" i="25"/>
  <c r="I4" i="26" s="1"/>
  <c r="C16" i="27"/>
  <c r="C17" i="27" s="1"/>
  <c r="C19" i="27" s="1"/>
  <c r="D8" i="28"/>
  <c r="D9" i="28" s="1"/>
  <c r="J20" i="24"/>
  <c r="D18" i="23"/>
  <c r="E15" i="23" s="1"/>
  <c r="E18" i="23" s="1"/>
  <c r="F15" i="23" s="1"/>
  <c r="F18" i="23" s="1"/>
  <c r="G15" i="23" s="1"/>
  <c r="G18" i="23" s="1"/>
  <c r="H15" i="23" s="1"/>
  <c r="H18" i="23" s="1"/>
  <c r="I15" i="23" s="1"/>
  <c r="I18" i="23" s="1"/>
  <c r="J15" i="23" s="1"/>
  <c r="J18" i="23" s="1"/>
  <c r="K15" i="23" s="1"/>
  <c r="K18" i="23" s="1"/>
  <c r="L15" i="23" s="1"/>
  <c r="L18" i="23" s="1"/>
  <c r="I13" i="25"/>
  <c r="C13" i="25"/>
  <c r="K13" i="25" l="1"/>
  <c r="D20" i="24"/>
  <c r="D21" i="24" s="1"/>
  <c r="D16" i="27" s="1"/>
  <c r="D17" i="27" s="1"/>
  <c r="D19" i="27" s="1"/>
  <c r="H20" i="24"/>
  <c r="E13" i="25"/>
  <c r="F20" i="24"/>
  <c r="J13" i="25"/>
  <c r="K20" i="24"/>
  <c r="L20" i="24"/>
  <c r="L13" i="25"/>
  <c r="G13" i="25"/>
  <c r="M20" i="24"/>
  <c r="H8" i="25"/>
  <c r="H11" i="25" s="1"/>
  <c r="G20" i="24"/>
  <c r="H8" i="28"/>
  <c r="H9" i="28" s="1"/>
  <c r="D13" i="25"/>
  <c r="F8" i="28"/>
  <c r="F9" i="28" s="1"/>
  <c r="E20" i="24"/>
  <c r="F13" i="25"/>
  <c r="C20" i="27"/>
  <c r="C21" i="27" s="1"/>
  <c r="E21" i="24" l="1"/>
  <c r="E16" i="27" s="1"/>
  <c r="E17" i="27" s="1"/>
  <c r="E19" i="27" s="1"/>
  <c r="D20" i="27"/>
  <c r="D29" i="27" s="1"/>
  <c r="D31" i="27" s="1"/>
  <c r="D33" i="27" s="1"/>
  <c r="H12" i="25"/>
  <c r="I5" i="26" s="1"/>
  <c r="I7" i="26" s="1"/>
  <c r="I11" i="26" s="1"/>
  <c r="C29" i="27"/>
  <c r="C31" i="27" s="1"/>
  <c r="C33" i="27" s="1"/>
  <c r="C35" i="27" s="1"/>
  <c r="D21" i="27"/>
  <c r="E20" i="27" l="1"/>
  <c r="E21" i="27" s="1"/>
  <c r="F21" i="24"/>
  <c r="G21" i="24" s="1"/>
  <c r="H13" i="25"/>
  <c r="J8" i="28"/>
  <c r="J9" i="28" s="1"/>
  <c r="D18" i="28" s="1"/>
  <c r="E23" i="28" s="1"/>
  <c r="I20" i="24"/>
  <c r="D10" i="28"/>
  <c r="D11" i="28" s="1"/>
  <c r="D13" i="28" s="1"/>
  <c r="F16" i="27"/>
  <c r="F17" i="27" s="1"/>
  <c r="F19" i="27" s="1"/>
  <c r="E29" i="27"/>
  <c r="E31" i="27" s="1"/>
  <c r="E33" i="27" s="1"/>
  <c r="D35" i="27"/>
  <c r="E10" i="28"/>
  <c r="E11" i="28" s="1"/>
  <c r="E13" i="28" s="1"/>
  <c r="H21" i="24"/>
  <c r="G16" i="27"/>
  <c r="F20" i="27" l="1"/>
  <c r="F21" i="27" s="1"/>
  <c r="G17" i="27"/>
  <c r="G19" i="27" s="1"/>
  <c r="I21" i="24"/>
  <c r="H16" i="27"/>
  <c r="E35" i="27"/>
  <c r="F10" i="28"/>
  <c r="F11" i="28" s="1"/>
  <c r="F13" i="28" s="1"/>
  <c r="F29" i="27" l="1"/>
  <c r="F31" i="27" s="1"/>
  <c r="F33" i="27" s="1"/>
  <c r="F35" i="27" s="1"/>
  <c r="G20" i="27"/>
  <c r="G29" i="27" s="1"/>
  <c r="G31" i="27" s="1"/>
  <c r="G33" i="27" s="1"/>
  <c r="H17" i="27"/>
  <c r="H19" i="27" s="1"/>
  <c r="J21" i="24"/>
  <c r="I16" i="27"/>
  <c r="I17" i="27" s="1"/>
  <c r="G10" i="28" l="1"/>
  <c r="G11" i="28" s="1"/>
  <c r="G13" i="28" s="1"/>
  <c r="G21" i="27"/>
  <c r="H20" i="27"/>
  <c r="H21" i="27" s="1"/>
  <c r="G35" i="27"/>
  <c r="H10" i="28"/>
  <c r="H11" i="28" s="1"/>
  <c r="H13" i="28" s="1"/>
  <c r="I20" i="27"/>
  <c r="I19" i="27"/>
  <c r="K21" i="24"/>
  <c r="J16" i="27"/>
  <c r="H29" i="27" l="1"/>
  <c r="H31" i="27" s="1"/>
  <c r="H33" i="27" s="1"/>
  <c r="I10" i="28" s="1"/>
  <c r="I11" i="28" s="1"/>
  <c r="I13" i="28" s="1"/>
  <c r="L21" i="24"/>
  <c r="K16" i="27"/>
  <c r="K17" i="27" s="1"/>
  <c r="I29" i="27"/>
  <c r="I31" i="27" s="1"/>
  <c r="I33" i="27" s="1"/>
  <c r="I21" i="27"/>
  <c r="J17" i="27"/>
  <c r="J19" i="27" s="1"/>
  <c r="H35" i="27" l="1"/>
  <c r="J20" i="27"/>
  <c r="J29" i="27" s="1"/>
  <c r="J31" i="27" s="1"/>
  <c r="J33" i="27" s="1"/>
  <c r="K10" i="28" s="1"/>
  <c r="K11" i="28" s="1"/>
  <c r="K13" i="28" s="1"/>
  <c r="I35" i="27"/>
  <c r="J10" i="28"/>
  <c r="J11" i="28" s="1"/>
  <c r="J13" i="28" s="1"/>
  <c r="K20" i="27"/>
  <c r="K19" i="27"/>
  <c r="M21" i="24"/>
  <c r="M16" i="27" s="1"/>
  <c r="L16" i="27"/>
  <c r="L17" i="27" s="1"/>
  <c r="J21" i="27" l="1"/>
  <c r="J35" i="27"/>
  <c r="M17" i="27"/>
  <c r="M19" i="27" s="1"/>
  <c r="K29" i="27"/>
  <c r="K31" i="27" s="1"/>
  <c r="K33" i="27" s="1"/>
  <c r="K21" i="27"/>
  <c r="L20" i="27"/>
  <c r="L19" i="27"/>
  <c r="M20" i="27" l="1"/>
  <c r="M29" i="27" s="1"/>
  <c r="M31" i="27" s="1"/>
  <c r="M33" i="27" s="1"/>
  <c r="M21" i="27"/>
  <c r="L21" i="27"/>
  <c r="L29" i="27"/>
  <c r="L31" i="27" s="1"/>
  <c r="L33" i="27" s="1"/>
  <c r="K35" i="27"/>
  <c r="L10" i="28"/>
  <c r="L11" i="28" s="1"/>
  <c r="L13" i="28" s="1"/>
  <c r="M35" i="27" l="1"/>
  <c r="N10" i="28"/>
  <c r="L35" i="27"/>
  <c r="M10" i="28"/>
  <c r="M11" i="28" s="1"/>
  <c r="M13" i="28" s="1"/>
  <c r="N11" i="28" l="1"/>
  <c r="N13" i="28" l="1"/>
  <c r="D16" i="28" s="1"/>
</calcChain>
</file>

<file path=xl/sharedStrings.xml><?xml version="1.0" encoding="utf-8"?>
<sst xmlns="http://schemas.openxmlformats.org/spreadsheetml/2006/main" count="184" uniqueCount="119">
  <si>
    <t>Base case</t>
  </si>
  <si>
    <t>Best case</t>
  </si>
  <si>
    <t>Worst case</t>
  </si>
  <si>
    <t>Expected long-term inflation Italy</t>
  </si>
  <si>
    <t>Estimated initial investment (in EUR)</t>
  </si>
  <si>
    <t>Useful life (years)</t>
  </si>
  <si>
    <t>Selected case</t>
  </si>
  <si>
    <t>Drivers</t>
  </si>
  <si>
    <t xml:space="preserve"> </t>
  </si>
  <si>
    <t>Financing facilities</t>
  </si>
  <si>
    <t>Inflation</t>
  </si>
  <si>
    <t>Interest rate Senior Facility</t>
  </si>
  <si>
    <t>Tax rate</t>
  </si>
  <si>
    <t>10 years</t>
  </si>
  <si>
    <t>Repay Senior Facility in</t>
  </si>
  <si>
    <t>Residual value of the project</t>
  </si>
  <si>
    <t>Input --&gt;</t>
  </si>
  <si>
    <t>Repayment %</t>
  </si>
  <si>
    <t>Comparable companies</t>
  </si>
  <si>
    <t>Company A</t>
  </si>
  <si>
    <t>Beta</t>
  </si>
  <si>
    <t>Company B</t>
  </si>
  <si>
    <t>Company C</t>
  </si>
  <si>
    <t>Leverage (D/E)</t>
  </si>
  <si>
    <t>Price per MWh (EUR)</t>
  </si>
  <si>
    <t>Senior Facility (million EUR)</t>
  </si>
  <si>
    <t>Repayment schedule</t>
  </si>
  <si>
    <t>Company X beta</t>
  </si>
  <si>
    <t>Market risk premium</t>
  </si>
  <si>
    <t>Risk-free rate</t>
  </si>
  <si>
    <t>Installed capacity (MW)</t>
  </si>
  <si>
    <t>Capacity factor</t>
  </si>
  <si>
    <t>Hours per day</t>
  </si>
  <si>
    <t>Days in one year</t>
  </si>
  <si>
    <t>Capex after year 1</t>
  </si>
  <si>
    <t>Opex as a % of Revenue</t>
  </si>
  <si>
    <t>Create a capital budgeting model that uses the inputs listed below. Calculate the project's feasibility in terms of NPV, IRR, and perform a sensitivity analysis.</t>
  </si>
  <si>
    <t>Workings --&gt;</t>
  </si>
  <si>
    <t>Energy Output Forecast</t>
  </si>
  <si>
    <t>Energy Output</t>
  </si>
  <si>
    <t>Revenue (Eur)</t>
  </si>
  <si>
    <t>Fixed asset roll-forward</t>
  </si>
  <si>
    <t>Investment plan</t>
  </si>
  <si>
    <t>Year 1</t>
  </si>
  <si>
    <t>in EUR</t>
  </si>
  <si>
    <t>Beginning PP&amp;E</t>
  </si>
  <si>
    <t>Capex</t>
  </si>
  <si>
    <t>D&amp;A</t>
  </si>
  <si>
    <t>Ending PP&amp;E</t>
  </si>
  <si>
    <t>D&amp;A schedule (in EUR)</t>
  </si>
  <si>
    <t>Capex Year 1</t>
  </si>
  <si>
    <t>Capex Year 2</t>
  </si>
  <si>
    <t>Capex Year 3</t>
  </si>
  <si>
    <t>Capex Year 4</t>
  </si>
  <si>
    <t>Capex Year 5</t>
  </si>
  <si>
    <t>Capex Year 6</t>
  </si>
  <si>
    <t>Capex Year 7</t>
  </si>
  <si>
    <t>Capex Year 8</t>
  </si>
  <si>
    <t>Capex Year 9</t>
  </si>
  <si>
    <t>Capex Year 10</t>
  </si>
  <si>
    <t>Financing</t>
  </si>
  <si>
    <t>Investment in Year 0</t>
  </si>
  <si>
    <t>Debt Facility (million EUR)</t>
  </si>
  <si>
    <t>Interest rate Debt Facility</t>
  </si>
  <si>
    <t>Repay Debt Facility in</t>
  </si>
  <si>
    <t>Beginning Debt</t>
  </si>
  <si>
    <t>Repayment</t>
  </si>
  <si>
    <t>Ending Debt</t>
  </si>
  <si>
    <t>Interest expense</t>
  </si>
  <si>
    <t>Net Cash Flow</t>
  </si>
  <si>
    <t>Equity financing</t>
  </si>
  <si>
    <t>P&amp;L</t>
  </si>
  <si>
    <t>Savings (EBITDA)</t>
  </si>
  <si>
    <t>EBIT</t>
  </si>
  <si>
    <t>Interest expenses</t>
  </si>
  <si>
    <t>Covenants</t>
  </si>
  <si>
    <t>EBT</t>
  </si>
  <si>
    <t>Taxes</t>
  </si>
  <si>
    <t>Net Income</t>
  </si>
  <si>
    <t>Gross Profit</t>
  </si>
  <si>
    <t>Operating Expense</t>
  </si>
  <si>
    <t>Worst Case</t>
  </si>
  <si>
    <t>Base Case</t>
  </si>
  <si>
    <t>Best Case</t>
  </si>
  <si>
    <t>Selected Case</t>
  </si>
  <si>
    <t>OPEX</t>
  </si>
  <si>
    <t>Cash Flow</t>
  </si>
  <si>
    <t>Residual Value</t>
  </si>
  <si>
    <t>Savings per unit (EBITDA)</t>
  </si>
  <si>
    <t xml:space="preserve">Operating Cash Flow </t>
  </si>
  <si>
    <t>Debt repayment</t>
  </si>
  <si>
    <t>Covenant penalty</t>
  </si>
  <si>
    <t>WACC</t>
  </si>
  <si>
    <t>Cost of debt</t>
  </si>
  <si>
    <t>Market risk premium in Vietnam</t>
  </si>
  <si>
    <t>Debt financing</t>
  </si>
  <si>
    <t>Total financing</t>
  </si>
  <si>
    <t>Debt financing %</t>
  </si>
  <si>
    <t>Equity financing %</t>
  </si>
  <si>
    <t>Total financing %</t>
  </si>
  <si>
    <t>Comparable companies:</t>
  </si>
  <si>
    <t>Average leverage</t>
  </si>
  <si>
    <t>Average beta</t>
  </si>
  <si>
    <t>Project beta:</t>
  </si>
  <si>
    <t>Debt / Equity</t>
  </si>
  <si>
    <t>Beta unlevered</t>
  </si>
  <si>
    <t>Cost of equity</t>
  </si>
  <si>
    <t>Discounted Cash Flows</t>
  </si>
  <si>
    <t>Discounted Cash Flow</t>
  </si>
  <si>
    <t>Present Value Residual Value</t>
  </si>
  <si>
    <t>Discounted Cash Flow with Residual Value</t>
  </si>
  <si>
    <t>Sum of Discounted Cash Flows (NPV)</t>
  </si>
  <si>
    <t>Net Cash Flow + Residual Value</t>
  </si>
  <si>
    <t>IRR</t>
  </si>
  <si>
    <t>Sensitivity analysis</t>
  </si>
  <si>
    <t xml:space="preserve">Risk-free </t>
  </si>
  <si>
    <t>Price per MWh</t>
  </si>
  <si>
    <t>(Assumed)</t>
  </si>
  <si>
    <t>(The Residual value is only added to the end of the forecast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</si>
</sst>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-[$$-409]* #,##0.00_ ;_-[$$-409]* \-#,##0.00\ ;_-[$$-409]* &quot;-&quot;??_ ;_-@_ "/>
    <numFmt numFmtId="168" formatCode="0.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Times New Roman"/>
      <family val="1"/>
    </font>
    <font>
      <b/>
      <sz val="36"/>
      <color rgb="FF002060"/>
      <name val="Arial"/>
      <family val="2"/>
      <charset val="204"/>
    </font>
    <font>
      <sz val="36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28"/>
      <color rgb="FF002060"/>
      <name val="Arial"/>
      <family val="2"/>
      <charset val="204"/>
    </font>
    <font>
      <b/>
      <sz val="48"/>
      <color rgb="FF002060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48"/>
      <color rgb="FF00206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4" fillId="2" borderId="0" xfId="0" applyFont="1" applyFill="1"/>
    <xf numFmtId="165" fontId="3" fillId="2" borderId="0" xfId="1" applyNumberFormat="1" applyFont="1" applyFill="1"/>
    <xf numFmtId="0" fontId="7" fillId="3" borderId="0" xfId="0" applyFont="1" applyFill="1"/>
    <xf numFmtId="0" fontId="6" fillId="2" borderId="0" xfId="0" applyFont="1" applyFill="1" applyBorder="1"/>
    <xf numFmtId="165" fontId="3" fillId="2" borderId="0" xfId="1" applyNumberFormat="1" applyFont="1" applyFill="1" applyBorder="1"/>
    <xf numFmtId="9" fontId="3" fillId="2" borderId="0" xfId="0" applyNumberFormat="1" applyFont="1" applyFill="1" applyAlignment="1">
      <alignment horizontal="right"/>
    </xf>
    <xf numFmtId="9" fontId="3" fillId="2" borderId="0" xfId="2" applyFont="1" applyFill="1" applyBorder="1"/>
    <xf numFmtId="0" fontId="6" fillId="2" borderId="1" xfId="0" applyFont="1" applyFill="1" applyBorder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3" fillId="2" borderId="0" xfId="0" applyFont="1" applyFill="1"/>
    <xf numFmtId="9" fontId="3" fillId="2" borderId="0" xfId="0" applyNumberFormat="1" applyFont="1" applyFill="1"/>
    <xf numFmtId="0" fontId="6" fillId="2" borderId="1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2" fillId="2" borderId="0" xfId="0" applyFont="1" applyFill="1" applyBorder="1"/>
    <xf numFmtId="2" fontId="3" fillId="2" borderId="0" xfId="0" applyNumberFormat="1" applyFont="1" applyFill="1"/>
    <xf numFmtId="166" fontId="3" fillId="2" borderId="0" xfId="0" applyNumberFormat="1" applyFont="1" applyFill="1"/>
    <xf numFmtId="9" fontId="3" fillId="2" borderId="0" xfId="2" applyFont="1" applyFill="1"/>
    <xf numFmtId="0" fontId="0" fillId="2" borderId="0" xfId="0" applyFill="1"/>
    <xf numFmtId="0" fontId="12" fillId="3" borderId="0" xfId="0" applyFont="1" applyFill="1"/>
    <xf numFmtId="0" fontId="11" fillId="3" borderId="0" xfId="0" applyFont="1" applyFill="1"/>
    <xf numFmtId="0" fontId="5" fillId="2" borderId="2" xfId="0" applyFont="1" applyFill="1" applyBorder="1"/>
    <xf numFmtId="165" fontId="5" fillId="2" borderId="2" xfId="1" applyNumberFormat="1" applyFont="1" applyFill="1" applyBorder="1"/>
    <xf numFmtId="165" fontId="0" fillId="2" borderId="0" xfId="1" applyNumberFormat="1" applyFont="1" applyFill="1"/>
    <xf numFmtId="0" fontId="13" fillId="2" borderId="0" xfId="0" applyFont="1" applyFill="1"/>
    <xf numFmtId="0" fontId="14" fillId="2" borderId="0" xfId="0" applyFont="1" applyFill="1"/>
    <xf numFmtId="9" fontId="0" fillId="2" borderId="0" xfId="0" applyNumberFormat="1" applyFill="1"/>
    <xf numFmtId="165" fontId="3" fillId="2" borderId="0" xfId="0" applyNumberFormat="1" applyFont="1" applyFill="1"/>
    <xf numFmtId="0" fontId="6" fillId="2" borderId="3" xfId="0" applyFont="1" applyFill="1" applyBorder="1"/>
    <xf numFmtId="165" fontId="6" fillId="2" borderId="3" xfId="0" applyNumberFormat="1" applyFont="1" applyFill="1" applyBorder="1"/>
    <xf numFmtId="0" fontId="1" fillId="2" borderId="0" xfId="0" applyFont="1" applyFill="1"/>
    <xf numFmtId="165" fontId="7" fillId="3" borderId="0" xfId="1" applyNumberFormat="1" applyFont="1" applyFill="1" applyBorder="1"/>
    <xf numFmtId="0" fontId="5" fillId="2" borderId="4" xfId="0" applyFont="1" applyFill="1" applyBorder="1"/>
    <xf numFmtId="0" fontId="15" fillId="2" borderId="4" xfId="0" applyFont="1" applyFill="1" applyBorder="1"/>
    <xf numFmtId="165" fontId="5" fillId="2" borderId="2" xfId="1" applyNumberFormat="1" applyFont="1" applyFill="1" applyBorder="1" applyAlignment="1">
      <alignment horizontal="right" vertical="top"/>
    </xf>
    <xf numFmtId="165" fontId="5" fillId="2" borderId="0" xfId="1" applyNumberFormat="1" applyFont="1" applyFill="1" applyBorder="1"/>
    <xf numFmtId="0" fontId="16" fillId="2" borderId="0" xfId="0" applyFont="1" applyFill="1"/>
    <xf numFmtId="0" fontId="17" fillId="2" borderId="0" xfId="0" applyFont="1" applyFill="1"/>
    <xf numFmtId="165" fontId="5" fillId="2" borderId="2" xfId="0" applyNumberFormat="1" applyFont="1" applyFill="1" applyBorder="1"/>
    <xf numFmtId="0" fontId="18" fillId="2" borderId="0" xfId="0" applyFont="1" applyFill="1" applyBorder="1"/>
    <xf numFmtId="0" fontId="19" fillId="2" borderId="0" xfId="0" applyFont="1" applyFill="1"/>
    <xf numFmtId="165" fontId="19" fillId="2" borderId="0" xfId="1" applyNumberFormat="1" applyFont="1" applyFill="1" applyBorder="1"/>
    <xf numFmtId="0" fontId="18" fillId="2" borderId="4" xfId="0" applyFont="1" applyFill="1" applyBorder="1"/>
    <xf numFmtId="167" fontId="6" fillId="2" borderId="0" xfId="0" applyNumberFormat="1" applyFont="1" applyFill="1" applyBorder="1"/>
    <xf numFmtId="0" fontId="0" fillId="4" borderId="0" xfId="0" applyFill="1"/>
    <xf numFmtId="0" fontId="10" fillId="4" borderId="0" xfId="0" applyFont="1" applyFill="1"/>
    <xf numFmtId="9" fontId="0" fillId="4" borderId="0" xfId="0" applyNumberFormat="1" applyFill="1"/>
    <xf numFmtId="9" fontId="0" fillId="4" borderId="0" xfId="2" applyFont="1" applyFill="1"/>
    <xf numFmtId="165" fontId="3" fillId="2" borderId="4" xfId="1" applyNumberFormat="1" applyFont="1" applyFill="1" applyBorder="1"/>
    <xf numFmtId="0" fontId="6" fillId="2" borderId="0" xfId="0" applyFont="1" applyFill="1"/>
    <xf numFmtId="164" fontId="3" fillId="2" borderId="0" xfId="1" applyFont="1" applyFill="1"/>
    <xf numFmtId="166" fontId="3" fillId="2" borderId="0" xfId="2" applyNumberFormat="1" applyFont="1" applyFill="1"/>
    <xf numFmtId="166" fontId="5" fillId="2" borderId="2" xfId="2" applyNumberFormat="1" applyFont="1" applyFill="1" applyBorder="1"/>
    <xf numFmtId="164" fontId="3" fillId="2" borderId="0" xfId="0" applyNumberFormat="1" applyFont="1" applyFill="1"/>
    <xf numFmtId="164" fontId="5" fillId="2" borderId="2" xfId="1" applyFont="1" applyFill="1" applyBorder="1"/>
    <xf numFmtId="0" fontId="5" fillId="2" borderId="0" xfId="0" applyFont="1" applyFill="1"/>
    <xf numFmtId="166" fontId="5" fillId="2" borderId="0" xfId="2" applyNumberFormat="1" applyFont="1" applyFill="1"/>
    <xf numFmtId="166" fontId="6" fillId="2" borderId="3" xfId="2" applyNumberFormat="1" applyFont="1" applyFill="1" applyBorder="1"/>
    <xf numFmtId="0" fontId="20" fillId="2" borderId="0" xfId="0" applyFont="1" applyFill="1"/>
    <xf numFmtId="166" fontId="3" fillId="2" borderId="0" xfId="2" applyNumberFormat="1" applyFont="1" applyFill="1" applyBorder="1"/>
    <xf numFmtId="165" fontId="3" fillId="2" borderId="0" xfId="1" applyNumberFormat="1" applyFont="1" applyFill="1" applyBorder="1" applyAlignment="1">
      <alignment horizontal="left"/>
    </xf>
    <xf numFmtId="165" fontId="3" fillId="2" borderId="2" xfId="1" applyNumberFormat="1" applyFont="1" applyFill="1" applyBorder="1"/>
    <xf numFmtId="10" fontId="3" fillId="2" borderId="0" xfId="1" applyNumberFormat="1" applyFont="1" applyFill="1" applyBorder="1"/>
    <xf numFmtId="0" fontId="7" fillId="2" borderId="0" xfId="0" applyFont="1" applyFill="1"/>
    <xf numFmtId="0" fontId="0" fillId="2" borderId="0" xfId="0" applyFill="1"/>
    <xf numFmtId="0" fontId="5" fillId="2" borderId="0" xfId="0" applyFont="1" applyFill="1" applyBorder="1"/>
    <xf numFmtId="0" fontId="0" fillId="2" borderId="0" xfId="0" applyFill="1"/>
    <xf numFmtId="0" fontId="3" fillId="2" borderId="0" xfId="0" applyFont="1" applyFill="1"/>
    <xf numFmtId="165" fontId="3" fillId="2" borderId="0" xfId="3" applyNumberFormat="1" applyFont="1" applyFill="1"/>
    <xf numFmtId="0" fontId="6" fillId="2" borderId="1" xfId="0" applyFont="1" applyFill="1" applyBorder="1"/>
    <xf numFmtId="0" fontId="5" fillId="2" borderId="2" xfId="0" applyFont="1" applyFill="1" applyBorder="1"/>
    <xf numFmtId="165" fontId="5" fillId="2" borderId="2" xfId="3" applyNumberFormat="1" applyFont="1" applyFill="1" applyBorder="1"/>
    <xf numFmtId="165" fontId="5" fillId="2" borderId="0" xfId="3" applyNumberFormat="1" applyFont="1" applyFill="1" applyBorder="1"/>
    <xf numFmtId="0" fontId="5" fillId="2" borderId="0" xfId="0" applyFont="1" applyFill="1" applyBorder="1"/>
    <xf numFmtId="168" fontId="7" fillId="3" borderId="0" xfId="2" applyNumberFormat="1" applyFont="1" applyFill="1" applyAlignment="1">
      <alignment horizontal="center"/>
    </xf>
    <xf numFmtId="0" fontId="6" fillId="2" borderId="4" xfId="0" applyFont="1" applyFill="1" applyBorder="1"/>
  </cellXfs>
  <cellStyles count="4">
    <cellStyle name="Comma" xfId="1" builtinId="3"/>
    <cellStyle name="Comma 2" xfId="3" xr:uid="{46D69402-B68E-4207-AF43-C704E71D9A63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523874</xdr:colOff>
      <xdr:row>10</xdr:row>
      <xdr:rowOff>152400</xdr:rowOff>
    </xdr:from>
    <xdr:to>
      <xdr:col>13</xdr:col>
      <xdr:colOff>409575</xdr:colOff>
      <xdr:row>14</xdr:row>
      <xdr:rowOff>66676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45155CB-06A2-4496-A6E7-B2D8B0D1EA8A}"/>
            </a:ext>
          </a:extLst>
        </xdr:cNvPr>
        <xdr:cNvSpPr/>
      </xdr:nvSpPr>
      <xdr:spPr>
        <a:xfrm>
          <a:off x="3838574" y="1990725"/>
          <a:ext cx="6096001" cy="638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Installed capacity (MW) x Capacity factor x Days in the year x Hours per day = Energy output (MWh)</a:t>
          </a:r>
          <a:endParaRPr lang="en-US" sz="11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TFS%201/hEEM/eDu/MITA/The%20Complete%20Financial%20Analyst%20Course/42.%20Capital%20Budgeting%20-%20A%20Complete%20Case%20Study/12.4%2010.%20Sensitivity%20analysis_unsolved.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--&gt;"/>
      <sheetName val="Drivers"/>
      <sheetName val="Workings --&gt;"/>
      <sheetName val="Savings forecast"/>
      <sheetName val="Fixed asset roll-forward"/>
      <sheetName val="Working capital"/>
      <sheetName val="Financing"/>
      <sheetName val="P&amp;L"/>
      <sheetName val="Cash Flow"/>
      <sheetName val="WACC"/>
      <sheetName val="Output --&gt;"/>
      <sheetName val="Discounted Cash Flows"/>
    </sheetNames>
    <sheetDataSet>
      <sheetData sheetId="0"/>
      <sheetData sheetId="1"/>
      <sheetData sheetId="2"/>
      <sheetData sheetId="3"/>
      <sheetData sheetId="4"/>
      <sheetData sheetId="5"/>
      <sheetData sheetId="6"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17"/>
  <sheetViews>
    <sheetView workbookViewId="0">
      <selection activeCell="J40" sqref="J40"/>
    </sheetView>
  </sheetViews>
  <sheetFormatPr defaultColWidth="9.109375" defaultRowHeight="11.4" x14ac:dyDescent="0.2"/>
  <cols>
    <col min="1" max="1" width="2" style="10" customWidth="1"/>
    <col min="2" max="16384" width="9.109375" style="10"/>
  </cols>
  <sheetData>
    <row r="17" spans="2:2" ht="50.4" x14ac:dyDescent="0.85">
      <c r="B17" s="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59"/>
  <sheetViews>
    <sheetView workbookViewId="0">
      <selection activeCell="B11" sqref="B11"/>
    </sheetView>
  </sheetViews>
  <sheetFormatPr defaultColWidth="9.109375" defaultRowHeight="11.4" x14ac:dyDescent="0.2"/>
  <cols>
    <col min="1" max="1" width="2" style="12" customWidth="1"/>
    <col min="2" max="2" width="35.6640625" style="12" bestFit="1" customWidth="1"/>
    <col min="3" max="3" width="12" style="12" bestFit="1" customWidth="1"/>
    <col min="4" max="4" width="10.88671875" style="12" customWidth="1"/>
    <col min="5" max="16384" width="9.109375" style="12"/>
  </cols>
  <sheetData>
    <row r="1" spans="2:3" s="11" customFormat="1" ht="15.6" x14ac:dyDescent="0.3">
      <c r="B1" s="1" t="s">
        <v>7</v>
      </c>
    </row>
    <row r="2" spans="2:3" s="11" customFormat="1" ht="13.8" x14ac:dyDescent="0.25"/>
    <row r="3" spans="2:3" s="11" customFormat="1" ht="13.8" x14ac:dyDescent="0.25">
      <c r="B3" s="12" t="s">
        <v>36</v>
      </c>
    </row>
    <row r="4" spans="2:3" s="11" customFormat="1" ht="13.8" x14ac:dyDescent="0.25"/>
    <row r="5" spans="2:3" s="11" customFormat="1" ht="13.8" x14ac:dyDescent="0.25">
      <c r="B5" s="12" t="s">
        <v>6</v>
      </c>
      <c r="C5" s="3">
        <v>1</v>
      </c>
    </row>
    <row r="6" spans="2:3" s="11" customFormat="1" ht="13.8" x14ac:dyDescent="0.25"/>
    <row r="7" spans="2:3" s="11" customFormat="1" ht="14.4" thickBot="1" x14ac:dyDescent="0.3">
      <c r="B7" s="14" t="s">
        <v>30</v>
      </c>
      <c r="C7" s="14"/>
    </row>
    <row r="8" spans="2:3" s="11" customFormat="1" ht="13.8" x14ac:dyDescent="0.25">
      <c r="B8" s="12" t="s">
        <v>1</v>
      </c>
      <c r="C8" s="12">
        <v>220</v>
      </c>
    </row>
    <row r="9" spans="2:3" s="11" customFormat="1" ht="13.8" x14ac:dyDescent="0.25">
      <c r="B9" s="12" t="s">
        <v>0</v>
      </c>
      <c r="C9" s="12">
        <v>200</v>
      </c>
    </row>
    <row r="10" spans="2:3" s="11" customFormat="1" ht="13.8" x14ac:dyDescent="0.25">
      <c r="B10" s="12" t="s">
        <v>2</v>
      </c>
      <c r="C10" s="12">
        <v>180</v>
      </c>
    </row>
    <row r="11" spans="2:3" s="11" customFormat="1" ht="13.8" x14ac:dyDescent="0.25">
      <c r="B11" s="12"/>
      <c r="C11" s="12"/>
    </row>
    <row r="12" spans="2:3" s="11" customFormat="1" ht="13.8" x14ac:dyDescent="0.25">
      <c r="B12" s="12" t="s">
        <v>31</v>
      </c>
      <c r="C12" s="20">
        <v>0.25</v>
      </c>
    </row>
    <row r="13" spans="2:3" s="11" customFormat="1" ht="13.8" x14ac:dyDescent="0.25">
      <c r="B13" s="12" t="s">
        <v>33</v>
      </c>
      <c r="C13" s="12">
        <v>365</v>
      </c>
    </row>
    <row r="14" spans="2:3" s="11" customFormat="1" ht="13.8" x14ac:dyDescent="0.25">
      <c r="B14" s="12" t="s">
        <v>32</v>
      </c>
      <c r="C14" s="12">
        <v>24</v>
      </c>
    </row>
    <row r="15" spans="2:3" s="11" customFormat="1" ht="13.8" x14ac:dyDescent="0.25"/>
    <row r="16" spans="2:3" s="11" customFormat="1" ht="14.4" thickBot="1" x14ac:dyDescent="0.3">
      <c r="B16" s="14" t="s">
        <v>10</v>
      </c>
      <c r="C16" s="14"/>
    </row>
    <row r="17" spans="2:7" s="11" customFormat="1" ht="13.8" x14ac:dyDescent="0.25">
      <c r="B17" s="12" t="s">
        <v>3</v>
      </c>
      <c r="C17" s="13">
        <v>0.01</v>
      </c>
    </row>
    <row r="18" spans="2:7" s="11" customFormat="1" ht="13.8" x14ac:dyDescent="0.25"/>
    <row r="19" spans="2:7" s="11" customFormat="1" ht="14.4" thickBot="1" x14ac:dyDescent="0.3">
      <c r="B19" s="14" t="s">
        <v>24</v>
      </c>
      <c r="C19" s="14"/>
      <c r="F19" s="4" t="s">
        <v>8</v>
      </c>
      <c r="G19" s="4"/>
    </row>
    <row r="20" spans="2:7" s="11" customFormat="1" ht="13.8" x14ac:dyDescent="0.25">
      <c r="B20" s="12" t="s">
        <v>1</v>
      </c>
      <c r="C20" s="2">
        <v>220</v>
      </c>
      <c r="F20" s="15"/>
      <c r="G20" s="5"/>
    </row>
    <row r="21" spans="2:7" s="11" customFormat="1" ht="13.8" x14ac:dyDescent="0.25">
      <c r="B21" s="12" t="s">
        <v>0</v>
      </c>
      <c r="C21" s="2">
        <v>210</v>
      </c>
      <c r="F21" s="15"/>
      <c r="G21" s="5"/>
    </row>
    <row r="22" spans="2:7" s="11" customFormat="1" ht="13.8" x14ac:dyDescent="0.25">
      <c r="B22" s="12" t="s">
        <v>2</v>
      </c>
      <c r="C22" s="2">
        <v>200</v>
      </c>
      <c r="F22" s="15"/>
      <c r="G22" s="5"/>
    </row>
    <row r="23" spans="2:7" s="11" customFormat="1" ht="13.8" x14ac:dyDescent="0.25">
      <c r="F23" s="15"/>
      <c r="G23" s="5"/>
    </row>
    <row r="24" spans="2:7" s="11" customFormat="1" ht="14.4" thickBot="1" x14ac:dyDescent="0.3">
      <c r="B24" s="14" t="s">
        <v>35</v>
      </c>
      <c r="C24" s="14"/>
      <c r="F24" s="15"/>
      <c r="G24" s="5"/>
    </row>
    <row r="25" spans="2:7" s="11" customFormat="1" ht="13.8" x14ac:dyDescent="0.25">
      <c r="B25" s="12" t="s">
        <v>1</v>
      </c>
      <c r="C25" s="13">
        <v>-0.15</v>
      </c>
      <c r="F25" s="15"/>
      <c r="G25" s="5"/>
    </row>
    <row r="26" spans="2:7" s="11" customFormat="1" ht="13.8" x14ac:dyDescent="0.25">
      <c r="B26" s="12" t="s">
        <v>0</v>
      </c>
      <c r="C26" s="13">
        <v>-0.16</v>
      </c>
      <c r="F26" s="15"/>
      <c r="G26" s="5"/>
    </row>
    <row r="27" spans="2:7" s="11" customFormat="1" ht="13.8" x14ac:dyDescent="0.25">
      <c r="B27" s="12" t="s">
        <v>2</v>
      </c>
      <c r="C27" s="13">
        <v>0.17</v>
      </c>
      <c r="F27" s="15"/>
      <c r="G27" s="5"/>
    </row>
    <row r="28" spans="2:7" s="11" customFormat="1" ht="13.8" x14ac:dyDescent="0.25">
      <c r="F28" s="15"/>
      <c r="G28" s="5"/>
    </row>
    <row r="29" spans="2:7" s="11" customFormat="1" ht="13.8" x14ac:dyDescent="0.25">
      <c r="F29" s="15"/>
      <c r="G29" s="5"/>
    </row>
    <row r="30" spans="2:7" s="11" customFormat="1" ht="13.8" x14ac:dyDescent="0.25">
      <c r="F30" s="15"/>
      <c r="G30" s="5"/>
    </row>
    <row r="31" spans="2:7" s="17" customFormat="1" ht="14.4" thickBot="1" x14ac:dyDescent="0.3">
      <c r="B31" s="14" t="s">
        <v>4</v>
      </c>
      <c r="C31" s="14"/>
    </row>
    <row r="32" spans="2:7" s="11" customFormat="1" ht="13.8" x14ac:dyDescent="0.25">
      <c r="B32" s="12" t="s">
        <v>1</v>
      </c>
      <c r="C32" s="2">
        <v>500000000</v>
      </c>
    </row>
    <row r="33" spans="2:15" x14ac:dyDescent="0.2">
      <c r="B33" s="12" t="s">
        <v>0</v>
      </c>
      <c r="C33" s="2">
        <v>510000000</v>
      </c>
    </row>
    <row r="34" spans="2:15" x14ac:dyDescent="0.2">
      <c r="B34" s="12" t="s">
        <v>2</v>
      </c>
      <c r="C34" s="2">
        <v>520000000</v>
      </c>
    </row>
    <row r="36" spans="2:15" x14ac:dyDescent="0.2">
      <c r="B36" s="12" t="s">
        <v>5</v>
      </c>
      <c r="C36" s="2">
        <v>10</v>
      </c>
    </row>
    <row r="37" spans="2:15" x14ac:dyDescent="0.2">
      <c r="B37" s="12" t="s">
        <v>34</v>
      </c>
      <c r="C37" s="13">
        <v>0.03</v>
      </c>
    </row>
    <row r="38" spans="2:15" ht="12" x14ac:dyDescent="0.25">
      <c r="B38" s="16"/>
      <c r="C38" s="16"/>
    </row>
    <row r="39" spans="2:15" ht="12.6" thickBot="1" x14ac:dyDescent="0.3">
      <c r="B39" s="14" t="s">
        <v>9</v>
      </c>
      <c r="C39" s="14"/>
    </row>
    <row r="40" spans="2:15" x14ac:dyDescent="0.2">
      <c r="B40" s="12" t="s">
        <v>25</v>
      </c>
      <c r="C40" s="2">
        <v>300000000</v>
      </c>
    </row>
    <row r="41" spans="2:15" x14ac:dyDescent="0.2">
      <c r="B41" s="12" t="s">
        <v>11</v>
      </c>
      <c r="C41" s="13">
        <v>0.04</v>
      </c>
    </row>
    <row r="42" spans="2:15" x14ac:dyDescent="0.2">
      <c r="B42" s="12" t="s">
        <v>14</v>
      </c>
      <c r="C42" s="6" t="s">
        <v>13</v>
      </c>
    </row>
    <row r="43" spans="2:15" x14ac:dyDescent="0.2">
      <c r="C43" s="13"/>
    </row>
    <row r="44" spans="2:15" ht="12.6" thickBot="1" x14ac:dyDescent="0.3">
      <c r="B44" s="14" t="s">
        <v>26</v>
      </c>
      <c r="C44" s="14">
        <v>0</v>
      </c>
      <c r="D44" s="14">
        <v>1</v>
      </c>
      <c r="E44" s="14">
        <v>2</v>
      </c>
      <c r="F44" s="14">
        <v>3</v>
      </c>
      <c r="G44" s="14">
        <v>4</v>
      </c>
      <c r="H44" s="14">
        <v>5</v>
      </c>
      <c r="I44" s="14">
        <v>6</v>
      </c>
      <c r="J44" s="14">
        <v>7</v>
      </c>
      <c r="K44" s="14">
        <v>8</v>
      </c>
      <c r="L44" s="14">
        <v>9</v>
      </c>
      <c r="M44" s="14">
        <v>10</v>
      </c>
      <c r="N44" s="14">
        <v>11</v>
      </c>
      <c r="O44" s="14">
        <v>12</v>
      </c>
    </row>
    <row r="45" spans="2:15" x14ac:dyDescent="0.2">
      <c r="B45" s="5" t="s">
        <v>17</v>
      </c>
      <c r="C45" s="7">
        <v>0</v>
      </c>
      <c r="D45" s="7">
        <v>0</v>
      </c>
      <c r="E45" s="7">
        <v>0.05</v>
      </c>
      <c r="F45" s="7">
        <v>0.1</v>
      </c>
      <c r="G45" s="7">
        <v>0.1</v>
      </c>
      <c r="H45" s="7">
        <v>0.1</v>
      </c>
      <c r="I45" s="7">
        <v>0.1</v>
      </c>
      <c r="J45" s="7">
        <v>0.1</v>
      </c>
      <c r="K45" s="7">
        <v>0.1</v>
      </c>
      <c r="L45" s="7">
        <v>0.1</v>
      </c>
      <c r="M45" s="7">
        <v>0.1</v>
      </c>
      <c r="N45" s="13">
        <v>0.1</v>
      </c>
      <c r="O45" s="13">
        <v>0.05</v>
      </c>
    </row>
    <row r="47" spans="2:15" x14ac:dyDescent="0.2">
      <c r="B47" s="12" t="s">
        <v>12</v>
      </c>
      <c r="C47" s="13">
        <v>0.3</v>
      </c>
    </row>
    <row r="48" spans="2:15" x14ac:dyDescent="0.2">
      <c r="B48" s="12" t="s">
        <v>15</v>
      </c>
      <c r="C48" s="2">
        <v>100000000</v>
      </c>
    </row>
    <row r="50" spans="2:4" ht="12.6" thickBot="1" x14ac:dyDescent="0.3">
      <c r="B50" s="14" t="s">
        <v>18</v>
      </c>
      <c r="C50" s="8" t="s">
        <v>23</v>
      </c>
      <c r="D50" s="8" t="s">
        <v>20</v>
      </c>
    </row>
    <row r="51" spans="2:4" x14ac:dyDescent="0.2">
      <c r="B51" s="12" t="s">
        <v>19</v>
      </c>
      <c r="C51" s="13">
        <v>0.7</v>
      </c>
      <c r="D51" s="18">
        <v>0.5</v>
      </c>
    </row>
    <row r="52" spans="2:4" x14ac:dyDescent="0.2">
      <c r="B52" s="12" t="s">
        <v>21</v>
      </c>
      <c r="C52" s="13">
        <v>0.8</v>
      </c>
      <c r="D52" s="18">
        <v>0.4</v>
      </c>
    </row>
    <row r="53" spans="2:4" x14ac:dyDescent="0.2">
      <c r="B53" s="12" t="s">
        <v>22</v>
      </c>
      <c r="C53" s="13">
        <v>0.65</v>
      </c>
      <c r="D53" s="18">
        <v>0.35</v>
      </c>
    </row>
    <row r="54" spans="2:4" x14ac:dyDescent="0.2">
      <c r="C54" s="13"/>
    </row>
    <row r="55" spans="2:4" x14ac:dyDescent="0.2">
      <c r="B55" s="15" t="s">
        <v>27</v>
      </c>
      <c r="C55" s="15">
        <v>0.9</v>
      </c>
    </row>
    <row r="56" spans="2:4" x14ac:dyDescent="0.2">
      <c r="B56" s="15"/>
      <c r="C56" s="15"/>
    </row>
    <row r="57" spans="2:4" x14ac:dyDescent="0.2">
      <c r="B57" s="15"/>
      <c r="C57" s="15"/>
    </row>
    <row r="58" spans="2:4" x14ac:dyDescent="0.2">
      <c r="B58" s="12" t="s">
        <v>28</v>
      </c>
      <c r="C58" s="19">
        <v>5.5E-2</v>
      </c>
    </row>
    <row r="59" spans="2:4" x14ac:dyDescent="0.2">
      <c r="B59" s="12" t="s">
        <v>29</v>
      </c>
      <c r="C59" s="19">
        <v>0.02</v>
      </c>
    </row>
  </sheetData>
  <dataValidations count="1">
    <dataValidation type="list" allowBlank="1" showInputMessage="1" showErrorMessage="1" sqref="C5" xr:uid="{00000000-0002-0000-0100-000000000000}">
      <formula1>"1,2,3"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23DF-60C6-488A-99A8-9DA744C42EA9}">
  <dimension ref="B17"/>
  <sheetViews>
    <sheetView workbookViewId="0">
      <selection activeCell="F31" sqref="F31"/>
    </sheetView>
  </sheetViews>
  <sheetFormatPr defaultColWidth="9.109375" defaultRowHeight="11.4" x14ac:dyDescent="0.2"/>
  <cols>
    <col min="1" max="1" width="2" style="12" customWidth="1"/>
    <col min="2" max="16384" width="9.109375" style="12"/>
  </cols>
  <sheetData>
    <row r="17" spans="2:2" ht="50.4" x14ac:dyDescent="0.85">
      <c r="B17" s="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1AC3-2214-4373-8310-AFB720F92E79}">
  <dimension ref="B1:M56"/>
  <sheetViews>
    <sheetView topLeftCell="A9" workbookViewId="0">
      <selection activeCell="B29" sqref="B29"/>
    </sheetView>
  </sheetViews>
  <sheetFormatPr defaultRowHeight="14.4" x14ac:dyDescent="0.3"/>
  <cols>
    <col min="1" max="1" width="2" style="21" customWidth="1"/>
    <col min="2" max="2" width="26.6640625" style="21" customWidth="1"/>
    <col min="3" max="4" width="11.21875" style="21" bestFit="1" customWidth="1"/>
    <col min="5" max="5" width="17.6640625" style="21" bestFit="1" customWidth="1"/>
    <col min="6" max="12" width="11.21875" style="21" bestFit="1" customWidth="1"/>
    <col min="13" max="16384" width="8.88671875" style="21"/>
  </cols>
  <sheetData>
    <row r="1" spans="2:12" ht="60" x14ac:dyDescent="0.95">
      <c r="B1" s="22" t="s">
        <v>38</v>
      </c>
      <c r="C1" s="23"/>
      <c r="D1" s="23"/>
      <c r="E1" s="23"/>
      <c r="F1" s="23"/>
      <c r="G1" s="23"/>
      <c r="H1" s="23"/>
      <c r="I1" s="23"/>
      <c r="J1" s="23"/>
      <c r="K1" s="23"/>
      <c r="L1" s="23"/>
    </row>
    <row r="3" spans="2:12" ht="15" thickBot="1" x14ac:dyDescent="0.35">
      <c r="B3" s="14" t="s">
        <v>30</v>
      </c>
      <c r="C3" s="14"/>
      <c r="E3" s="14" t="s">
        <v>24</v>
      </c>
      <c r="F3" s="14"/>
    </row>
    <row r="4" spans="2:12" x14ac:dyDescent="0.3">
      <c r="B4" s="12" t="s">
        <v>1</v>
      </c>
      <c r="C4" s="12">
        <v>220</v>
      </c>
      <c r="E4" s="12" t="s">
        <v>1</v>
      </c>
      <c r="F4" s="2">
        <v>220</v>
      </c>
    </row>
    <row r="5" spans="2:12" x14ac:dyDescent="0.3">
      <c r="B5" s="12" t="s">
        <v>0</v>
      </c>
      <c r="C5" s="12">
        <v>200</v>
      </c>
      <c r="E5" s="12" t="s">
        <v>0</v>
      </c>
      <c r="F5" s="2">
        <v>210</v>
      </c>
    </row>
    <row r="6" spans="2:12" x14ac:dyDescent="0.3">
      <c r="B6" s="12" t="s">
        <v>2</v>
      </c>
      <c r="C6" s="12">
        <v>180</v>
      </c>
      <c r="E6" s="12" t="s">
        <v>2</v>
      </c>
      <c r="F6" s="2">
        <v>200</v>
      </c>
    </row>
    <row r="10" spans="2:12" ht="15" thickBot="1" x14ac:dyDescent="0.35">
      <c r="B10" s="14" t="s">
        <v>39</v>
      </c>
      <c r="C10" s="14">
        <v>1</v>
      </c>
      <c r="D10" s="14">
        <v>2</v>
      </c>
      <c r="E10" s="14">
        <v>3</v>
      </c>
      <c r="F10" s="14">
        <v>4</v>
      </c>
      <c r="G10" s="14">
        <v>5</v>
      </c>
      <c r="H10" s="14">
        <v>6</v>
      </c>
      <c r="I10" s="14">
        <v>7</v>
      </c>
      <c r="J10" s="14">
        <v>8</v>
      </c>
      <c r="K10" s="14">
        <v>9</v>
      </c>
      <c r="L10" s="14">
        <v>10</v>
      </c>
    </row>
    <row r="11" spans="2:12" x14ac:dyDescent="0.3">
      <c r="B11" s="12" t="s">
        <v>1</v>
      </c>
      <c r="C11" s="2">
        <f>$C4*Drivers!$C$12*Drivers!$C$13*Drivers!$C$14</f>
        <v>481800</v>
      </c>
      <c r="D11" s="2">
        <f>$C4*Drivers!$C$12*Drivers!$C$13*Drivers!$C$14</f>
        <v>481800</v>
      </c>
      <c r="E11" s="2">
        <f>$C4*Drivers!$C$12*Drivers!$C$13*Drivers!$C$14</f>
        <v>481800</v>
      </c>
      <c r="F11" s="2">
        <f>$C4*Drivers!$C$12*Drivers!$C$13*Drivers!$C$14</f>
        <v>481800</v>
      </c>
      <c r="G11" s="2">
        <f>$C4*Drivers!$C$12*Drivers!$C$13*Drivers!$C$14</f>
        <v>481800</v>
      </c>
      <c r="H11" s="2">
        <f>$C4*Drivers!$C$12*Drivers!$C$13*Drivers!$C$14</f>
        <v>481800</v>
      </c>
      <c r="I11" s="2">
        <f>$C4*Drivers!$C$12*Drivers!$C$13*Drivers!$C$14</f>
        <v>481800</v>
      </c>
      <c r="J11" s="2">
        <f>$C4*Drivers!$C$12*Drivers!$C$13*Drivers!$C$14</f>
        <v>481800</v>
      </c>
      <c r="K11" s="2">
        <f>$C4*Drivers!$C$12*Drivers!$C$13*Drivers!$C$14</f>
        <v>481800</v>
      </c>
      <c r="L11" s="2">
        <f>$C4*Drivers!$C$12*Drivers!$C$13*Drivers!$C$14</f>
        <v>481800</v>
      </c>
    </row>
    <row r="12" spans="2:12" x14ac:dyDescent="0.3">
      <c r="B12" s="12" t="s">
        <v>0</v>
      </c>
      <c r="C12" s="2">
        <f>$C5*Drivers!$C$12*Drivers!$C$13*Drivers!$C$14</f>
        <v>438000</v>
      </c>
      <c r="D12" s="2">
        <f>$C5*Drivers!$C$12*Drivers!$C$13*Drivers!$C$14</f>
        <v>438000</v>
      </c>
      <c r="E12" s="2">
        <f>$C5*Drivers!$C$12*Drivers!$C$13*Drivers!$C$14</f>
        <v>438000</v>
      </c>
      <c r="F12" s="2">
        <f>$C5*Drivers!$C$12*Drivers!$C$13*Drivers!$C$14</f>
        <v>438000</v>
      </c>
      <c r="G12" s="2">
        <f>$C5*Drivers!$C$12*Drivers!$C$13*Drivers!$C$14</f>
        <v>438000</v>
      </c>
      <c r="H12" s="2">
        <f>$C5*Drivers!$C$12*Drivers!$C$13*Drivers!$C$14</f>
        <v>438000</v>
      </c>
      <c r="I12" s="2">
        <f>$C5*Drivers!$C$12*Drivers!$C$13*Drivers!$C$14</f>
        <v>438000</v>
      </c>
      <c r="J12" s="2">
        <f>$C5*Drivers!$C$12*Drivers!$C$13*Drivers!$C$14</f>
        <v>438000</v>
      </c>
      <c r="K12" s="2">
        <f>$C5*Drivers!$C$12*Drivers!$C$13*Drivers!$C$14</f>
        <v>438000</v>
      </c>
      <c r="L12" s="2">
        <f>$C5*Drivers!$C$12*Drivers!$C$13*Drivers!$C$14</f>
        <v>438000</v>
      </c>
    </row>
    <row r="13" spans="2:12" x14ac:dyDescent="0.3">
      <c r="B13" s="12" t="s">
        <v>2</v>
      </c>
      <c r="C13" s="2">
        <f>$C6*Drivers!$C$12*Drivers!$C$13*Drivers!$C$14</f>
        <v>394200</v>
      </c>
      <c r="D13" s="2">
        <f>$C6*Drivers!$C$12*Drivers!$C$13*Drivers!$C$14</f>
        <v>394200</v>
      </c>
      <c r="E13" s="2">
        <f>$C6*Drivers!$C$12*Drivers!$C$13*Drivers!$C$14</f>
        <v>394200</v>
      </c>
      <c r="F13" s="2">
        <f>$C6*Drivers!$C$12*Drivers!$C$13*Drivers!$C$14</f>
        <v>394200</v>
      </c>
      <c r="G13" s="2">
        <f>$C6*Drivers!$C$12*Drivers!$C$13*Drivers!$C$14</f>
        <v>394200</v>
      </c>
      <c r="H13" s="2">
        <f>$C6*Drivers!$C$12*Drivers!$C$13*Drivers!$C$14</f>
        <v>394200</v>
      </c>
      <c r="I13" s="2">
        <f>$C6*Drivers!$C$12*Drivers!$C$13*Drivers!$C$14</f>
        <v>394200</v>
      </c>
      <c r="J13" s="2">
        <f>$C6*Drivers!$C$12*Drivers!$C$13*Drivers!$C$14</f>
        <v>394200</v>
      </c>
      <c r="K13" s="2">
        <f>$C6*Drivers!$C$12*Drivers!$C$13*Drivers!$C$14</f>
        <v>394200</v>
      </c>
      <c r="L13" s="2">
        <f>$C6*Drivers!$C$12*Drivers!$C$13*Drivers!$C$14</f>
        <v>394200</v>
      </c>
    </row>
    <row r="14" spans="2:12" x14ac:dyDescent="0.3">
      <c r="B14" s="24" t="s">
        <v>6</v>
      </c>
      <c r="C14" s="25">
        <f>CHOOSE(Drivers!$C$5,'Energy Output Forecast'!C$11,'Energy Output Forecast'!C$12,'Energy Output Forecast'!C$13)</f>
        <v>481800</v>
      </c>
      <c r="D14" s="25">
        <f>CHOOSE(Drivers!$C$5,'Energy Output Forecast'!D$11,'Energy Output Forecast'!D$12,'Energy Output Forecast'!D$13)</f>
        <v>481800</v>
      </c>
      <c r="E14" s="25">
        <f>CHOOSE(Drivers!$C$5,'Energy Output Forecast'!E$11,'Energy Output Forecast'!E$12,'Energy Output Forecast'!E$13)</f>
        <v>481800</v>
      </c>
      <c r="F14" s="25">
        <f>CHOOSE(Drivers!$C$5,'Energy Output Forecast'!F$11,'Energy Output Forecast'!F$12,'Energy Output Forecast'!F$13)</f>
        <v>481800</v>
      </c>
      <c r="G14" s="25">
        <f>CHOOSE(Drivers!$C$5,'Energy Output Forecast'!G$11,'Energy Output Forecast'!G$12,'Energy Output Forecast'!G$13)</f>
        <v>481800</v>
      </c>
      <c r="H14" s="25">
        <f>CHOOSE(Drivers!$C$5,'Energy Output Forecast'!H$11,'Energy Output Forecast'!H$12,'Energy Output Forecast'!H$13)</f>
        <v>481800</v>
      </c>
      <c r="I14" s="25">
        <f>CHOOSE(Drivers!$C$5,'Energy Output Forecast'!I$11,'Energy Output Forecast'!I$12,'Energy Output Forecast'!I$13)</f>
        <v>481800</v>
      </c>
      <c r="J14" s="25">
        <f>CHOOSE(Drivers!$C$5,'Energy Output Forecast'!J$11,'Energy Output Forecast'!J$12,'Energy Output Forecast'!J$13)</f>
        <v>481800</v>
      </c>
      <c r="K14" s="25">
        <f>CHOOSE(Drivers!$C$5,'Energy Output Forecast'!K$11,'Energy Output Forecast'!K$12,'Energy Output Forecast'!K$13)</f>
        <v>481800</v>
      </c>
      <c r="L14" s="25">
        <f>CHOOSE(Drivers!$C$5,'Energy Output Forecast'!L$11,'Energy Output Forecast'!L$12,'Energy Output Forecast'!L$13)</f>
        <v>481800</v>
      </c>
    </row>
    <row r="15" spans="2:12" s="67" customFormat="1" x14ac:dyDescent="0.3">
      <c r="B15" s="68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2:12" ht="15" thickBot="1" x14ac:dyDescent="0.35">
      <c r="B16" s="72" t="s">
        <v>116</v>
      </c>
      <c r="C16" s="72">
        <v>1</v>
      </c>
      <c r="D16" s="72">
        <v>2</v>
      </c>
      <c r="E16" s="72">
        <v>3</v>
      </c>
      <c r="F16" s="72">
        <v>4</v>
      </c>
      <c r="G16" s="72">
        <v>5</v>
      </c>
      <c r="H16" s="72">
        <v>6</v>
      </c>
      <c r="I16" s="72">
        <v>7</v>
      </c>
      <c r="J16" s="72">
        <v>8</v>
      </c>
      <c r="K16" s="72">
        <v>9</v>
      </c>
      <c r="L16" s="72">
        <v>10</v>
      </c>
    </row>
    <row r="17" spans="2:13" s="67" customFormat="1" x14ac:dyDescent="0.3">
      <c r="B17" s="70" t="s">
        <v>1</v>
      </c>
      <c r="C17" s="71">
        <v>220</v>
      </c>
      <c r="D17" s="71">
        <v>222.2</v>
      </c>
      <c r="E17" s="71">
        <v>224.422</v>
      </c>
      <c r="F17" s="71">
        <v>226.66622000000001</v>
      </c>
      <c r="G17" s="71">
        <v>228.93288220000002</v>
      </c>
      <c r="H17" s="71">
        <v>231.22221102200004</v>
      </c>
      <c r="I17" s="71">
        <v>233.53443313222004</v>
      </c>
      <c r="J17" s="71">
        <v>235.86977746354225</v>
      </c>
      <c r="K17" s="71">
        <v>238.22847523817768</v>
      </c>
      <c r="L17" s="71">
        <v>240.61075999055947</v>
      </c>
      <c r="M17" s="67" t="s">
        <v>117</v>
      </c>
    </row>
    <row r="18" spans="2:13" s="67" customFormat="1" x14ac:dyDescent="0.3">
      <c r="B18" s="70" t="s">
        <v>0</v>
      </c>
      <c r="C18" s="71">
        <v>210</v>
      </c>
      <c r="D18" s="71">
        <v>212.1</v>
      </c>
      <c r="E18" s="71">
        <v>214.221</v>
      </c>
      <c r="F18" s="71">
        <v>216.36321000000001</v>
      </c>
      <c r="G18" s="71">
        <v>218.52684210000001</v>
      </c>
      <c r="H18" s="71">
        <v>220.712110521</v>
      </c>
      <c r="I18" s="71">
        <v>222.91923162621001</v>
      </c>
      <c r="J18" s="71">
        <v>225.14842394247211</v>
      </c>
      <c r="K18" s="71">
        <v>227.39990818189682</v>
      </c>
      <c r="L18" s="71">
        <v>229.67390726371579</v>
      </c>
      <c r="M18" s="69" t="s">
        <v>117</v>
      </c>
    </row>
    <row r="19" spans="2:13" x14ac:dyDescent="0.3">
      <c r="B19" s="70" t="s">
        <v>2</v>
      </c>
      <c r="C19" s="71">
        <v>200</v>
      </c>
      <c r="D19" s="71">
        <v>202</v>
      </c>
      <c r="E19" s="71">
        <v>204.02</v>
      </c>
      <c r="F19" s="71">
        <v>206.06020000000001</v>
      </c>
      <c r="G19" s="71">
        <v>208.120802</v>
      </c>
      <c r="H19" s="71">
        <v>210.20201001999999</v>
      </c>
      <c r="I19" s="71">
        <v>212.3040301202</v>
      </c>
      <c r="J19" s="71">
        <v>214.42707042140199</v>
      </c>
      <c r="K19" s="71">
        <v>216.57134112561602</v>
      </c>
      <c r="L19" s="71">
        <v>218.73705453687217</v>
      </c>
      <c r="M19" s="69" t="s">
        <v>117</v>
      </c>
    </row>
    <row r="20" spans="2:13" x14ac:dyDescent="0.3">
      <c r="B20" s="73" t="s">
        <v>6</v>
      </c>
      <c r="C20" s="74">
        <v>220</v>
      </c>
      <c r="D20" s="74">
        <v>222.2</v>
      </c>
      <c r="E20" s="74">
        <v>224.422</v>
      </c>
      <c r="F20" s="74">
        <v>226.66622000000001</v>
      </c>
      <c r="G20" s="74">
        <v>228.93288220000002</v>
      </c>
      <c r="H20" s="74">
        <v>231.22221102200004</v>
      </c>
      <c r="I20" s="74">
        <v>233.53443313222004</v>
      </c>
      <c r="J20" s="74">
        <v>235.86977746354225</v>
      </c>
      <c r="K20" s="74">
        <v>238.22847523817768</v>
      </c>
      <c r="L20" s="74">
        <v>240.61075999055947</v>
      </c>
    </row>
    <row r="21" spans="2:13" s="69" customFormat="1" x14ac:dyDescent="0.3">
      <c r="B21" s="76"/>
      <c r="C21" s="75"/>
      <c r="D21" s="75"/>
      <c r="E21" s="75"/>
      <c r="F21" s="75"/>
      <c r="G21" s="75"/>
      <c r="H21" s="75"/>
      <c r="I21" s="75"/>
      <c r="J21" s="75"/>
      <c r="K21" s="75"/>
      <c r="L21" s="75"/>
    </row>
    <row r="22" spans="2:13" ht="15" thickBot="1" x14ac:dyDescent="0.35">
      <c r="B22" s="14" t="s">
        <v>40</v>
      </c>
      <c r="C22" s="14">
        <v>1</v>
      </c>
      <c r="D22" s="14">
        <v>2</v>
      </c>
      <c r="E22" s="14">
        <v>3</v>
      </c>
      <c r="F22" s="14">
        <v>4</v>
      </c>
      <c r="G22" s="14">
        <v>5</v>
      </c>
      <c r="H22" s="14">
        <v>6</v>
      </c>
      <c r="I22" s="14">
        <v>7</v>
      </c>
      <c r="J22" s="14">
        <v>8</v>
      </c>
      <c r="K22" s="14">
        <v>9</v>
      </c>
      <c r="L22" s="14">
        <v>10</v>
      </c>
    </row>
    <row r="23" spans="2:13" x14ac:dyDescent="0.3">
      <c r="B23" s="12" t="s">
        <v>1</v>
      </c>
      <c r="C23" s="2">
        <f>C11*C17</f>
        <v>105996000</v>
      </c>
      <c r="D23" s="2">
        <f t="shared" ref="D23:L23" si="0">D11*D17</f>
        <v>107055960</v>
      </c>
      <c r="E23" s="2">
        <f t="shared" si="0"/>
        <v>108126519.59999999</v>
      </c>
      <c r="F23" s="2">
        <f t="shared" si="0"/>
        <v>109207784.796</v>
      </c>
      <c r="G23" s="2">
        <f t="shared" si="0"/>
        <v>110299862.64396001</v>
      </c>
      <c r="H23" s="2">
        <f t="shared" si="0"/>
        <v>111402861.27039962</v>
      </c>
      <c r="I23" s="2">
        <f t="shared" si="0"/>
        <v>112516889.88310362</v>
      </c>
      <c r="J23" s="2">
        <f t="shared" si="0"/>
        <v>113642058.78193465</v>
      </c>
      <c r="K23" s="2">
        <f t="shared" si="0"/>
        <v>114778479.369754</v>
      </c>
      <c r="L23" s="2">
        <f t="shared" si="0"/>
        <v>115926264.16345155</v>
      </c>
    </row>
    <row r="24" spans="2:13" x14ac:dyDescent="0.3">
      <c r="B24" s="12" t="s">
        <v>0</v>
      </c>
      <c r="C24" s="2">
        <f t="shared" ref="C24:L24" si="1">C12*C18</f>
        <v>91980000</v>
      </c>
      <c r="D24" s="2">
        <f t="shared" si="1"/>
        <v>92899800</v>
      </c>
      <c r="E24" s="2">
        <f t="shared" si="1"/>
        <v>93828798</v>
      </c>
      <c r="F24" s="2">
        <f t="shared" si="1"/>
        <v>94767085.980000004</v>
      </c>
      <c r="G24" s="2">
        <f t="shared" si="1"/>
        <v>95714756.8398</v>
      </c>
      <c r="H24" s="2">
        <f t="shared" si="1"/>
        <v>96671904.408197999</v>
      </c>
      <c r="I24" s="2">
        <f t="shared" si="1"/>
        <v>97638623.452279985</v>
      </c>
      <c r="J24" s="2">
        <f t="shared" si="1"/>
        <v>98615009.68680279</v>
      </c>
      <c r="K24" s="2">
        <f t="shared" si="1"/>
        <v>99601159.783670813</v>
      </c>
      <c r="L24" s="2">
        <f t="shared" si="1"/>
        <v>100597171.38150752</v>
      </c>
    </row>
    <row r="25" spans="2:13" x14ac:dyDescent="0.3">
      <c r="B25" s="12" t="s">
        <v>2</v>
      </c>
      <c r="C25" s="2">
        <f t="shared" ref="C25:L25" si="2">C13*C19</f>
        <v>78840000</v>
      </c>
      <c r="D25" s="2">
        <f t="shared" si="2"/>
        <v>79628400</v>
      </c>
      <c r="E25" s="2">
        <f t="shared" si="2"/>
        <v>80424684</v>
      </c>
      <c r="F25" s="2">
        <f t="shared" si="2"/>
        <v>81228930.840000004</v>
      </c>
      <c r="G25" s="2">
        <f t="shared" si="2"/>
        <v>82041220.148399994</v>
      </c>
      <c r="H25" s="2">
        <f t="shared" si="2"/>
        <v>82861632.349883988</v>
      </c>
      <c r="I25" s="2">
        <f t="shared" si="2"/>
        <v>83690248.673382834</v>
      </c>
      <c r="J25" s="2">
        <f t="shared" si="2"/>
        <v>84527151.160116673</v>
      </c>
      <c r="K25" s="2">
        <f t="shared" si="2"/>
        <v>85372422.671717837</v>
      </c>
      <c r="L25" s="2">
        <f t="shared" si="2"/>
        <v>86226146.898435012</v>
      </c>
    </row>
    <row r="26" spans="2:13" x14ac:dyDescent="0.3">
      <c r="B26" s="24" t="s">
        <v>6</v>
      </c>
      <c r="C26" s="25">
        <f>CHOOSE(Drivers!$C$5,'Energy Output Forecast'!C23,'Energy Output Forecast'!C24,'Energy Output Forecast'!C25)</f>
        <v>105996000</v>
      </c>
      <c r="D26" s="25">
        <f>CHOOSE(Drivers!$C$5,'Energy Output Forecast'!D23,'Energy Output Forecast'!D24,'Energy Output Forecast'!D25)</f>
        <v>107055960</v>
      </c>
      <c r="E26" s="25">
        <f>CHOOSE(Drivers!$C$5,'Energy Output Forecast'!E23,'Energy Output Forecast'!E24,'Energy Output Forecast'!E25)</f>
        <v>108126519.59999999</v>
      </c>
      <c r="F26" s="25">
        <f>CHOOSE(Drivers!$C$5,'Energy Output Forecast'!F23,'Energy Output Forecast'!F24,'Energy Output Forecast'!F25)</f>
        <v>109207784.796</v>
      </c>
      <c r="G26" s="25">
        <f>CHOOSE(Drivers!$C$5,'Energy Output Forecast'!G23,'Energy Output Forecast'!G24,'Energy Output Forecast'!G25)</f>
        <v>110299862.64396001</v>
      </c>
      <c r="H26" s="25">
        <f>CHOOSE(Drivers!$C$5,'Energy Output Forecast'!H23,'Energy Output Forecast'!H24,'Energy Output Forecast'!H25)</f>
        <v>111402861.27039962</v>
      </c>
      <c r="I26" s="25">
        <f>CHOOSE(Drivers!$C$5,'Energy Output Forecast'!I23,'Energy Output Forecast'!I24,'Energy Output Forecast'!I25)</f>
        <v>112516889.88310362</v>
      </c>
      <c r="J26" s="25">
        <f>CHOOSE(Drivers!$C$5,'Energy Output Forecast'!J23,'Energy Output Forecast'!J24,'Energy Output Forecast'!J25)</f>
        <v>113642058.78193465</v>
      </c>
      <c r="K26" s="25">
        <f>CHOOSE(Drivers!$C$5,'Energy Output Forecast'!K23,'Energy Output Forecast'!K24,'Energy Output Forecast'!K25)</f>
        <v>114778479.369754</v>
      </c>
      <c r="L26" s="25">
        <f>CHOOSE(Drivers!$C$5,'Energy Output Forecast'!L23,'Energy Output Forecast'!L24,'Energy Output Forecast'!L25)</f>
        <v>115926264.16345155</v>
      </c>
    </row>
    <row r="27" spans="2:13" x14ac:dyDescent="0.3"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</row>
    <row r="28" spans="2:13" x14ac:dyDescent="0.3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</row>
    <row r="29" spans="2:13" x14ac:dyDescent="0.3">
      <c r="B29" s="70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3" x14ac:dyDescent="0.3">
      <c r="B30" s="70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3" x14ac:dyDescent="0.3">
      <c r="B31" s="70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3" x14ac:dyDescent="0.3">
      <c r="B32" s="73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2:12" x14ac:dyDescent="0.3"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</row>
    <row r="34" spans="2:12" x14ac:dyDescent="0.3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</row>
    <row r="35" spans="2:12" x14ac:dyDescent="0.3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</row>
    <row r="36" spans="2:12" x14ac:dyDescent="0.3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</row>
    <row r="37" spans="2:12" x14ac:dyDescent="0.3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</row>
    <row r="38" spans="2:12" x14ac:dyDescent="0.3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</row>
    <row r="39" spans="2:12" x14ac:dyDescent="0.3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 spans="2:12" x14ac:dyDescent="0.3"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</row>
    <row r="41" spans="2:12" x14ac:dyDescent="0.3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</row>
    <row r="42" spans="2:12" x14ac:dyDescent="0.3"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</row>
    <row r="43" spans="2:12" x14ac:dyDescent="0.3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</row>
    <row r="44" spans="2:12" x14ac:dyDescent="0.3"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</row>
    <row r="45" spans="2:12" x14ac:dyDescent="0.3"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</row>
    <row r="46" spans="2:12" x14ac:dyDescent="0.3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</row>
    <row r="47" spans="2:12" x14ac:dyDescent="0.3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</row>
    <row r="48" spans="2:12" x14ac:dyDescent="0.3"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</row>
    <row r="49" spans="2:12" x14ac:dyDescent="0.3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</row>
    <row r="50" spans="2:12" x14ac:dyDescent="0.3"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2:12" x14ac:dyDescent="0.3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2:12" x14ac:dyDescent="0.3"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</row>
    <row r="53" spans="2:12" x14ac:dyDescent="0.3"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pans="2:12" x14ac:dyDescent="0.3"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pans="2:12" x14ac:dyDescent="0.3"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</row>
    <row r="56" spans="2:12" x14ac:dyDescent="0.3"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9B3A-0405-4793-B937-CB8930C84FC1}">
  <dimension ref="B1:M31"/>
  <sheetViews>
    <sheetView topLeftCell="A9" workbookViewId="0">
      <selection activeCell="D18" sqref="D18"/>
    </sheetView>
  </sheetViews>
  <sheetFormatPr defaultRowHeight="14.4" x14ac:dyDescent="0.3"/>
  <cols>
    <col min="1" max="1" width="2" style="21" customWidth="1"/>
    <col min="2" max="2" width="15.109375" style="21" customWidth="1"/>
    <col min="3" max="12" width="11.21875" style="21" bestFit="1" customWidth="1"/>
    <col min="13" max="16384" width="8.88671875" style="21"/>
  </cols>
  <sheetData>
    <row r="1" spans="2:13" ht="46.2" x14ac:dyDescent="0.85">
      <c r="B1" s="27" t="s">
        <v>41</v>
      </c>
      <c r="C1" s="28"/>
      <c r="D1" s="28"/>
    </row>
    <row r="3" spans="2:13" ht="15" thickBot="1" x14ac:dyDescent="0.35">
      <c r="B3" s="14" t="s">
        <v>4</v>
      </c>
      <c r="C3" s="14"/>
    </row>
    <row r="4" spans="2:13" x14ac:dyDescent="0.3">
      <c r="B4" s="12" t="s">
        <v>1</v>
      </c>
      <c r="C4" s="2">
        <f>Drivers!$C$32</f>
        <v>500000000</v>
      </c>
    </row>
    <row r="5" spans="2:13" x14ac:dyDescent="0.3">
      <c r="B5" s="12" t="s">
        <v>0</v>
      </c>
      <c r="C5" s="2">
        <f>Drivers!$C$33</f>
        <v>510000000</v>
      </c>
    </row>
    <row r="6" spans="2:13" x14ac:dyDescent="0.3">
      <c r="B6" s="12" t="s">
        <v>2</v>
      </c>
      <c r="C6" s="2">
        <f>Drivers!$C$34</f>
        <v>520000000</v>
      </c>
    </row>
    <row r="7" spans="2:13" x14ac:dyDescent="0.3">
      <c r="B7" s="12"/>
      <c r="C7" s="26"/>
    </row>
    <row r="8" spans="2:13" x14ac:dyDescent="0.3">
      <c r="B8" s="12" t="s">
        <v>5</v>
      </c>
      <c r="C8" s="2">
        <v>10</v>
      </c>
    </row>
    <row r="9" spans="2:13" x14ac:dyDescent="0.3">
      <c r="B9" s="12" t="s">
        <v>34</v>
      </c>
      <c r="C9" s="13">
        <v>0.03</v>
      </c>
    </row>
    <row r="11" spans="2:13" ht="15" thickBot="1" x14ac:dyDescent="0.35">
      <c r="B11" s="14" t="s">
        <v>42</v>
      </c>
      <c r="C11" s="14">
        <v>0</v>
      </c>
      <c r="D11" s="14">
        <v>1</v>
      </c>
      <c r="E11" s="14">
        <v>2</v>
      </c>
      <c r="F11" s="14">
        <v>3</v>
      </c>
      <c r="G11" s="14">
        <v>4</v>
      </c>
      <c r="H11" s="14">
        <v>5</v>
      </c>
      <c r="I11" s="14">
        <v>6</v>
      </c>
      <c r="J11" s="14">
        <v>7</v>
      </c>
      <c r="K11" s="14">
        <v>8</v>
      </c>
      <c r="L11" s="14">
        <v>9</v>
      </c>
      <c r="M11" s="14">
        <v>10</v>
      </c>
    </row>
    <row r="12" spans="2:13" x14ac:dyDescent="0.3">
      <c r="B12" s="12" t="s">
        <v>43</v>
      </c>
      <c r="C12" s="29">
        <v>1</v>
      </c>
      <c r="D12" s="29">
        <v>0.03</v>
      </c>
      <c r="E12" s="29">
        <v>0.03</v>
      </c>
      <c r="F12" s="29">
        <v>0.03</v>
      </c>
      <c r="G12" s="29">
        <v>0.03</v>
      </c>
      <c r="H12" s="29">
        <v>0.03</v>
      </c>
      <c r="I12" s="29">
        <v>0.03</v>
      </c>
      <c r="J12" s="29">
        <v>0.03</v>
      </c>
      <c r="K12" s="29">
        <v>0.03</v>
      </c>
      <c r="L12" s="29">
        <v>0.03</v>
      </c>
      <c r="M12" s="29">
        <v>0.03</v>
      </c>
    </row>
    <row r="14" spans="2:13" ht="15" thickBot="1" x14ac:dyDescent="0.35">
      <c r="B14" s="14" t="s">
        <v>44</v>
      </c>
      <c r="C14" s="14">
        <v>1</v>
      </c>
      <c r="D14" s="14">
        <v>2</v>
      </c>
      <c r="E14" s="14">
        <v>3</v>
      </c>
      <c r="F14" s="14">
        <v>4</v>
      </c>
      <c r="G14" s="14">
        <v>5</v>
      </c>
      <c r="H14" s="14">
        <v>6</v>
      </c>
      <c r="I14" s="14">
        <v>7</v>
      </c>
      <c r="J14" s="14">
        <v>8</v>
      </c>
      <c r="K14" s="14">
        <v>9</v>
      </c>
      <c r="L14" s="14">
        <v>10</v>
      </c>
    </row>
    <row r="15" spans="2:13" x14ac:dyDescent="0.3">
      <c r="B15" s="12" t="s">
        <v>45</v>
      </c>
      <c r="C15" s="2">
        <f>CHOOSE(Drivers!$C$5,'Fixed Asset Rolled Forward'!$C$4,'Fixed Asset Rolled Forward'!$C$5,'Fixed Asset Rolled Forward'!$C$6)*'Fixed Asset Rolled Forward'!C12</f>
        <v>500000000</v>
      </c>
      <c r="D15" s="2">
        <f>C18</f>
        <v>465000000</v>
      </c>
      <c r="E15" s="2">
        <f t="shared" ref="E15:L15" si="0">D18</f>
        <v>428500000</v>
      </c>
      <c r="F15" s="2">
        <f t="shared" si="0"/>
        <v>390500000</v>
      </c>
      <c r="G15" s="2">
        <f t="shared" si="0"/>
        <v>351000000</v>
      </c>
      <c r="H15" s="2">
        <f t="shared" si="0"/>
        <v>310000000</v>
      </c>
      <c r="I15" s="2">
        <f t="shared" si="0"/>
        <v>267500000</v>
      </c>
      <c r="J15" s="2">
        <f t="shared" si="0"/>
        <v>223500000</v>
      </c>
      <c r="K15" s="2">
        <f t="shared" si="0"/>
        <v>178000000</v>
      </c>
      <c r="L15" s="2">
        <f t="shared" si="0"/>
        <v>131000000</v>
      </c>
    </row>
    <row r="16" spans="2:13" x14ac:dyDescent="0.3">
      <c r="B16" s="12" t="s">
        <v>46</v>
      </c>
      <c r="C16" s="2">
        <f>CHOOSE(Drivers!$C$5,'Fixed Asset Rolled Forward'!$C$4,'Fixed Asset Rolled Forward'!$C$5,'Fixed Asset Rolled Forward'!$C$6)*'Fixed Asset Rolled Forward'!D12</f>
        <v>15000000</v>
      </c>
      <c r="D16" s="2">
        <f>CHOOSE(Drivers!$C$5,'Fixed Asset Rolled Forward'!$C$4,'Fixed Asset Rolled Forward'!$C$5,'Fixed Asset Rolled Forward'!$C$6)*'Fixed Asset Rolled Forward'!E12</f>
        <v>15000000</v>
      </c>
      <c r="E16" s="2">
        <f>CHOOSE(Drivers!$C$5,'Fixed Asset Rolled Forward'!$C$4,'Fixed Asset Rolled Forward'!$C$5,'Fixed Asset Rolled Forward'!$C$6)*'Fixed Asset Rolled Forward'!F12</f>
        <v>15000000</v>
      </c>
      <c r="F16" s="2">
        <f>CHOOSE(Drivers!$C$5,'Fixed Asset Rolled Forward'!$C$4,'Fixed Asset Rolled Forward'!$C$5,'Fixed Asset Rolled Forward'!$C$6)*'Fixed Asset Rolled Forward'!G12</f>
        <v>15000000</v>
      </c>
      <c r="G16" s="2">
        <f>CHOOSE(Drivers!$C$5,'Fixed Asset Rolled Forward'!$C$4,'Fixed Asset Rolled Forward'!$C$5,'Fixed Asset Rolled Forward'!$C$6)*'Fixed Asset Rolled Forward'!H12</f>
        <v>15000000</v>
      </c>
      <c r="H16" s="2">
        <f>CHOOSE(Drivers!$C$5,'Fixed Asset Rolled Forward'!$C$4,'Fixed Asset Rolled Forward'!$C$5,'Fixed Asset Rolled Forward'!$C$6)*'Fixed Asset Rolled Forward'!I12</f>
        <v>15000000</v>
      </c>
      <c r="I16" s="2">
        <f>CHOOSE(Drivers!$C$5,'Fixed Asset Rolled Forward'!$C$4,'Fixed Asset Rolled Forward'!$C$5,'Fixed Asset Rolled Forward'!$C$6)*'Fixed Asset Rolled Forward'!J12</f>
        <v>15000000</v>
      </c>
      <c r="J16" s="2">
        <f>CHOOSE(Drivers!$C$5,'Fixed Asset Rolled Forward'!$C$4,'Fixed Asset Rolled Forward'!$C$5,'Fixed Asset Rolled Forward'!$C$6)*'Fixed Asset Rolled Forward'!K12</f>
        <v>15000000</v>
      </c>
      <c r="K16" s="2">
        <f>CHOOSE(Drivers!$C$5,'Fixed Asset Rolled Forward'!$C$4,'Fixed Asset Rolled Forward'!$C$5,'Fixed Asset Rolled Forward'!$C$6)*'Fixed Asset Rolled Forward'!L12</f>
        <v>15000000</v>
      </c>
      <c r="L16" s="2">
        <f>CHOOSE(Drivers!$C$5,'Fixed Asset Rolled Forward'!$C$4,'Fixed Asset Rolled Forward'!$C$5,'Fixed Asset Rolled Forward'!$C$6)*'Fixed Asset Rolled Forward'!M12</f>
        <v>15000000</v>
      </c>
    </row>
    <row r="17" spans="2:12" x14ac:dyDescent="0.3">
      <c r="B17" s="21" t="s">
        <v>47</v>
      </c>
      <c r="C17" s="30">
        <f>C31</f>
        <v>-50000000</v>
      </c>
      <c r="D17" s="30">
        <f t="shared" ref="D17:L17" si="1">D31</f>
        <v>-51500000</v>
      </c>
      <c r="E17" s="30">
        <f t="shared" si="1"/>
        <v>-53000000</v>
      </c>
      <c r="F17" s="30">
        <f t="shared" si="1"/>
        <v>-54500000</v>
      </c>
      <c r="G17" s="30">
        <f t="shared" si="1"/>
        <v>-56000000</v>
      </c>
      <c r="H17" s="30">
        <f t="shared" si="1"/>
        <v>-57500000</v>
      </c>
      <c r="I17" s="30">
        <f t="shared" si="1"/>
        <v>-59000000</v>
      </c>
      <c r="J17" s="30">
        <f t="shared" si="1"/>
        <v>-60500000</v>
      </c>
      <c r="K17" s="30">
        <f t="shared" si="1"/>
        <v>-62000000</v>
      </c>
      <c r="L17" s="30">
        <f t="shared" si="1"/>
        <v>-63500000</v>
      </c>
    </row>
    <row r="18" spans="2:12" ht="15" thickBot="1" x14ac:dyDescent="0.35">
      <c r="B18" s="31" t="s">
        <v>48</v>
      </c>
      <c r="C18" s="32">
        <f>SUM(C15:C17)</f>
        <v>465000000</v>
      </c>
      <c r="D18" s="32">
        <f t="shared" ref="D18:L18" si="2">SUM(D15:D17)</f>
        <v>428500000</v>
      </c>
      <c r="E18" s="32">
        <f t="shared" si="2"/>
        <v>390500000</v>
      </c>
      <c r="F18" s="32">
        <f t="shared" si="2"/>
        <v>351000000</v>
      </c>
      <c r="G18" s="32">
        <f t="shared" si="2"/>
        <v>310000000</v>
      </c>
      <c r="H18" s="32">
        <f t="shared" si="2"/>
        <v>267500000</v>
      </c>
      <c r="I18" s="32">
        <f t="shared" si="2"/>
        <v>223500000</v>
      </c>
      <c r="J18" s="32">
        <f t="shared" si="2"/>
        <v>178000000</v>
      </c>
      <c r="K18" s="32">
        <f t="shared" si="2"/>
        <v>131000000</v>
      </c>
      <c r="L18" s="32">
        <f t="shared" si="2"/>
        <v>82500000</v>
      </c>
    </row>
    <row r="20" spans="2:12" ht="15" thickBot="1" x14ac:dyDescent="0.35">
      <c r="B20" s="14" t="s">
        <v>49</v>
      </c>
      <c r="C20" s="14">
        <v>1</v>
      </c>
      <c r="D20" s="14">
        <v>2</v>
      </c>
      <c r="E20" s="14">
        <v>3</v>
      </c>
      <c r="F20" s="14">
        <v>4</v>
      </c>
      <c r="G20" s="14">
        <v>5</v>
      </c>
      <c r="H20" s="14">
        <v>6</v>
      </c>
      <c r="I20" s="14">
        <v>7</v>
      </c>
      <c r="J20" s="14">
        <v>8</v>
      </c>
      <c r="K20" s="14">
        <v>9</v>
      </c>
      <c r="L20" s="14">
        <v>10</v>
      </c>
    </row>
    <row r="21" spans="2:12" x14ac:dyDescent="0.3">
      <c r="B21" s="21" t="s">
        <v>50</v>
      </c>
      <c r="C21" s="30">
        <f>-$C$15/$C$8</f>
        <v>-50000000</v>
      </c>
      <c r="D21" s="30">
        <f t="shared" ref="D21:L21" si="3">-$C$15/$C$8</f>
        <v>-50000000</v>
      </c>
      <c r="E21" s="30">
        <f t="shared" si="3"/>
        <v>-50000000</v>
      </c>
      <c r="F21" s="30">
        <f t="shared" si="3"/>
        <v>-50000000</v>
      </c>
      <c r="G21" s="30">
        <f t="shared" si="3"/>
        <v>-50000000</v>
      </c>
      <c r="H21" s="30">
        <f t="shared" si="3"/>
        <v>-50000000</v>
      </c>
      <c r="I21" s="30">
        <f t="shared" si="3"/>
        <v>-50000000</v>
      </c>
      <c r="J21" s="30">
        <f t="shared" si="3"/>
        <v>-50000000</v>
      </c>
      <c r="K21" s="30">
        <f t="shared" si="3"/>
        <v>-50000000</v>
      </c>
      <c r="L21" s="30">
        <f t="shared" si="3"/>
        <v>-50000000</v>
      </c>
    </row>
    <row r="22" spans="2:12" x14ac:dyDescent="0.3">
      <c r="B22" s="21" t="s">
        <v>51</v>
      </c>
      <c r="C22" s="12"/>
      <c r="D22" s="30">
        <f>-$C$16/10</f>
        <v>-1500000</v>
      </c>
      <c r="E22" s="30">
        <f t="shared" ref="E22:L22" si="4">-$C$16/10</f>
        <v>-1500000</v>
      </c>
      <c r="F22" s="30">
        <f t="shared" si="4"/>
        <v>-1500000</v>
      </c>
      <c r="G22" s="30">
        <f t="shared" si="4"/>
        <v>-1500000</v>
      </c>
      <c r="H22" s="30">
        <f t="shared" si="4"/>
        <v>-1500000</v>
      </c>
      <c r="I22" s="30">
        <f t="shared" si="4"/>
        <v>-1500000</v>
      </c>
      <c r="J22" s="30">
        <f t="shared" si="4"/>
        <v>-1500000</v>
      </c>
      <c r="K22" s="30">
        <f t="shared" si="4"/>
        <v>-1500000</v>
      </c>
      <c r="L22" s="30">
        <f t="shared" si="4"/>
        <v>-1500000</v>
      </c>
    </row>
    <row r="23" spans="2:12" x14ac:dyDescent="0.3">
      <c r="B23" s="21" t="s">
        <v>52</v>
      </c>
      <c r="C23" s="12"/>
      <c r="D23" s="12"/>
      <c r="E23" s="30">
        <f>-$D$16/10</f>
        <v>-1500000</v>
      </c>
      <c r="F23" s="30">
        <f t="shared" ref="F23:L23" si="5">-$D$16/10</f>
        <v>-1500000</v>
      </c>
      <c r="G23" s="30">
        <f t="shared" si="5"/>
        <v>-1500000</v>
      </c>
      <c r="H23" s="30">
        <f t="shared" si="5"/>
        <v>-1500000</v>
      </c>
      <c r="I23" s="30">
        <f t="shared" si="5"/>
        <v>-1500000</v>
      </c>
      <c r="J23" s="30">
        <f t="shared" si="5"/>
        <v>-1500000</v>
      </c>
      <c r="K23" s="30">
        <f t="shared" si="5"/>
        <v>-1500000</v>
      </c>
      <c r="L23" s="30">
        <f t="shared" si="5"/>
        <v>-1500000</v>
      </c>
    </row>
    <row r="24" spans="2:12" x14ac:dyDescent="0.3">
      <c r="B24" s="21" t="s">
        <v>53</v>
      </c>
      <c r="C24" s="12"/>
      <c r="D24" s="12"/>
      <c r="E24" s="30"/>
      <c r="F24" s="30">
        <f>-$E$16/10</f>
        <v>-1500000</v>
      </c>
      <c r="G24" s="30">
        <f t="shared" ref="G24:L24" si="6">-$E$16/10</f>
        <v>-1500000</v>
      </c>
      <c r="H24" s="30">
        <f t="shared" si="6"/>
        <v>-1500000</v>
      </c>
      <c r="I24" s="30">
        <f t="shared" si="6"/>
        <v>-1500000</v>
      </c>
      <c r="J24" s="30">
        <f t="shared" si="6"/>
        <v>-1500000</v>
      </c>
      <c r="K24" s="30">
        <f t="shared" si="6"/>
        <v>-1500000</v>
      </c>
      <c r="L24" s="30">
        <f t="shared" si="6"/>
        <v>-1500000</v>
      </c>
    </row>
    <row r="25" spans="2:12" x14ac:dyDescent="0.3">
      <c r="B25" s="21" t="s">
        <v>54</v>
      </c>
      <c r="C25" s="12"/>
      <c r="D25" s="12"/>
      <c r="E25" s="30"/>
      <c r="F25" s="30"/>
      <c r="G25" s="30">
        <f>-$F$16/10</f>
        <v>-1500000</v>
      </c>
      <c r="H25" s="30">
        <f t="shared" ref="H25:L25" si="7">-$F$16/10</f>
        <v>-1500000</v>
      </c>
      <c r="I25" s="30">
        <f t="shared" si="7"/>
        <v>-1500000</v>
      </c>
      <c r="J25" s="30">
        <f t="shared" si="7"/>
        <v>-1500000</v>
      </c>
      <c r="K25" s="30">
        <f t="shared" si="7"/>
        <v>-1500000</v>
      </c>
      <c r="L25" s="30">
        <f t="shared" si="7"/>
        <v>-1500000</v>
      </c>
    </row>
    <row r="26" spans="2:12" x14ac:dyDescent="0.3">
      <c r="B26" s="21" t="s">
        <v>55</v>
      </c>
      <c r="C26" s="12"/>
      <c r="D26" s="12"/>
      <c r="E26" s="30"/>
      <c r="F26" s="30"/>
      <c r="G26" s="30"/>
      <c r="H26" s="30">
        <f>-$G$16/10</f>
        <v>-1500000</v>
      </c>
      <c r="I26" s="30">
        <f t="shared" ref="I26:L26" si="8">-$G$16/10</f>
        <v>-1500000</v>
      </c>
      <c r="J26" s="30">
        <f t="shared" si="8"/>
        <v>-1500000</v>
      </c>
      <c r="K26" s="30">
        <f t="shared" si="8"/>
        <v>-1500000</v>
      </c>
      <c r="L26" s="30">
        <f t="shared" si="8"/>
        <v>-1500000</v>
      </c>
    </row>
    <row r="27" spans="2:12" x14ac:dyDescent="0.3">
      <c r="B27" s="21" t="s">
        <v>56</v>
      </c>
      <c r="C27" s="12"/>
      <c r="D27" s="12"/>
      <c r="E27" s="30"/>
      <c r="F27" s="30"/>
      <c r="G27" s="30"/>
      <c r="H27" s="30"/>
      <c r="I27" s="30">
        <f>-$H$16/10</f>
        <v>-1500000</v>
      </c>
      <c r="J27" s="30">
        <f t="shared" ref="J27:L27" si="9">-$H$16/10</f>
        <v>-1500000</v>
      </c>
      <c r="K27" s="30">
        <f t="shared" si="9"/>
        <v>-1500000</v>
      </c>
      <c r="L27" s="30">
        <f t="shared" si="9"/>
        <v>-1500000</v>
      </c>
    </row>
    <row r="28" spans="2:12" x14ac:dyDescent="0.3">
      <c r="B28" s="21" t="s">
        <v>57</v>
      </c>
      <c r="C28" s="12"/>
      <c r="D28" s="12"/>
      <c r="E28" s="30"/>
      <c r="F28" s="30"/>
      <c r="G28" s="30"/>
      <c r="H28" s="30"/>
      <c r="I28" s="30"/>
      <c r="J28" s="30">
        <f>-$I$16/10</f>
        <v>-1500000</v>
      </c>
      <c r="K28" s="30">
        <f t="shared" ref="K28:L28" si="10">-$I$16/10</f>
        <v>-1500000</v>
      </c>
      <c r="L28" s="30">
        <f t="shared" si="10"/>
        <v>-1500000</v>
      </c>
    </row>
    <row r="29" spans="2:12" x14ac:dyDescent="0.3">
      <c r="B29" s="21" t="s">
        <v>58</v>
      </c>
      <c r="C29" s="12"/>
      <c r="D29" s="12"/>
      <c r="E29" s="30"/>
      <c r="F29" s="30"/>
      <c r="G29" s="30"/>
      <c r="H29" s="30"/>
      <c r="I29" s="30"/>
      <c r="J29" s="30"/>
      <c r="K29" s="30">
        <f>-$J$16/10</f>
        <v>-1500000</v>
      </c>
      <c r="L29" s="30">
        <f>-$J$16/10</f>
        <v>-1500000</v>
      </c>
    </row>
    <row r="30" spans="2:12" x14ac:dyDescent="0.3">
      <c r="B30" s="21" t="s">
        <v>59</v>
      </c>
      <c r="C30" s="12"/>
      <c r="D30" s="12"/>
      <c r="E30" s="30"/>
      <c r="F30" s="30"/>
      <c r="G30" s="30"/>
      <c r="H30" s="30"/>
      <c r="I30" s="30"/>
      <c r="J30" s="30"/>
      <c r="K30" s="30"/>
      <c r="L30" s="30">
        <f>-$K$16/10</f>
        <v>-1500000</v>
      </c>
    </row>
    <row r="31" spans="2:12" ht="15" thickBot="1" x14ac:dyDescent="0.35">
      <c r="B31" s="31" t="s">
        <v>47</v>
      </c>
      <c r="C31" s="32">
        <f>SUM(C21:C30)</f>
        <v>-50000000</v>
      </c>
      <c r="D31" s="32">
        <f t="shared" ref="D31:L31" si="11">SUM(D21:D30)</f>
        <v>-51500000</v>
      </c>
      <c r="E31" s="32">
        <f t="shared" si="11"/>
        <v>-53000000</v>
      </c>
      <c r="F31" s="32">
        <f t="shared" si="11"/>
        <v>-54500000</v>
      </c>
      <c r="G31" s="32">
        <f t="shared" si="11"/>
        <v>-56000000</v>
      </c>
      <c r="H31" s="32">
        <f t="shared" si="11"/>
        <v>-57500000</v>
      </c>
      <c r="I31" s="32">
        <f t="shared" si="11"/>
        <v>-59000000</v>
      </c>
      <c r="J31" s="32">
        <f t="shared" si="11"/>
        <v>-60500000</v>
      </c>
      <c r="K31" s="32">
        <f t="shared" si="11"/>
        <v>-62000000</v>
      </c>
      <c r="L31" s="32">
        <f t="shared" si="11"/>
        <v>-63500000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EC2A-41D1-49AB-8FFB-7473280EA599}">
  <dimension ref="B1:O21"/>
  <sheetViews>
    <sheetView topLeftCell="A3" workbookViewId="0">
      <selection activeCell="C21" sqref="C21"/>
    </sheetView>
  </sheetViews>
  <sheetFormatPr defaultRowHeight="14.4" x14ac:dyDescent="0.3"/>
  <cols>
    <col min="1" max="1" width="2" style="21" customWidth="1"/>
    <col min="2" max="2" width="19.88671875" style="21" bestFit="1" customWidth="1"/>
    <col min="3" max="3" width="11.77734375" style="21" bestFit="1" customWidth="1"/>
    <col min="4" max="13" width="11.21875" style="21" bestFit="1" customWidth="1"/>
    <col min="14" max="16384" width="8.88671875" style="21"/>
  </cols>
  <sheetData>
    <row r="1" spans="2:15" ht="35.4" x14ac:dyDescent="0.6">
      <c r="B1" s="39" t="s">
        <v>60</v>
      </c>
      <c r="C1" s="1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2:15" x14ac:dyDescent="0.3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2:15" x14ac:dyDescent="0.3">
      <c r="B3" s="12" t="s">
        <v>61</v>
      </c>
      <c r="C3" s="34">
        <f>'Fixed Asset Rolled Forward'!$C$15</f>
        <v>500000000</v>
      </c>
      <c r="D3" s="5"/>
      <c r="E3" s="5"/>
      <c r="F3" s="5"/>
      <c r="G3" s="5"/>
      <c r="H3" s="5"/>
      <c r="I3" s="5"/>
      <c r="J3" s="5"/>
      <c r="K3" s="5"/>
      <c r="L3" s="5"/>
      <c r="M3" s="33"/>
    </row>
    <row r="4" spans="2:15" x14ac:dyDescent="0.3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2:15" x14ac:dyDescent="0.3">
      <c r="B5" s="35" t="s">
        <v>9</v>
      </c>
      <c r="C5" s="36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5" x14ac:dyDescent="0.3">
      <c r="B6" s="12" t="s">
        <v>62</v>
      </c>
      <c r="C6" s="5">
        <f>Drivers!C40</f>
        <v>300000000</v>
      </c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2:15" x14ac:dyDescent="0.3">
      <c r="B7" s="12" t="s">
        <v>63</v>
      </c>
      <c r="C7" s="20">
        <f>Drivers!$C$41</f>
        <v>0.04</v>
      </c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2:15" x14ac:dyDescent="0.3">
      <c r="B8" s="12" t="s">
        <v>64</v>
      </c>
      <c r="C8" s="6" t="s">
        <v>13</v>
      </c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2:15" x14ac:dyDescent="0.3">
      <c r="B9" s="12"/>
      <c r="C9" s="6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2:15" ht="15" thickBot="1" x14ac:dyDescent="0.35">
      <c r="B10" s="14" t="s">
        <v>44</v>
      </c>
      <c r="C10" s="14">
        <v>0</v>
      </c>
      <c r="D10" s="14">
        <v>1</v>
      </c>
      <c r="E10" s="14">
        <v>2</v>
      </c>
      <c r="F10" s="14">
        <v>3</v>
      </c>
      <c r="G10" s="14">
        <v>4</v>
      </c>
      <c r="H10" s="14">
        <v>5</v>
      </c>
      <c r="I10" s="14">
        <v>6</v>
      </c>
      <c r="J10" s="14">
        <v>7</v>
      </c>
      <c r="K10" s="14">
        <v>8</v>
      </c>
      <c r="L10" s="14">
        <v>9</v>
      </c>
      <c r="M10" s="14">
        <v>10</v>
      </c>
    </row>
    <row r="11" spans="2:15" x14ac:dyDescent="0.3">
      <c r="B11" s="5" t="s">
        <v>65</v>
      </c>
      <c r="C11" s="5">
        <f>C6</f>
        <v>300000000</v>
      </c>
      <c r="D11" s="5">
        <f>C14</f>
        <v>300000000</v>
      </c>
      <c r="E11" s="5">
        <f t="shared" ref="E11:M11" si="0">D14</f>
        <v>300000000</v>
      </c>
      <c r="F11" s="5">
        <f t="shared" si="0"/>
        <v>285000000.05000001</v>
      </c>
      <c r="G11" s="5">
        <f t="shared" si="0"/>
        <v>255000000.15000001</v>
      </c>
      <c r="H11" s="5">
        <f t="shared" si="0"/>
        <v>225000000.25</v>
      </c>
      <c r="I11" s="5">
        <f t="shared" si="0"/>
        <v>195000000.34999999</v>
      </c>
      <c r="J11" s="5">
        <f t="shared" si="0"/>
        <v>165000000.44999999</v>
      </c>
      <c r="K11" s="5">
        <f t="shared" si="0"/>
        <v>135000000.54999998</v>
      </c>
      <c r="L11" s="5">
        <f t="shared" si="0"/>
        <v>105000000.64999998</v>
      </c>
      <c r="M11" s="5">
        <f t="shared" si="0"/>
        <v>75000000.74999997</v>
      </c>
    </row>
    <row r="12" spans="2:15" x14ac:dyDescent="0.3">
      <c r="B12" s="5" t="s">
        <v>66</v>
      </c>
      <c r="C12" s="5">
        <v>0</v>
      </c>
      <c r="D12" s="5">
        <f>C11*D13</f>
        <v>0</v>
      </c>
      <c r="E12" s="5">
        <f>-$D$11*E13</f>
        <v>-15000000</v>
      </c>
      <c r="F12" s="5">
        <f t="shared" ref="F12:M12" si="1">-$D$11*F13</f>
        <v>-30000000</v>
      </c>
      <c r="G12" s="5">
        <f t="shared" si="1"/>
        <v>-30000000</v>
      </c>
      <c r="H12" s="5">
        <f t="shared" si="1"/>
        <v>-30000000</v>
      </c>
      <c r="I12" s="5">
        <f t="shared" si="1"/>
        <v>-30000000</v>
      </c>
      <c r="J12" s="5">
        <f t="shared" si="1"/>
        <v>-30000000</v>
      </c>
      <c r="K12" s="5">
        <f t="shared" si="1"/>
        <v>-30000000</v>
      </c>
      <c r="L12" s="5">
        <f t="shared" si="1"/>
        <v>-30000000</v>
      </c>
      <c r="M12" s="5">
        <f t="shared" si="1"/>
        <v>-30000000</v>
      </c>
    </row>
    <row r="13" spans="2:15" x14ac:dyDescent="0.3">
      <c r="B13" s="5" t="s">
        <v>17</v>
      </c>
      <c r="C13" s="7">
        <v>0</v>
      </c>
      <c r="D13" s="7">
        <v>0</v>
      </c>
      <c r="E13" s="7">
        <v>0.05</v>
      </c>
      <c r="F13" s="7">
        <v>0.1</v>
      </c>
      <c r="G13" s="7">
        <v>0.1</v>
      </c>
      <c r="H13" s="7">
        <v>0.1</v>
      </c>
      <c r="I13" s="7">
        <v>0.1</v>
      </c>
      <c r="J13" s="7">
        <v>0.1</v>
      </c>
      <c r="K13" s="7">
        <v>0.1</v>
      </c>
      <c r="L13" s="7">
        <v>0.1</v>
      </c>
      <c r="M13" s="7">
        <v>0.1</v>
      </c>
      <c r="N13" s="13"/>
      <c r="O13" s="13"/>
    </row>
    <row r="14" spans="2:15" x14ac:dyDescent="0.3">
      <c r="B14" s="25" t="s">
        <v>67</v>
      </c>
      <c r="C14" s="37">
        <f>SUM(C11:C13)</f>
        <v>300000000</v>
      </c>
      <c r="D14" s="37">
        <f t="shared" ref="D14:M14" si="2">SUM(D11:D13)</f>
        <v>300000000</v>
      </c>
      <c r="E14" s="37">
        <f t="shared" si="2"/>
        <v>285000000.05000001</v>
      </c>
      <c r="F14" s="37">
        <f t="shared" si="2"/>
        <v>255000000.15000001</v>
      </c>
      <c r="G14" s="37">
        <f t="shared" si="2"/>
        <v>225000000.25</v>
      </c>
      <c r="H14" s="37">
        <f t="shared" si="2"/>
        <v>195000000.34999999</v>
      </c>
      <c r="I14" s="37">
        <f t="shared" si="2"/>
        <v>165000000.44999999</v>
      </c>
      <c r="J14" s="37">
        <f t="shared" si="2"/>
        <v>135000000.54999998</v>
      </c>
      <c r="K14" s="37">
        <f t="shared" si="2"/>
        <v>105000000.64999998</v>
      </c>
      <c r="L14" s="37">
        <f t="shared" si="2"/>
        <v>75000000.74999997</v>
      </c>
      <c r="M14" s="37">
        <f t="shared" si="2"/>
        <v>45000000.849999972</v>
      </c>
    </row>
    <row r="15" spans="2:15" x14ac:dyDescent="0.3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3"/>
    </row>
    <row r="16" spans="2:15" x14ac:dyDescent="0.3">
      <c r="B16" s="38" t="s">
        <v>68</v>
      </c>
      <c r="C16" s="38">
        <f>IF(C$10=0,0,-C$11*$C$7)</f>
        <v>0</v>
      </c>
      <c r="D16" s="38">
        <f>IF(D$10=0,0,-D$11*$C$7)</f>
        <v>-12000000</v>
      </c>
      <c r="E16" s="38">
        <f t="shared" ref="E16:M16" si="3">IF(E$10=0,0,-E$11*$C$7)</f>
        <v>-12000000</v>
      </c>
      <c r="F16" s="38">
        <f t="shared" si="3"/>
        <v>-11400000.002</v>
      </c>
      <c r="G16" s="38">
        <f t="shared" si="3"/>
        <v>-10200000.006000001</v>
      </c>
      <c r="H16" s="38">
        <f t="shared" si="3"/>
        <v>-9000000.0099999998</v>
      </c>
      <c r="I16" s="38">
        <f t="shared" si="3"/>
        <v>-7800000.0139999995</v>
      </c>
      <c r="J16" s="38">
        <f t="shared" si="3"/>
        <v>-6600000.0179999992</v>
      </c>
      <c r="K16" s="38">
        <f t="shared" si="3"/>
        <v>-5400000.0219999989</v>
      </c>
      <c r="L16" s="38">
        <f t="shared" si="3"/>
        <v>-4200000.0259999987</v>
      </c>
      <c r="M16" s="38">
        <f t="shared" si="3"/>
        <v>-3000000.0299999989</v>
      </c>
    </row>
    <row r="20" spans="2:13" x14ac:dyDescent="0.3">
      <c r="B20" s="5" t="s">
        <v>69</v>
      </c>
      <c r="C20" s="5">
        <f>'Cash Flow'!C11</f>
        <v>-500000000</v>
      </c>
      <c r="D20" s="5">
        <f>'Cash Flow'!D11</f>
        <v>54667620</v>
      </c>
      <c r="E20" s="5">
        <f>'Cash Flow'!E11</f>
        <v>40748296.200000003</v>
      </c>
      <c r="F20" s="5">
        <f>'Cash Flow'!F11</f>
        <v>27255279.160599995</v>
      </c>
      <c r="G20" s="5">
        <f>'Cash Flow'!G11</f>
        <v>29188631.949420001</v>
      </c>
      <c r="H20" s="5">
        <f>'Cash Flow'!H11</f>
        <v>31128418.266156204</v>
      </c>
      <c r="I20" s="5">
        <f>'Cash Flow'!I11</f>
        <v>33074702.446087778</v>
      </c>
      <c r="J20" s="5">
        <f>'Cash Flow'!J11</f>
        <v>35027549.467846654</v>
      </c>
      <c r="K20" s="5">
        <f>'Cash Flow'!K11</f>
        <v>36987024.959851116</v>
      </c>
      <c r="L20" s="5">
        <f>'Cash Flow'!L11</f>
        <v>38953195.206803627</v>
      </c>
      <c r="M20" s="5">
        <f>'Cash Flow'!M11</f>
        <v>40926127.156253666</v>
      </c>
    </row>
    <row r="21" spans="2:13" x14ac:dyDescent="0.3">
      <c r="B21" s="25" t="s">
        <v>70</v>
      </c>
      <c r="C21" s="37">
        <f>-(C14+C20)</f>
        <v>200000000</v>
      </c>
      <c r="D21" s="37">
        <f>IF(D20&lt;0,C21-D20,C21)</f>
        <v>200000000</v>
      </c>
      <c r="E21" s="37">
        <f t="shared" ref="E21:M21" si="4">IF(E20&lt;0,D21-E20,D21)</f>
        <v>200000000</v>
      </c>
      <c r="F21" s="37">
        <f t="shared" si="4"/>
        <v>200000000</v>
      </c>
      <c r="G21" s="37">
        <f t="shared" si="4"/>
        <v>200000000</v>
      </c>
      <c r="H21" s="37">
        <f t="shared" si="4"/>
        <v>200000000</v>
      </c>
      <c r="I21" s="37">
        <f t="shared" si="4"/>
        <v>200000000</v>
      </c>
      <c r="J21" s="37">
        <f t="shared" si="4"/>
        <v>200000000</v>
      </c>
      <c r="K21" s="37">
        <f t="shared" si="4"/>
        <v>200000000</v>
      </c>
      <c r="L21" s="37">
        <f t="shared" si="4"/>
        <v>200000000</v>
      </c>
      <c r="M21" s="37">
        <f t="shared" si="4"/>
        <v>200000000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3989-54F6-47A1-8939-14290567AB9E}">
  <dimension ref="B1:L23"/>
  <sheetViews>
    <sheetView topLeftCell="A2" workbookViewId="0">
      <selection activeCell="C5" sqref="C5:L5"/>
    </sheetView>
  </sheetViews>
  <sheetFormatPr defaultRowHeight="14.4" x14ac:dyDescent="0.3"/>
  <cols>
    <col min="1" max="1" width="2" style="21" customWidth="1"/>
    <col min="2" max="2" width="17.6640625" style="21" bestFit="1" customWidth="1"/>
    <col min="3" max="12" width="14.33203125" style="21" bestFit="1" customWidth="1"/>
    <col min="13" max="16384" width="8.88671875" style="21"/>
  </cols>
  <sheetData>
    <row r="1" spans="2:12" ht="61.2" x14ac:dyDescent="1.1000000000000001">
      <c r="B1" s="40" t="s">
        <v>71</v>
      </c>
    </row>
    <row r="3" spans="2:12" ht="15" thickBot="1" x14ac:dyDescent="0.35">
      <c r="B3" s="14" t="s">
        <v>44</v>
      </c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6</v>
      </c>
      <c r="I3" s="14">
        <v>7</v>
      </c>
      <c r="J3" s="14">
        <v>8</v>
      </c>
      <c r="K3" s="14">
        <v>9</v>
      </c>
      <c r="L3" s="14">
        <v>10</v>
      </c>
    </row>
    <row r="4" spans="2:12" x14ac:dyDescent="0.3">
      <c r="B4" s="42" t="s">
        <v>79</v>
      </c>
      <c r="C4" s="46">
        <f>'Energy Output Forecast'!C26</f>
        <v>105996000</v>
      </c>
      <c r="D4" s="46">
        <f>'Energy Output Forecast'!D26</f>
        <v>107055960</v>
      </c>
      <c r="E4" s="46">
        <f>'Energy Output Forecast'!E26</f>
        <v>108126519.59999999</v>
      </c>
      <c r="F4" s="46">
        <f>'Energy Output Forecast'!F26</f>
        <v>109207784.796</v>
      </c>
      <c r="G4" s="46">
        <f>'Energy Output Forecast'!G26</f>
        <v>110299862.64396001</v>
      </c>
      <c r="H4" s="46">
        <f>'Energy Output Forecast'!H26</f>
        <v>111402861.27039962</v>
      </c>
      <c r="I4" s="46">
        <f>'Energy Output Forecast'!I26</f>
        <v>112516889.88310362</v>
      </c>
      <c r="J4" s="46">
        <f>'Energy Output Forecast'!J26</f>
        <v>113642058.78193465</v>
      </c>
      <c r="K4" s="46">
        <f>'Energy Output Forecast'!K26</f>
        <v>114778479.369754</v>
      </c>
      <c r="L4" s="46">
        <f>'Energy Output Forecast'!L26</f>
        <v>115926264.16345155</v>
      </c>
    </row>
    <row r="5" spans="2:12" x14ac:dyDescent="0.3">
      <c r="B5" s="45" t="s">
        <v>80</v>
      </c>
      <c r="C5" s="51">
        <f>-C17*'Energy Output Forecast'!C26</f>
        <v>-15899400</v>
      </c>
      <c r="D5" s="51">
        <f>-D17*'Energy Output Forecast'!D26</f>
        <v>-16058394</v>
      </c>
      <c r="E5" s="51">
        <f>-E17*'Energy Output Forecast'!E26</f>
        <v>-16218977.939999998</v>
      </c>
      <c r="F5" s="51">
        <f>-F17*'Energy Output Forecast'!F26</f>
        <v>-16381167.7194</v>
      </c>
      <c r="G5" s="51">
        <f>-G17*'Energy Output Forecast'!G26</f>
        <v>-16544979.396594001</v>
      </c>
      <c r="H5" s="51">
        <f>-H17*'Energy Output Forecast'!H26</f>
        <v>-16710429.190559942</v>
      </c>
      <c r="I5" s="51">
        <f>-I17*'Energy Output Forecast'!I26</f>
        <v>-16877533.482465543</v>
      </c>
      <c r="J5" s="51">
        <f>-J17*'Energy Output Forecast'!J26</f>
        <v>-17046308.817290198</v>
      </c>
      <c r="K5" s="51">
        <f>-K17*'Energy Output Forecast'!K26</f>
        <v>-17216771.905463099</v>
      </c>
      <c r="L5" s="51">
        <f>-L17*'Energy Output Forecast'!L26</f>
        <v>-17388939.624517731</v>
      </c>
    </row>
    <row r="6" spans="2:12" x14ac:dyDescent="0.3">
      <c r="B6" s="43" t="s">
        <v>72</v>
      </c>
      <c r="C6" s="44">
        <f>SUM(C4:C5)</f>
        <v>90096600</v>
      </c>
      <c r="D6" s="44">
        <f t="shared" ref="D6:L6" si="0">SUM(D4:D5)</f>
        <v>90997566</v>
      </c>
      <c r="E6" s="44">
        <f t="shared" si="0"/>
        <v>91907541.659999996</v>
      </c>
      <c r="F6" s="44">
        <f t="shared" si="0"/>
        <v>92826617.0766</v>
      </c>
      <c r="G6" s="44">
        <f t="shared" si="0"/>
        <v>93754883.247366011</v>
      </c>
      <c r="H6" s="44">
        <f t="shared" si="0"/>
        <v>94692432.079839677</v>
      </c>
      <c r="I6" s="44">
        <f t="shared" si="0"/>
        <v>95639356.400638074</v>
      </c>
      <c r="J6" s="44">
        <f t="shared" si="0"/>
        <v>96595749.964644447</v>
      </c>
      <c r="K6" s="44">
        <f t="shared" si="0"/>
        <v>97561707.464290902</v>
      </c>
      <c r="L6" s="44">
        <f t="shared" si="0"/>
        <v>98537324.538933814</v>
      </c>
    </row>
    <row r="7" spans="2:12" x14ac:dyDescent="0.3">
      <c r="B7" s="12" t="s">
        <v>47</v>
      </c>
      <c r="C7" s="5">
        <f>'Fixed Asset Rolled Forward'!C17</f>
        <v>-50000000</v>
      </c>
      <c r="D7" s="5">
        <f>'Fixed Asset Rolled Forward'!D17</f>
        <v>-51500000</v>
      </c>
      <c r="E7" s="5">
        <f>'Fixed Asset Rolled Forward'!E17</f>
        <v>-53000000</v>
      </c>
      <c r="F7" s="5">
        <f>'Fixed Asset Rolled Forward'!F17</f>
        <v>-54500000</v>
      </c>
      <c r="G7" s="5">
        <f>'Fixed Asset Rolled Forward'!G17</f>
        <v>-56000000</v>
      </c>
      <c r="H7" s="5">
        <f>'Fixed Asset Rolled Forward'!H17</f>
        <v>-57500000</v>
      </c>
      <c r="I7" s="5">
        <f>'Fixed Asset Rolled Forward'!I17</f>
        <v>-59000000</v>
      </c>
      <c r="J7" s="5">
        <f>'Fixed Asset Rolled Forward'!J17</f>
        <v>-60500000</v>
      </c>
      <c r="K7" s="5">
        <f>'Fixed Asset Rolled Forward'!K17</f>
        <v>-62000000</v>
      </c>
      <c r="L7" s="5">
        <f>'Fixed Asset Rolled Forward'!L17</f>
        <v>-63500000</v>
      </c>
    </row>
    <row r="8" spans="2:12" x14ac:dyDescent="0.3">
      <c r="B8" s="24" t="s">
        <v>73</v>
      </c>
      <c r="C8" s="41">
        <f>SUM(C6:C7)</f>
        <v>40096600</v>
      </c>
      <c r="D8" s="41">
        <f t="shared" ref="D8:L8" si="1">SUM(D6:D7)</f>
        <v>39497566</v>
      </c>
      <c r="E8" s="41">
        <f t="shared" si="1"/>
        <v>38907541.659999996</v>
      </c>
      <c r="F8" s="41">
        <f t="shared" si="1"/>
        <v>38326617.0766</v>
      </c>
      <c r="G8" s="41">
        <f t="shared" si="1"/>
        <v>37754883.247366011</v>
      </c>
      <c r="H8" s="41">
        <f t="shared" si="1"/>
        <v>37192432.079839677</v>
      </c>
      <c r="I8" s="41">
        <f t="shared" si="1"/>
        <v>36639356.400638074</v>
      </c>
      <c r="J8" s="41">
        <f t="shared" si="1"/>
        <v>36095749.964644447</v>
      </c>
      <c r="K8" s="41">
        <f t="shared" si="1"/>
        <v>35561707.464290902</v>
      </c>
      <c r="L8" s="41">
        <f t="shared" si="1"/>
        <v>35037324.538933814</v>
      </c>
    </row>
    <row r="9" spans="2:12" x14ac:dyDescent="0.3">
      <c r="B9" s="12" t="s">
        <v>74</v>
      </c>
      <c r="C9" s="5">
        <f>Financing!D16</f>
        <v>-12000000</v>
      </c>
      <c r="D9" s="5">
        <f>Financing!E16</f>
        <v>-12000000</v>
      </c>
      <c r="E9" s="5">
        <f>Financing!F16</f>
        <v>-11400000.002</v>
      </c>
      <c r="F9" s="5">
        <f>Financing!G16</f>
        <v>-10200000.006000001</v>
      </c>
      <c r="G9" s="5">
        <f>Financing!H16</f>
        <v>-9000000.0099999998</v>
      </c>
      <c r="H9" s="5">
        <f>Financing!I16</f>
        <v>-7800000.0139999995</v>
      </c>
      <c r="I9" s="5">
        <f>Financing!J16</f>
        <v>-6600000.0179999992</v>
      </c>
      <c r="J9" s="5">
        <f>Financing!K16</f>
        <v>-5400000.0219999989</v>
      </c>
      <c r="K9" s="5">
        <f>Financing!L16</f>
        <v>-4200000.0259999987</v>
      </c>
      <c r="L9" s="5">
        <f>Financing!M16</f>
        <v>-3000000.0299999989</v>
      </c>
    </row>
    <row r="10" spans="2:12" x14ac:dyDescent="0.3">
      <c r="B10" s="12" t="s">
        <v>75</v>
      </c>
      <c r="C10" s="5">
        <f>-[1]Financing!D20</f>
        <v>0</v>
      </c>
      <c r="D10" s="5">
        <f>-[1]Financing!E20</f>
        <v>0</v>
      </c>
      <c r="E10" s="5">
        <f>-[1]Financing!F20</f>
        <v>0</v>
      </c>
      <c r="F10" s="5">
        <f>-[1]Financing!G20</f>
        <v>0</v>
      </c>
      <c r="G10" s="5">
        <f>-[1]Financing!H20</f>
        <v>0</v>
      </c>
      <c r="H10" s="5">
        <f>-[1]Financing!I20</f>
        <v>0</v>
      </c>
      <c r="I10" s="5">
        <f>-[1]Financing!J20</f>
        <v>0</v>
      </c>
      <c r="J10" s="5">
        <f>-[1]Financing!K20</f>
        <v>0</v>
      </c>
      <c r="K10" s="5">
        <f>-[1]Financing!L20</f>
        <v>0</v>
      </c>
      <c r="L10" s="5">
        <f>-[1]Financing!M20</f>
        <v>0</v>
      </c>
    </row>
    <row r="11" spans="2:12" x14ac:dyDescent="0.3">
      <c r="B11" s="24" t="s">
        <v>76</v>
      </c>
      <c r="C11" s="41">
        <f>SUM(C8:C10)</f>
        <v>28096600</v>
      </c>
      <c r="D11" s="41">
        <f t="shared" ref="D11:L11" si="2">SUM(D8:D10)</f>
        <v>27497566</v>
      </c>
      <c r="E11" s="41">
        <f t="shared" si="2"/>
        <v>27507541.657999996</v>
      </c>
      <c r="F11" s="41">
        <f t="shared" si="2"/>
        <v>28126617.070599999</v>
      </c>
      <c r="G11" s="41">
        <f t="shared" si="2"/>
        <v>28754883.237366013</v>
      </c>
      <c r="H11" s="41">
        <f t="shared" si="2"/>
        <v>29392432.065839678</v>
      </c>
      <c r="I11" s="41">
        <f t="shared" si="2"/>
        <v>30039356.382638074</v>
      </c>
      <c r="J11" s="41">
        <f t="shared" si="2"/>
        <v>30695749.942644447</v>
      </c>
      <c r="K11" s="41">
        <f t="shared" si="2"/>
        <v>31361707.438290901</v>
      </c>
      <c r="L11" s="41">
        <f t="shared" si="2"/>
        <v>32037324.508933816</v>
      </c>
    </row>
    <row r="12" spans="2:12" x14ac:dyDescent="0.3">
      <c r="B12" s="12" t="s">
        <v>77</v>
      </c>
      <c r="C12" s="5">
        <f>-C11*Drivers!$C$47</f>
        <v>-8428980</v>
      </c>
      <c r="D12" s="5">
        <f>-D11*Drivers!$C$47</f>
        <v>-8249269.7999999998</v>
      </c>
      <c r="E12" s="5">
        <f>-E11*Drivers!$C$47</f>
        <v>-8252262.4973999988</v>
      </c>
      <c r="F12" s="5">
        <f>-F11*Drivers!$C$47</f>
        <v>-8437985.1211799998</v>
      </c>
      <c r="G12" s="5">
        <f>-G11*Drivers!$C$47</f>
        <v>-8626464.9712098036</v>
      </c>
      <c r="H12" s="5">
        <f>-H11*Drivers!$C$47</f>
        <v>-8817729.6197519023</v>
      </c>
      <c r="I12" s="5">
        <f>-I11*Drivers!$C$47</f>
        <v>-9011806.914791422</v>
      </c>
      <c r="J12" s="5">
        <f>-J11*Drivers!$C$47</f>
        <v>-9208724.982793333</v>
      </c>
      <c r="K12" s="5">
        <f>-K11*Drivers!$C$47</f>
        <v>-9408512.2314872704</v>
      </c>
      <c r="L12" s="5">
        <f>-L11*Drivers!$C$47</f>
        <v>-9611197.3526801448</v>
      </c>
    </row>
    <row r="13" spans="2:12" ht="15" thickBot="1" x14ac:dyDescent="0.35">
      <c r="B13" s="31" t="s">
        <v>78</v>
      </c>
      <c r="C13" s="32">
        <f>SUM(C11:C12)</f>
        <v>19667620</v>
      </c>
      <c r="D13" s="32">
        <f t="shared" ref="D13:L13" si="3">SUM(D11:D12)</f>
        <v>19248296.199999999</v>
      </c>
      <c r="E13" s="32">
        <f t="shared" si="3"/>
        <v>19255279.160599999</v>
      </c>
      <c r="F13" s="32">
        <f t="shared" si="3"/>
        <v>19688631.949419998</v>
      </c>
      <c r="G13" s="32">
        <f t="shared" si="3"/>
        <v>20128418.266156211</v>
      </c>
      <c r="H13" s="32">
        <f t="shared" si="3"/>
        <v>20574702.446087778</v>
      </c>
      <c r="I13" s="32">
        <f t="shared" si="3"/>
        <v>21027549.467846654</v>
      </c>
      <c r="J13" s="32">
        <f t="shared" si="3"/>
        <v>21487024.959851116</v>
      </c>
      <c r="K13" s="32">
        <f t="shared" si="3"/>
        <v>21953195.206803631</v>
      </c>
      <c r="L13" s="32">
        <f t="shared" si="3"/>
        <v>22426127.156253673</v>
      </c>
    </row>
    <row r="16" spans="2:12" x14ac:dyDescent="0.3">
      <c r="B16" s="48" t="s">
        <v>85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spans="2:12" x14ac:dyDescent="0.3">
      <c r="B17" s="47" t="s">
        <v>84</v>
      </c>
      <c r="C17" s="50">
        <f>CHOOSE(Drivers!$C$5,'P&amp;L'!C18,'P&amp;L'!C20,'P&amp;L'!C22)</f>
        <v>0.15</v>
      </c>
      <c r="D17" s="50">
        <f>CHOOSE(Drivers!$C$5,'P&amp;L'!D18,'P&amp;L'!D20,'P&amp;L'!D22)</f>
        <v>0.15</v>
      </c>
      <c r="E17" s="50">
        <f>CHOOSE(Drivers!$C$5,'P&amp;L'!E18,'P&amp;L'!E20,'P&amp;L'!E22)</f>
        <v>0.15</v>
      </c>
      <c r="F17" s="50">
        <f>CHOOSE(Drivers!$C$5,'P&amp;L'!F18,'P&amp;L'!F20,'P&amp;L'!F22)</f>
        <v>0.15</v>
      </c>
      <c r="G17" s="50">
        <f>CHOOSE(Drivers!$C$5,'P&amp;L'!G18,'P&amp;L'!G20,'P&amp;L'!G22)</f>
        <v>0.15</v>
      </c>
      <c r="H17" s="50">
        <f>CHOOSE(Drivers!$C$5,'P&amp;L'!H18,'P&amp;L'!H20,'P&amp;L'!H22)</f>
        <v>0.15</v>
      </c>
      <c r="I17" s="50">
        <f>CHOOSE(Drivers!$C$5,'P&amp;L'!I18,'P&amp;L'!I20,'P&amp;L'!I22)</f>
        <v>0.15</v>
      </c>
      <c r="J17" s="50">
        <f>CHOOSE(Drivers!$C$5,'P&amp;L'!J18,'P&amp;L'!J20,'P&amp;L'!J22)</f>
        <v>0.15</v>
      </c>
      <c r="K17" s="50">
        <f>CHOOSE(Drivers!$C$5,'P&amp;L'!K18,'P&amp;L'!K20,'P&amp;L'!K22)</f>
        <v>0.15</v>
      </c>
      <c r="L17" s="50">
        <f>CHOOSE(Drivers!$C$5,'P&amp;L'!L18,'P&amp;L'!L20,'P&amp;L'!L22)</f>
        <v>0.15</v>
      </c>
    </row>
    <row r="18" spans="2:12" x14ac:dyDescent="0.3">
      <c r="B18" s="47" t="s">
        <v>83</v>
      </c>
      <c r="C18" s="49">
        <v>0.15</v>
      </c>
      <c r="D18" s="49">
        <v>0.15</v>
      </c>
      <c r="E18" s="49">
        <v>0.15</v>
      </c>
      <c r="F18" s="49">
        <v>0.15</v>
      </c>
      <c r="G18" s="49">
        <v>0.15</v>
      </c>
      <c r="H18" s="49">
        <v>0.15</v>
      </c>
      <c r="I18" s="49">
        <v>0.15</v>
      </c>
      <c r="J18" s="49">
        <v>0.15</v>
      </c>
      <c r="K18" s="49">
        <v>0.15</v>
      </c>
      <c r="L18" s="49">
        <v>0.15</v>
      </c>
    </row>
    <row r="19" spans="2:12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spans="2:12" x14ac:dyDescent="0.3">
      <c r="B20" s="47" t="s">
        <v>82</v>
      </c>
      <c r="C20" s="49">
        <v>0.16</v>
      </c>
      <c r="D20" s="49">
        <v>0.16</v>
      </c>
      <c r="E20" s="49">
        <v>0.16</v>
      </c>
      <c r="F20" s="49">
        <v>0.16</v>
      </c>
      <c r="G20" s="49">
        <v>0.16</v>
      </c>
      <c r="H20" s="49">
        <v>0.16</v>
      </c>
      <c r="I20" s="49">
        <v>0.16</v>
      </c>
      <c r="J20" s="49">
        <v>0.16</v>
      </c>
      <c r="K20" s="49">
        <v>0.16</v>
      </c>
      <c r="L20" s="49">
        <v>0.16</v>
      </c>
    </row>
    <row r="21" spans="2:12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2:12" x14ac:dyDescent="0.3">
      <c r="B22" s="47" t="s">
        <v>81</v>
      </c>
      <c r="C22" s="49">
        <v>0.17</v>
      </c>
      <c r="D22" s="49">
        <v>0.17</v>
      </c>
      <c r="E22" s="49">
        <v>0.17</v>
      </c>
      <c r="F22" s="49">
        <v>0.17</v>
      </c>
      <c r="G22" s="49">
        <v>0.17</v>
      </c>
      <c r="H22" s="49">
        <v>0.17</v>
      </c>
      <c r="I22" s="49">
        <v>0.17</v>
      </c>
      <c r="J22" s="49">
        <v>0.17</v>
      </c>
      <c r="K22" s="49">
        <v>0.17</v>
      </c>
      <c r="L22" s="49">
        <v>0.17</v>
      </c>
    </row>
    <row r="23" spans="2:12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0C21-4C95-4CFC-89F6-7CB0B4F25AF3}">
  <dimension ref="B1:N11"/>
  <sheetViews>
    <sheetView workbookViewId="0">
      <selection activeCell="D4" sqref="D4"/>
    </sheetView>
  </sheetViews>
  <sheetFormatPr defaultRowHeight="14.4" x14ac:dyDescent="0.3"/>
  <cols>
    <col min="1" max="1" width="2" style="21" customWidth="1"/>
    <col min="2" max="2" width="19.88671875" style="21" bestFit="1" customWidth="1"/>
    <col min="3" max="3" width="11.77734375" style="21" bestFit="1" customWidth="1"/>
    <col min="4" max="13" width="10.88671875" style="21" bestFit="1" customWidth="1"/>
    <col min="14" max="14" width="12.44140625" style="21" bestFit="1" customWidth="1"/>
    <col min="15" max="16384" width="8.88671875" style="21"/>
  </cols>
  <sheetData>
    <row r="1" spans="2:14" ht="45" x14ac:dyDescent="0.75">
      <c r="B1" s="27" t="s">
        <v>86</v>
      </c>
      <c r="C1" s="1"/>
      <c r="D1" s="5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2:14" x14ac:dyDescent="0.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4" ht="15" thickBot="1" x14ac:dyDescent="0.35">
      <c r="B3" s="14" t="s">
        <v>44</v>
      </c>
      <c r="C3" s="14">
        <v>0</v>
      </c>
      <c r="D3" s="14">
        <v>1</v>
      </c>
      <c r="E3" s="14">
        <v>2</v>
      </c>
      <c r="F3" s="14">
        <v>3</v>
      </c>
      <c r="G3" s="14">
        <v>4</v>
      </c>
      <c r="H3" s="14">
        <v>5</v>
      </c>
      <c r="I3" s="14">
        <v>6</v>
      </c>
      <c r="J3" s="14">
        <v>7</v>
      </c>
      <c r="K3" s="14">
        <v>8</v>
      </c>
      <c r="L3" s="14">
        <v>9</v>
      </c>
      <c r="M3" s="14">
        <v>10</v>
      </c>
      <c r="N3" s="8" t="s">
        <v>87</v>
      </c>
    </row>
    <row r="4" spans="2:14" x14ac:dyDescent="0.3">
      <c r="B4" s="12" t="s">
        <v>88</v>
      </c>
      <c r="C4" s="5">
        <v>0</v>
      </c>
      <c r="D4" s="5">
        <f>'P&amp;L'!C6</f>
        <v>90096600</v>
      </c>
      <c r="E4" s="5">
        <f>'P&amp;L'!D6</f>
        <v>90997566</v>
      </c>
      <c r="F4" s="5">
        <f>'P&amp;L'!E6</f>
        <v>91907541.659999996</v>
      </c>
      <c r="G4" s="5">
        <f>'P&amp;L'!F6</f>
        <v>92826617.0766</v>
      </c>
      <c r="H4" s="5">
        <f>'P&amp;L'!G6</f>
        <v>93754883.247366011</v>
      </c>
      <c r="I4" s="5">
        <f>'P&amp;L'!H6</f>
        <v>94692432.079839677</v>
      </c>
      <c r="J4" s="5">
        <f>'P&amp;L'!I6</f>
        <v>95639356.400638074</v>
      </c>
      <c r="K4" s="5">
        <f>'P&amp;L'!J6</f>
        <v>96595749.964644447</v>
      </c>
      <c r="L4" s="5">
        <f>'P&amp;L'!K6</f>
        <v>97561707.464290902</v>
      </c>
      <c r="M4" s="5">
        <f>'P&amp;L'!L6</f>
        <v>98537324.538933814</v>
      </c>
      <c r="N4" s="12"/>
    </row>
    <row r="5" spans="2:14" x14ac:dyDescent="0.3">
      <c r="B5" s="12" t="s">
        <v>77</v>
      </c>
      <c r="C5" s="5">
        <v>0</v>
      </c>
      <c r="D5" s="5">
        <f>'P&amp;L'!C12</f>
        <v>-8428980</v>
      </c>
      <c r="E5" s="5">
        <f>'P&amp;L'!D12</f>
        <v>-8249269.7999999998</v>
      </c>
      <c r="F5" s="5">
        <f>'P&amp;L'!E12</f>
        <v>-8252262.4973999988</v>
      </c>
      <c r="G5" s="5">
        <f>'P&amp;L'!F12</f>
        <v>-8437985.1211799998</v>
      </c>
      <c r="H5" s="5">
        <f>'P&amp;L'!G12</f>
        <v>-8626464.9712098036</v>
      </c>
      <c r="I5" s="5">
        <f>'P&amp;L'!H12</f>
        <v>-8817729.6197519023</v>
      </c>
      <c r="J5" s="5">
        <f>'P&amp;L'!I12</f>
        <v>-9011806.914791422</v>
      </c>
      <c r="K5" s="5">
        <f>'P&amp;L'!J12</f>
        <v>-9208724.982793333</v>
      </c>
      <c r="L5" s="5">
        <f>'P&amp;L'!K12</f>
        <v>-9408512.2314872704</v>
      </c>
      <c r="M5" s="5">
        <f>'P&amp;L'!L12</f>
        <v>-9611197.3526801448</v>
      </c>
      <c r="N5" s="12"/>
    </row>
    <row r="6" spans="2:14" x14ac:dyDescent="0.3">
      <c r="B6" s="12" t="s">
        <v>46</v>
      </c>
      <c r="C6" s="5">
        <f>-'Fixed Asset Rolled Forward'!C15</f>
        <v>-500000000</v>
      </c>
      <c r="D6" s="5">
        <f>-'Fixed Asset Rolled Forward'!C16</f>
        <v>-15000000</v>
      </c>
      <c r="E6" s="5">
        <f>-'Fixed Asset Rolled Forward'!D16</f>
        <v>-15000000</v>
      </c>
      <c r="F6" s="5">
        <f>-'Fixed Asset Rolled Forward'!E16</f>
        <v>-15000000</v>
      </c>
      <c r="G6" s="5">
        <f>-'Fixed Asset Rolled Forward'!F16</f>
        <v>-15000000</v>
      </c>
      <c r="H6" s="5">
        <f>-'Fixed Asset Rolled Forward'!G16</f>
        <v>-15000000</v>
      </c>
      <c r="I6" s="5">
        <f>-'Fixed Asset Rolled Forward'!H16</f>
        <v>-15000000</v>
      </c>
      <c r="J6" s="5">
        <f>-'Fixed Asset Rolled Forward'!I16</f>
        <v>-15000000</v>
      </c>
      <c r="K6" s="5">
        <f>-'Fixed Asset Rolled Forward'!J16</f>
        <v>-15000000</v>
      </c>
      <c r="L6" s="5">
        <f>-'Fixed Asset Rolled Forward'!K16</f>
        <v>-15000000</v>
      </c>
      <c r="M6" s="5">
        <f>-'Fixed Asset Rolled Forward'!L16</f>
        <v>-15000000</v>
      </c>
      <c r="N6" s="12"/>
    </row>
    <row r="7" spans="2:14" x14ac:dyDescent="0.3">
      <c r="B7" s="24" t="s">
        <v>89</v>
      </c>
      <c r="C7" s="41">
        <f>SUM(C4:C6)</f>
        <v>-500000000</v>
      </c>
      <c r="D7" s="41">
        <f t="shared" ref="D7:M7" si="0">SUM(D4:D6)</f>
        <v>66667620</v>
      </c>
      <c r="E7" s="41">
        <f t="shared" si="0"/>
        <v>67748296.200000003</v>
      </c>
      <c r="F7" s="41">
        <f t="shared" si="0"/>
        <v>68655279.162599996</v>
      </c>
      <c r="G7" s="41">
        <f t="shared" si="0"/>
        <v>69388631.955420002</v>
      </c>
      <c r="H7" s="41">
        <f t="shared" si="0"/>
        <v>70128418.276156202</v>
      </c>
      <c r="I7" s="41">
        <f t="shared" si="0"/>
        <v>70874702.460087776</v>
      </c>
      <c r="J7" s="41">
        <f t="shared" si="0"/>
        <v>71627549.485846654</v>
      </c>
      <c r="K7" s="41">
        <f t="shared" si="0"/>
        <v>72387024.981851116</v>
      </c>
      <c r="L7" s="41">
        <f t="shared" si="0"/>
        <v>73153195.232803628</v>
      </c>
      <c r="M7" s="41">
        <f t="shared" si="0"/>
        <v>73926127.186253667</v>
      </c>
      <c r="N7" s="12"/>
    </row>
    <row r="8" spans="2:14" x14ac:dyDescent="0.3">
      <c r="B8" s="12" t="s">
        <v>90</v>
      </c>
      <c r="C8" s="5">
        <f>Financing!C12</f>
        <v>0</v>
      </c>
      <c r="D8" s="5">
        <f>Financing!D12</f>
        <v>0</v>
      </c>
      <c r="E8" s="5">
        <f>Financing!E12</f>
        <v>-15000000</v>
      </c>
      <c r="F8" s="5">
        <f>Financing!F12</f>
        <v>-30000000</v>
      </c>
      <c r="G8" s="5">
        <f>Financing!G12</f>
        <v>-30000000</v>
      </c>
      <c r="H8" s="5">
        <f>Financing!H12</f>
        <v>-30000000</v>
      </c>
      <c r="I8" s="5">
        <f>Financing!I12</f>
        <v>-30000000</v>
      </c>
      <c r="J8" s="5">
        <f>Financing!J12</f>
        <v>-30000000</v>
      </c>
      <c r="K8" s="5">
        <f>Financing!K12</f>
        <v>-30000000</v>
      </c>
      <c r="L8" s="5">
        <f>Financing!L12</f>
        <v>-30000000</v>
      </c>
      <c r="M8" s="5">
        <f>Financing!M12</f>
        <v>-30000000</v>
      </c>
      <c r="N8" s="12"/>
    </row>
    <row r="9" spans="2:14" x14ac:dyDescent="0.3">
      <c r="B9" s="12" t="s">
        <v>74</v>
      </c>
      <c r="C9" s="5">
        <f>Financing!C16</f>
        <v>0</v>
      </c>
      <c r="D9" s="5">
        <f>Financing!D16</f>
        <v>-12000000</v>
      </c>
      <c r="E9" s="5">
        <f>Financing!E16</f>
        <v>-12000000</v>
      </c>
      <c r="F9" s="5">
        <f>Financing!F16</f>
        <v>-11400000.002</v>
      </c>
      <c r="G9" s="5">
        <f>Financing!G16</f>
        <v>-10200000.006000001</v>
      </c>
      <c r="H9" s="5">
        <f>Financing!H16</f>
        <v>-9000000.0099999998</v>
      </c>
      <c r="I9" s="5">
        <f>Financing!I16</f>
        <v>-7800000.0139999995</v>
      </c>
      <c r="J9" s="5">
        <f>Financing!J16</f>
        <v>-6600000.0179999992</v>
      </c>
      <c r="K9" s="5">
        <f>Financing!K16</f>
        <v>-5400000.0219999989</v>
      </c>
      <c r="L9" s="5">
        <f>Financing!L16</f>
        <v>-4200000.0259999987</v>
      </c>
      <c r="M9" s="5">
        <f>Financing!M16</f>
        <v>-3000000.0299999989</v>
      </c>
      <c r="N9" s="12"/>
    </row>
    <row r="10" spans="2:14" x14ac:dyDescent="0.3">
      <c r="B10" s="12" t="s">
        <v>91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2"/>
    </row>
    <row r="11" spans="2:14" ht="15" thickBot="1" x14ac:dyDescent="0.35">
      <c r="B11" s="31" t="s">
        <v>69</v>
      </c>
      <c r="C11" s="32">
        <f>SUM(C7:C10)</f>
        <v>-500000000</v>
      </c>
      <c r="D11" s="32">
        <f>SUM(D7:D10)</f>
        <v>54667620</v>
      </c>
      <c r="E11" s="32">
        <f t="shared" ref="E11:M11" si="1">SUM(E7:E10)</f>
        <v>40748296.200000003</v>
      </c>
      <c r="F11" s="32">
        <f t="shared" si="1"/>
        <v>27255279.160599995</v>
      </c>
      <c r="G11" s="32">
        <f t="shared" si="1"/>
        <v>29188631.949420001</v>
      </c>
      <c r="H11" s="32">
        <f t="shared" si="1"/>
        <v>31128418.266156204</v>
      </c>
      <c r="I11" s="32">
        <f t="shared" si="1"/>
        <v>33074702.446087778</v>
      </c>
      <c r="J11" s="32">
        <f t="shared" si="1"/>
        <v>35027549.467846654</v>
      </c>
      <c r="K11" s="32">
        <f t="shared" si="1"/>
        <v>36987024.959851116</v>
      </c>
      <c r="L11" s="32">
        <f t="shared" si="1"/>
        <v>38953195.206803627</v>
      </c>
      <c r="M11" s="32">
        <f t="shared" si="1"/>
        <v>40926127.156253666</v>
      </c>
      <c r="N11" s="32">
        <f>Drivers!$C$48-Financing!M14</f>
        <v>54999999.150000028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A1DB-27E9-4456-A73A-59A172E42D03}">
  <dimension ref="B1:M35"/>
  <sheetViews>
    <sheetView topLeftCell="A9" workbookViewId="0">
      <selection activeCell="C37" sqref="C37"/>
    </sheetView>
  </sheetViews>
  <sheetFormatPr defaultRowHeight="14.4" x14ac:dyDescent="0.3"/>
  <cols>
    <col min="1" max="1" width="2" style="21" customWidth="1"/>
    <col min="2" max="2" width="24.88671875" style="21" bestFit="1" customWidth="1"/>
    <col min="3" max="3" width="12.6640625" style="21" bestFit="1" customWidth="1"/>
    <col min="4" max="13" width="11.21875" style="21" bestFit="1" customWidth="1"/>
    <col min="14" max="16384" width="8.88671875" style="21"/>
  </cols>
  <sheetData>
    <row r="1" spans="2:13" ht="60.6" x14ac:dyDescent="1">
      <c r="B1" s="61" t="s">
        <v>92</v>
      </c>
    </row>
    <row r="3" spans="2:13" x14ac:dyDescent="0.3">
      <c r="B3" s="5" t="s">
        <v>93</v>
      </c>
      <c r="C3" s="7">
        <v>0.05</v>
      </c>
    </row>
    <row r="4" spans="2:13" x14ac:dyDescent="0.3">
      <c r="B4" s="5" t="s">
        <v>115</v>
      </c>
      <c r="C4" s="7">
        <v>0.02</v>
      </c>
    </row>
    <row r="5" spans="2:13" x14ac:dyDescent="0.3">
      <c r="B5" s="5" t="s">
        <v>12</v>
      </c>
      <c r="C5" s="7">
        <f>Drivers!C47</f>
        <v>0.3</v>
      </c>
    </row>
    <row r="6" spans="2:13" x14ac:dyDescent="0.3">
      <c r="B6" s="5" t="s">
        <v>94</v>
      </c>
      <c r="C6" s="62">
        <f>Drivers!$C$58</f>
        <v>5.5E-2</v>
      </c>
    </row>
    <row r="7" spans="2:13" x14ac:dyDescent="0.3">
      <c r="B7" s="5"/>
      <c r="C7" s="7"/>
    </row>
    <row r="8" spans="2:13" ht="15" thickBot="1" x14ac:dyDescent="0.35">
      <c r="B8" s="14" t="s">
        <v>18</v>
      </c>
      <c r="C8" s="8" t="s">
        <v>23</v>
      </c>
      <c r="D8" s="8" t="s">
        <v>20</v>
      </c>
    </row>
    <row r="9" spans="2:13" x14ac:dyDescent="0.3">
      <c r="B9" s="12" t="s">
        <v>19</v>
      </c>
      <c r="C9" s="13">
        <f>Drivers!C51</f>
        <v>0.7</v>
      </c>
      <c r="D9" s="13">
        <f>Drivers!D51</f>
        <v>0.5</v>
      </c>
    </row>
    <row r="10" spans="2:13" x14ac:dyDescent="0.3">
      <c r="B10" s="12" t="s">
        <v>21</v>
      </c>
      <c r="C10" s="13">
        <f>Drivers!C52</f>
        <v>0.8</v>
      </c>
      <c r="D10" s="13">
        <f>Drivers!D52</f>
        <v>0.4</v>
      </c>
    </row>
    <row r="11" spans="2:13" x14ac:dyDescent="0.3">
      <c r="B11" s="12" t="s">
        <v>22</v>
      </c>
      <c r="C11" s="13">
        <f>Drivers!C53</f>
        <v>0.65</v>
      </c>
      <c r="D11" s="13">
        <f>Drivers!D53</f>
        <v>0.35</v>
      </c>
    </row>
    <row r="14" spans="2:13" ht="15" thickBot="1" x14ac:dyDescent="0.35">
      <c r="B14" s="14" t="s">
        <v>44</v>
      </c>
      <c r="C14" s="14">
        <v>0</v>
      </c>
      <c r="D14" s="14">
        <v>1</v>
      </c>
      <c r="E14" s="14">
        <v>2</v>
      </c>
      <c r="F14" s="14">
        <v>3</v>
      </c>
      <c r="G14" s="14">
        <v>4</v>
      </c>
      <c r="H14" s="14">
        <v>5</v>
      </c>
      <c r="I14" s="14">
        <v>6</v>
      </c>
      <c r="J14" s="14">
        <v>7</v>
      </c>
      <c r="K14" s="14">
        <v>8</v>
      </c>
      <c r="L14" s="14">
        <v>9</v>
      </c>
      <c r="M14" s="14">
        <v>10</v>
      </c>
    </row>
    <row r="15" spans="2:13" x14ac:dyDescent="0.3">
      <c r="B15" s="5" t="s">
        <v>95</v>
      </c>
      <c r="C15" s="5">
        <f>Financing!C14</f>
        <v>300000000</v>
      </c>
      <c r="D15" s="5">
        <f>Financing!D14</f>
        <v>300000000</v>
      </c>
      <c r="E15" s="5">
        <f>Financing!E14</f>
        <v>285000000.05000001</v>
      </c>
      <c r="F15" s="5">
        <f>Financing!F14</f>
        <v>255000000.15000001</v>
      </c>
      <c r="G15" s="5">
        <f>Financing!G14</f>
        <v>225000000.25</v>
      </c>
      <c r="H15" s="5">
        <f>Financing!H14</f>
        <v>195000000.34999999</v>
      </c>
      <c r="I15" s="5">
        <f>Financing!I14</f>
        <v>165000000.44999999</v>
      </c>
      <c r="J15" s="5">
        <f>Financing!J14</f>
        <v>135000000.54999998</v>
      </c>
      <c r="K15" s="5">
        <f>Financing!K14</f>
        <v>105000000.64999998</v>
      </c>
      <c r="L15" s="5">
        <f>Financing!L14</f>
        <v>75000000.74999997</v>
      </c>
      <c r="M15" s="5">
        <f>Financing!M14</f>
        <v>45000000.849999972</v>
      </c>
    </row>
    <row r="16" spans="2:13" x14ac:dyDescent="0.3">
      <c r="B16" s="5" t="s">
        <v>70</v>
      </c>
      <c r="C16" s="5">
        <f>Financing!C21</f>
        <v>200000000</v>
      </c>
      <c r="D16" s="5">
        <f>Financing!D21</f>
        <v>200000000</v>
      </c>
      <c r="E16" s="5">
        <f>Financing!E21</f>
        <v>200000000</v>
      </c>
      <c r="F16" s="5">
        <f>Financing!F21</f>
        <v>200000000</v>
      </c>
      <c r="G16" s="5">
        <f>Financing!G21</f>
        <v>200000000</v>
      </c>
      <c r="H16" s="5">
        <f>Financing!H21</f>
        <v>200000000</v>
      </c>
      <c r="I16" s="5">
        <f>Financing!I21</f>
        <v>200000000</v>
      </c>
      <c r="J16" s="5">
        <f>Financing!J21</f>
        <v>200000000</v>
      </c>
      <c r="K16" s="5">
        <f>Financing!K21</f>
        <v>200000000</v>
      </c>
      <c r="L16" s="5">
        <f>Financing!L21</f>
        <v>200000000</v>
      </c>
      <c r="M16" s="5">
        <f>Financing!M21</f>
        <v>200000000</v>
      </c>
    </row>
    <row r="17" spans="2:13" x14ac:dyDescent="0.3">
      <c r="B17" s="25" t="s">
        <v>96</v>
      </c>
      <c r="C17" s="25">
        <f>SUM(C15:C16)</f>
        <v>500000000</v>
      </c>
      <c r="D17" s="25">
        <f t="shared" ref="D17:M17" si="0">SUM(D15:D16)</f>
        <v>500000000</v>
      </c>
      <c r="E17" s="25">
        <f t="shared" si="0"/>
        <v>485000000.05000001</v>
      </c>
      <c r="F17" s="25">
        <f t="shared" si="0"/>
        <v>455000000.14999998</v>
      </c>
      <c r="G17" s="25">
        <f t="shared" si="0"/>
        <v>425000000.25</v>
      </c>
      <c r="H17" s="25">
        <f t="shared" si="0"/>
        <v>395000000.35000002</v>
      </c>
      <c r="I17" s="25">
        <f t="shared" si="0"/>
        <v>365000000.44999999</v>
      </c>
      <c r="J17" s="25">
        <f t="shared" si="0"/>
        <v>335000000.54999995</v>
      </c>
      <c r="K17" s="25">
        <f t="shared" si="0"/>
        <v>305000000.64999998</v>
      </c>
      <c r="L17" s="25">
        <f t="shared" si="0"/>
        <v>275000000.75</v>
      </c>
      <c r="M17" s="25">
        <f t="shared" si="0"/>
        <v>245000000.84999996</v>
      </c>
    </row>
    <row r="18" spans="2:13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2:13" x14ac:dyDescent="0.3">
      <c r="B19" s="12" t="s">
        <v>97</v>
      </c>
      <c r="C19" s="54">
        <f>C15/C$17</f>
        <v>0.6</v>
      </c>
      <c r="D19" s="54">
        <f t="shared" ref="D19:M19" si="1">D15/D$17</f>
        <v>0.6</v>
      </c>
      <c r="E19" s="54">
        <f t="shared" si="1"/>
        <v>0.5876288660218939</v>
      </c>
      <c r="F19" s="54">
        <f t="shared" si="1"/>
        <v>0.56043956058447053</v>
      </c>
      <c r="G19" s="54">
        <f t="shared" si="1"/>
        <v>0.52941176498269893</v>
      </c>
      <c r="H19" s="54">
        <f t="shared" si="1"/>
        <v>0.4936708865245954</v>
      </c>
      <c r="I19" s="54">
        <f t="shared" si="1"/>
        <v>0.45205479519609681</v>
      </c>
      <c r="J19" s="54">
        <f t="shared" si="1"/>
        <v>0.40298507560703944</v>
      </c>
      <c r="K19" s="54">
        <f t="shared" si="1"/>
        <v>0.34426229647944095</v>
      </c>
      <c r="L19" s="54">
        <f t="shared" si="1"/>
        <v>0.27272727471074371</v>
      </c>
      <c r="M19" s="54">
        <f t="shared" si="1"/>
        <v>0.18367347221990826</v>
      </c>
    </row>
    <row r="20" spans="2:13" x14ac:dyDescent="0.3">
      <c r="B20" s="12" t="s">
        <v>98</v>
      </c>
      <c r="C20" s="54">
        <f t="shared" ref="C20:M20" si="2">C16/C$17</f>
        <v>0.4</v>
      </c>
      <c r="D20" s="54">
        <f t="shared" si="2"/>
        <v>0.4</v>
      </c>
      <c r="E20" s="54">
        <f t="shared" si="2"/>
        <v>0.41237113397810604</v>
      </c>
      <c r="F20" s="54">
        <f t="shared" si="2"/>
        <v>0.43956043941552952</v>
      </c>
      <c r="G20" s="54">
        <f t="shared" si="2"/>
        <v>0.47058823501730102</v>
      </c>
      <c r="H20" s="54">
        <f t="shared" si="2"/>
        <v>0.50632911347540455</v>
      </c>
      <c r="I20" s="54">
        <f t="shared" si="2"/>
        <v>0.54794520480390319</v>
      </c>
      <c r="J20" s="54">
        <f t="shared" si="2"/>
        <v>0.59701492439296067</v>
      </c>
      <c r="K20" s="54">
        <f t="shared" si="2"/>
        <v>0.65573770352055905</v>
      </c>
      <c r="L20" s="54">
        <f t="shared" si="2"/>
        <v>0.72727272528925624</v>
      </c>
      <c r="M20" s="54">
        <f t="shared" si="2"/>
        <v>0.81632652778009174</v>
      </c>
    </row>
    <row r="21" spans="2:13" x14ac:dyDescent="0.3">
      <c r="B21" s="25" t="s">
        <v>99</v>
      </c>
      <c r="C21" s="55">
        <f>SUM(C19:C20)</f>
        <v>1</v>
      </c>
      <c r="D21" s="55">
        <f t="shared" ref="D21:M21" si="3">SUM(D19:D20)</f>
        <v>1</v>
      </c>
      <c r="E21" s="55">
        <f t="shared" si="3"/>
        <v>1</v>
      </c>
      <c r="F21" s="55">
        <f t="shared" si="3"/>
        <v>1</v>
      </c>
      <c r="G21" s="55">
        <f t="shared" si="3"/>
        <v>1</v>
      </c>
      <c r="H21" s="55">
        <f t="shared" si="3"/>
        <v>1</v>
      </c>
      <c r="I21" s="55">
        <f t="shared" si="3"/>
        <v>1</v>
      </c>
      <c r="J21" s="55">
        <f t="shared" si="3"/>
        <v>1</v>
      </c>
      <c r="K21" s="55">
        <f t="shared" si="3"/>
        <v>1</v>
      </c>
      <c r="L21" s="55">
        <f t="shared" si="3"/>
        <v>1</v>
      </c>
      <c r="M21" s="55">
        <f t="shared" si="3"/>
        <v>1</v>
      </c>
    </row>
    <row r="22" spans="2:13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2:13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2:13" x14ac:dyDescent="0.3">
      <c r="B24" s="12" t="s">
        <v>100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2:13" x14ac:dyDescent="0.3">
      <c r="B25" s="12" t="s">
        <v>101</v>
      </c>
      <c r="C25" s="13">
        <f>AVERAGE(C9:C11)</f>
        <v>0.71666666666666667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2:13" x14ac:dyDescent="0.3">
      <c r="B26" s="12" t="s">
        <v>102</v>
      </c>
      <c r="C26" s="56">
        <f>AVERAGE(D9:D11)</f>
        <v>0.41666666666666669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2:13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x14ac:dyDescent="0.3">
      <c r="B28" s="12" t="s">
        <v>103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2:13" x14ac:dyDescent="0.3">
      <c r="B29" s="12" t="s">
        <v>104</v>
      </c>
      <c r="C29" s="53">
        <f>C19/C20</f>
        <v>1.4999999999999998</v>
      </c>
      <c r="D29" s="53">
        <f t="shared" ref="D29:M29" si="4">D19/D20</f>
        <v>1.4999999999999998</v>
      </c>
      <c r="E29" s="53">
        <f t="shared" si="4"/>
        <v>1.4250000002500001</v>
      </c>
      <c r="F29" s="53">
        <f t="shared" si="4"/>
        <v>1.2750000007500002</v>
      </c>
      <c r="G29" s="53">
        <f t="shared" si="4"/>
        <v>1.1250000012499999</v>
      </c>
      <c r="H29" s="53">
        <f t="shared" si="4"/>
        <v>0.97500000175000001</v>
      </c>
      <c r="I29" s="53">
        <f t="shared" si="4"/>
        <v>0.82500000224999992</v>
      </c>
      <c r="J29" s="53">
        <f t="shared" si="4"/>
        <v>0.67500000274999994</v>
      </c>
      <c r="K29" s="53">
        <f t="shared" si="4"/>
        <v>0.52500000324999985</v>
      </c>
      <c r="L29" s="53">
        <f t="shared" si="4"/>
        <v>0.37500000374999987</v>
      </c>
      <c r="M29" s="53">
        <f t="shared" si="4"/>
        <v>0.22500000424999986</v>
      </c>
    </row>
    <row r="30" spans="2:13" x14ac:dyDescent="0.3">
      <c r="B30" s="12" t="s">
        <v>105</v>
      </c>
      <c r="C30" s="53">
        <f>$C$26/((1+(1-$C$5)*($C$25)))</f>
        <v>0.27746947835738073</v>
      </c>
      <c r="D30" s="53">
        <f t="shared" ref="D30:M30" si="5">$C$26/((1+(1-$C$5)*($C$25)))</f>
        <v>0.27746947835738073</v>
      </c>
      <c r="E30" s="53">
        <f t="shared" si="5"/>
        <v>0.27746947835738073</v>
      </c>
      <c r="F30" s="53">
        <f t="shared" si="5"/>
        <v>0.27746947835738073</v>
      </c>
      <c r="G30" s="53">
        <f t="shared" si="5"/>
        <v>0.27746947835738073</v>
      </c>
      <c r="H30" s="53">
        <f t="shared" si="5"/>
        <v>0.27746947835738073</v>
      </c>
      <c r="I30" s="53">
        <f t="shared" si="5"/>
        <v>0.27746947835738073</v>
      </c>
      <c r="J30" s="53">
        <f t="shared" si="5"/>
        <v>0.27746947835738073</v>
      </c>
      <c r="K30" s="53">
        <f t="shared" si="5"/>
        <v>0.27746947835738073</v>
      </c>
      <c r="L30" s="53">
        <f t="shared" si="5"/>
        <v>0.27746947835738073</v>
      </c>
      <c r="M30" s="53">
        <f t="shared" si="5"/>
        <v>0.27746947835738073</v>
      </c>
    </row>
    <row r="31" spans="2:13" x14ac:dyDescent="0.3">
      <c r="B31" s="25" t="s">
        <v>103</v>
      </c>
      <c r="C31" s="57">
        <f>C30*(1+(1-$C$5)*(C29))</f>
        <v>0.56881243063263043</v>
      </c>
      <c r="D31" s="57">
        <f t="shared" ref="D31:M31" si="6">D30*(1+(1-$C$5)*(D29))</f>
        <v>0.56881243063263043</v>
      </c>
      <c r="E31" s="57">
        <f t="shared" si="6"/>
        <v>0.55424528306742515</v>
      </c>
      <c r="F31" s="57">
        <f t="shared" si="6"/>
        <v>0.5251109879370145</v>
      </c>
      <c r="G31" s="57">
        <f t="shared" si="6"/>
        <v>0.49597669280660378</v>
      </c>
      <c r="H31" s="57">
        <f t="shared" si="6"/>
        <v>0.46684239767619318</v>
      </c>
      <c r="I31" s="57">
        <f t="shared" si="6"/>
        <v>0.43770810254578246</v>
      </c>
      <c r="J31" s="57">
        <f t="shared" si="6"/>
        <v>0.4085738074153718</v>
      </c>
      <c r="K31" s="57">
        <f t="shared" si="6"/>
        <v>0.3794395122849612</v>
      </c>
      <c r="L31" s="57">
        <f t="shared" si="6"/>
        <v>0.35030521715455054</v>
      </c>
      <c r="M31" s="57">
        <f t="shared" si="6"/>
        <v>0.32117092202413988</v>
      </c>
    </row>
    <row r="32" spans="2:13" x14ac:dyDescent="0.3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3" x14ac:dyDescent="0.3">
      <c r="B33" s="58" t="s">
        <v>106</v>
      </c>
      <c r="C33" s="59">
        <f>$C$4+$C$6*C31</f>
        <v>5.1284683684794677E-2</v>
      </c>
      <c r="D33" s="59">
        <f t="shared" ref="D33:M33" si="7">$C$4+$C$6*D31</f>
        <v>5.1284683684794677E-2</v>
      </c>
      <c r="E33" s="59">
        <f t="shared" si="7"/>
        <v>5.0483490568708385E-2</v>
      </c>
      <c r="F33" s="59">
        <f t="shared" si="7"/>
        <v>4.8881104336535794E-2</v>
      </c>
      <c r="G33" s="59">
        <f t="shared" si="7"/>
        <v>4.727871810436321E-2</v>
      </c>
      <c r="H33" s="59">
        <f t="shared" si="7"/>
        <v>4.5676331872190626E-2</v>
      </c>
      <c r="I33" s="59">
        <f t="shared" si="7"/>
        <v>4.4073945640018035E-2</v>
      </c>
      <c r="J33" s="59">
        <f t="shared" si="7"/>
        <v>4.2471559407845451E-2</v>
      </c>
      <c r="K33" s="59">
        <f t="shared" si="7"/>
        <v>4.0869173175672867E-2</v>
      </c>
      <c r="L33" s="59">
        <f t="shared" si="7"/>
        <v>3.9266786943500276E-2</v>
      </c>
      <c r="M33" s="59">
        <f t="shared" si="7"/>
        <v>3.7664400711327692E-2</v>
      </c>
    </row>
    <row r="34" spans="2:13" x14ac:dyDescent="0.3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2:13" ht="15" thickBot="1" x14ac:dyDescent="0.35">
      <c r="B35" s="31" t="s">
        <v>92</v>
      </c>
      <c r="C35" s="60">
        <f>C19*(1-$C$5)*$C$3+C20*C33</f>
        <v>4.151387347391787E-2</v>
      </c>
      <c r="D35" s="60">
        <f t="shared" ref="D35:M35" si="8">D19*(1-$C$5)*$C$3+D20*D33</f>
        <v>4.151387347391787E-2</v>
      </c>
      <c r="E35" s="60">
        <f t="shared" si="8"/>
        <v>4.1384944563757582E-2</v>
      </c>
      <c r="F35" s="60">
        <f t="shared" si="8"/>
        <v>4.1101584321740485E-2</v>
      </c>
      <c r="G35" s="60">
        <f t="shared" si="8"/>
        <v>4.0778220281007263E-2</v>
      </c>
      <c r="H35" s="60">
        <f t="shared" si="8"/>
        <v>4.040573765201548E-2</v>
      </c>
      <c r="I35" s="60">
        <f t="shared" si="8"/>
        <v>3.9972025002099162E-2</v>
      </c>
      <c r="J35" s="60">
        <f t="shared" si="8"/>
        <v>3.9460632474972369E-2</v>
      </c>
      <c r="K35" s="60">
        <f t="shared" si="8"/>
        <v>3.8848638139780192E-2</v>
      </c>
      <c r="L35" s="60">
        <f t="shared" si="8"/>
        <v>3.8103117768628056E-2</v>
      </c>
      <c r="M35" s="60">
        <f t="shared" si="8"/>
        <v>3.7175020981292939E-2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A18F-83FA-460F-AA4D-02FF9C649BD9}">
  <dimension ref="B1:O29"/>
  <sheetViews>
    <sheetView tabSelected="1" workbookViewId="0">
      <selection activeCell="E26" sqref="E26"/>
    </sheetView>
  </sheetViews>
  <sheetFormatPr defaultColWidth="9.109375" defaultRowHeight="11.4" x14ac:dyDescent="0.2"/>
  <cols>
    <col min="1" max="1" width="2" style="12" customWidth="1"/>
    <col min="2" max="2" width="27.88671875" style="12" bestFit="1" customWidth="1"/>
    <col min="3" max="3" width="12" style="12" bestFit="1" customWidth="1"/>
    <col min="4" max="5" width="12.5546875" style="12" bestFit="1" customWidth="1"/>
    <col min="6" max="9" width="12" style="12" bestFit="1" customWidth="1"/>
    <col min="10" max="11" width="11" style="12" bestFit="1" customWidth="1"/>
    <col min="12" max="12" width="11.5546875" style="12" bestFit="1" customWidth="1"/>
    <col min="13" max="13" width="13.109375" style="12" bestFit="1" customWidth="1"/>
    <col min="14" max="14" width="11" style="12" bestFit="1" customWidth="1"/>
    <col min="15" max="15" width="13.109375" style="12" bestFit="1" customWidth="1"/>
    <col min="16" max="16384" width="9.109375" style="12"/>
  </cols>
  <sheetData>
    <row r="1" spans="2:15" s="21" customFormat="1" ht="15.6" x14ac:dyDescent="0.3">
      <c r="B1" s="1" t="s">
        <v>107</v>
      </c>
      <c r="M1" s="12"/>
    </row>
    <row r="2" spans="2:15" s="21" customFormat="1" ht="14.4" x14ac:dyDescent="0.3">
      <c r="M2" s="12"/>
    </row>
    <row r="3" spans="2:15" ht="12" x14ac:dyDescent="0.25">
      <c r="C3" s="66"/>
    </row>
    <row r="5" spans="2:15" x14ac:dyDescent="0.2">
      <c r="B5" s="12" t="s">
        <v>87</v>
      </c>
      <c r="C5" s="5">
        <f>'Cash Flow'!N11</f>
        <v>54999999.150000028</v>
      </c>
    </row>
    <row r="7" spans="2:15" ht="12.6" thickBot="1" x14ac:dyDescent="0.3">
      <c r="B7" s="14" t="s">
        <v>44</v>
      </c>
      <c r="C7" s="14"/>
      <c r="D7" s="14">
        <v>0</v>
      </c>
      <c r="E7" s="14">
        <v>1</v>
      </c>
      <c r="F7" s="14">
        <v>2</v>
      </c>
      <c r="G7" s="14">
        <v>3</v>
      </c>
      <c r="H7" s="14">
        <v>4</v>
      </c>
      <c r="I7" s="14">
        <v>5</v>
      </c>
      <c r="J7" s="14">
        <v>6</v>
      </c>
      <c r="K7" s="14">
        <v>7</v>
      </c>
      <c r="L7" s="14">
        <v>8</v>
      </c>
      <c r="M7" s="14">
        <v>9</v>
      </c>
      <c r="N7" s="14">
        <v>10</v>
      </c>
      <c r="O7" s="8" t="s">
        <v>87</v>
      </c>
    </row>
    <row r="8" spans="2:15" x14ac:dyDescent="0.2">
      <c r="B8" s="63" t="s">
        <v>69</v>
      </c>
      <c r="C8" s="63"/>
      <c r="D8" s="63">
        <f>-(Financing!C21)</f>
        <v>-200000000</v>
      </c>
      <c r="E8" s="63">
        <f>'Cash Flow'!D11</f>
        <v>54667620</v>
      </c>
      <c r="F8" s="63">
        <f>'Cash Flow'!E11</f>
        <v>40748296.200000003</v>
      </c>
      <c r="G8" s="63">
        <f>'Cash Flow'!F11</f>
        <v>27255279.160599995</v>
      </c>
      <c r="H8" s="63">
        <f>'Cash Flow'!G11</f>
        <v>29188631.949420001</v>
      </c>
      <c r="I8" s="63">
        <f>'Cash Flow'!H11</f>
        <v>31128418.266156204</v>
      </c>
      <c r="J8" s="63">
        <f>'Cash Flow'!I11</f>
        <v>33074702.446087778</v>
      </c>
      <c r="K8" s="63">
        <f>'Cash Flow'!J11</f>
        <v>35027549.467846654</v>
      </c>
      <c r="L8" s="63">
        <f>'Cash Flow'!K11</f>
        <v>36987024.959851116</v>
      </c>
      <c r="M8" s="63">
        <f>'Cash Flow'!L11</f>
        <v>38953195.206803627</v>
      </c>
      <c r="N8" s="63">
        <f>'Cash Flow'!M11</f>
        <v>40926127.156253666</v>
      </c>
      <c r="O8" s="5">
        <f>'Cash Flow'!N11</f>
        <v>54999999.150000028</v>
      </c>
    </row>
    <row r="9" spans="2:15" x14ac:dyDescent="0.2">
      <c r="B9" s="63" t="s">
        <v>112</v>
      </c>
      <c r="C9" s="63"/>
      <c r="D9" s="63">
        <f>D8</f>
        <v>-200000000</v>
      </c>
      <c r="E9" s="63">
        <f t="shared" ref="E9:M9" si="0">E8</f>
        <v>54667620</v>
      </c>
      <c r="F9" s="63">
        <f t="shared" si="0"/>
        <v>40748296.200000003</v>
      </c>
      <c r="G9" s="63">
        <f t="shared" si="0"/>
        <v>27255279.160599995</v>
      </c>
      <c r="H9" s="63">
        <f t="shared" si="0"/>
        <v>29188631.949420001</v>
      </c>
      <c r="I9" s="63">
        <f t="shared" si="0"/>
        <v>31128418.266156204</v>
      </c>
      <c r="J9" s="63">
        <f t="shared" si="0"/>
        <v>33074702.446087778</v>
      </c>
      <c r="K9" s="63">
        <f t="shared" si="0"/>
        <v>35027549.467846654</v>
      </c>
      <c r="L9" s="63">
        <f t="shared" si="0"/>
        <v>36987024.959851116</v>
      </c>
      <c r="M9" s="63">
        <f t="shared" si="0"/>
        <v>38953195.206803627</v>
      </c>
      <c r="N9" s="5">
        <f>N8+O8</f>
        <v>95926126.306253701</v>
      </c>
      <c r="O9" s="5" t="s">
        <v>118</v>
      </c>
    </row>
    <row r="10" spans="2:15" x14ac:dyDescent="0.2">
      <c r="B10" s="5" t="s">
        <v>106</v>
      </c>
      <c r="C10" s="5"/>
      <c r="D10" s="65">
        <f>WACC!C$33</f>
        <v>5.1284683684794677E-2</v>
      </c>
      <c r="E10" s="65">
        <f>WACC!D$33</f>
        <v>5.1284683684794677E-2</v>
      </c>
      <c r="F10" s="65">
        <f>WACC!E$33</f>
        <v>5.0483490568708385E-2</v>
      </c>
      <c r="G10" s="65">
        <f>WACC!F$33</f>
        <v>4.8881104336535794E-2</v>
      </c>
      <c r="H10" s="65">
        <f>WACC!G$33</f>
        <v>4.727871810436321E-2</v>
      </c>
      <c r="I10" s="65">
        <f>WACC!H$33</f>
        <v>4.5676331872190626E-2</v>
      </c>
      <c r="J10" s="65">
        <f>WACC!I$33</f>
        <v>4.4073945640018035E-2</v>
      </c>
      <c r="K10" s="65">
        <f>WACC!J$33</f>
        <v>4.2471559407845451E-2</v>
      </c>
      <c r="L10" s="65">
        <f>WACC!K$33</f>
        <v>4.0869173175672867E-2</v>
      </c>
      <c r="M10" s="65">
        <f>WACC!L$33</f>
        <v>3.9266786943500276E-2</v>
      </c>
      <c r="N10" s="65">
        <f>WACC!M$33</f>
        <v>3.7664400711327692E-2</v>
      </c>
    </row>
    <row r="11" spans="2:15" ht="12" x14ac:dyDescent="0.25">
      <c r="B11" s="25" t="s">
        <v>108</v>
      </c>
      <c r="C11" s="25"/>
      <c r="D11" s="64">
        <f t="shared" ref="D11:N11" si="1">D8/(1+D10)^D7</f>
        <v>-200000000</v>
      </c>
      <c r="E11" s="64">
        <f t="shared" si="1"/>
        <v>52000776.619695261</v>
      </c>
      <c r="F11" s="64">
        <f t="shared" si="1"/>
        <v>36925891.696415067</v>
      </c>
      <c r="G11" s="64">
        <f t="shared" si="1"/>
        <v>23619562.538009726</v>
      </c>
      <c r="H11" s="64">
        <f t="shared" si="1"/>
        <v>24264124.591668751</v>
      </c>
      <c r="I11" s="64">
        <f t="shared" si="1"/>
        <v>24898355.436421797</v>
      </c>
      <c r="J11" s="64">
        <f t="shared" si="1"/>
        <v>25533385.137644298</v>
      </c>
      <c r="K11" s="64">
        <f t="shared" si="1"/>
        <v>26179433.649264503</v>
      </c>
      <c r="L11" s="64">
        <f t="shared" si="1"/>
        <v>26846039.72936609</v>
      </c>
      <c r="M11" s="64">
        <f t="shared" si="1"/>
        <v>27542265.025586914</v>
      </c>
      <c r="N11" s="64">
        <f t="shared" si="1"/>
        <v>28276878.992986571</v>
      </c>
      <c r="O11" s="25"/>
    </row>
    <row r="12" spans="2:15" ht="12" x14ac:dyDescent="0.25">
      <c r="B12" s="38" t="s">
        <v>109</v>
      </c>
      <c r="C12" s="38"/>
      <c r="D12" s="5"/>
      <c r="E12" s="5"/>
      <c r="F12" s="5"/>
      <c r="G12" s="5"/>
      <c r="H12" s="5"/>
      <c r="I12" s="5"/>
      <c r="J12" s="5"/>
      <c r="K12" s="5"/>
      <c r="L12" s="5"/>
      <c r="M12" s="5"/>
      <c r="N12" s="5">
        <f>$O$8/(1+N10)^N7</f>
        <v>38000867.139007322</v>
      </c>
      <c r="O12" s="38"/>
    </row>
    <row r="13" spans="2:15" ht="12" x14ac:dyDescent="0.25">
      <c r="B13" s="25" t="s">
        <v>110</v>
      </c>
      <c r="C13" s="25"/>
      <c r="D13" s="25">
        <f>SUM(D11:D12)</f>
        <v>-200000000</v>
      </c>
      <c r="E13" s="25">
        <f t="shared" ref="E13:N13" si="2">SUM(E11:E12)</f>
        <v>52000776.619695261</v>
      </c>
      <c r="F13" s="25">
        <f t="shared" si="2"/>
        <v>36925891.696415067</v>
      </c>
      <c r="G13" s="25">
        <f t="shared" si="2"/>
        <v>23619562.538009726</v>
      </c>
      <c r="H13" s="25">
        <f t="shared" si="2"/>
        <v>24264124.591668751</v>
      </c>
      <c r="I13" s="25">
        <f t="shared" si="2"/>
        <v>24898355.436421797</v>
      </c>
      <c r="J13" s="25">
        <f t="shared" si="2"/>
        <v>25533385.137644298</v>
      </c>
      <c r="K13" s="25">
        <f t="shared" si="2"/>
        <v>26179433.649264503</v>
      </c>
      <c r="L13" s="25">
        <f t="shared" si="2"/>
        <v>26846039.72936609</v>
      </c>
      <c r="M13" s="25">
        <f t="shared" si="2"/>
        <v>27542265.025586914</v>
      </c>
      <c r="N13" s="25">
        <f t="shared" si="2"/>
        <v>66277746.13199389</v>
      </c>
      <c r="O13" s="38"/>
    </row>
    <row r="16" spans="2:15" ht="12" x14ac:dyDescent="0.25">
      <c r="B16" s="58" t="s">
        <v>111</v>
      </c>
      <c r="D16" s="30">
        <f>SUM(D13:N13)</f>
        <v>134087580.55606629</v>
      </c>
    </row>
    <row r="18" spans="2:5" ht="12" x14ac:dyDescent="0.25">
      <c r="B18" s="58" t="s">
        <v>113</v>
      </c>
      <c r="D18" s="13">
        <f>IRR(D9:N9)</f>
        <v>0.15351830377659947</v>
      </c>
    </row>
    <row r="21" spans="2:5" ht="12" x14ac:dyDescent="0.25">
      <c r="D21" s="77" t="s">
        <v>114</v>
      </c>
      <c r="E21" s="77"/>
    </row>
    <row r="23" spans="2:5" x14ac:dyDescent="0.2">
      <c r="E23" s="13">
        <f>D18</f>
        <v>0.15351830377659947</v>
      </c>
    </row>
    <row r="24" spans="2:5" x14ac:dyDescent="0.2">
      <c r="D24" s="30">
        <f>$O$8</f>
        <v>54999999.150000028</v>
      </c>
      <c r="E24" s="20">
        <f t="dataTable" ref="E24:E29" dt2D="0" dtr="0" r1="O8" ca="1"/>
        <v>0.15351830377659947</v>
      </c>
    </row>
    <row r="25" spans="2:5" x14ac:dyDescent="0.2">
      <c r="D25" s="30">
        <f>$O$8+10000000</f>
        <v>64999999.150000028</v>
      </c>
      <c r="E25" s="20">
        <v>0.15654249845531965</v>
      </c>
    </row>
    <row r="26" spans="2:5" x14ac:dyDescent="0.2">
      <c r="D26" s="30">
        <f>D25+10000000</f>
        <v>74999999.150000036</v>
      </c>
      <c r="E26" s="20">
        <v>0.16231605601093158</v>
      </c>
    </row>
    <row r="27" spans="2:5" x14ac:dyDescent="0.2">
      <c r="D27" s="30">
        <f t="shared" ref="D27:D29" si="3">D26+10000000</f>
        <v>84999999.150000036</v>
      </c>
      <c r="E27" s="20">
        <v>0.17037424343945951</v>
      </c>
    </row>
    <row r="28" spans="2:5" x14ac:dyDescent="0.2">
      <c r="D28" s="30">
        <f t="shared" si="3"/>
        <v>94999999.150000036</v>
      </c>
      <c r="E28" s="20">
        <v>0.1801810385412832</v>
      </c>
    </row>
    <row r="29" spans="2:5" x14ac:dyDescent="0.2">
      <c r="D29" s="30">
        <f t="shared" si="3"/>
        <v>104999999.15000004</v>
      </c>
      <c r="E29" s="20">
        <v>0.19122647431221984</v>
      </c>
    </row>
  </sheetData>
  <mergeCells count="1"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 --&gt;</vt:lpstr>
      <vt:lpstr>Drivers</vt:lpstr>
      <vt:lpstr>Workings</vt:lpstr>
      <vt:lpstr>Energy Output Forecast</vt:lpstr>
      <vt:lpstr>Fixed Asset Rolled Forward</vt:lpstr>
      <vt:lpstr>Financing</vt:lpstr>
      <vt:lpstr>P&amp;L</vt:lpstr>
      <vt:lpstr>Cash Flow</vt:lpstr>
      <vt:lpstr>WACC</vt:lpstr>
      <vt:lpstr>Discounted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Uchiha_Itachi</cp:lastModifiedBy>
  <dcterms:created xsi:type="dcterms:W3CDTF">2017-10-13T13:35:42Z</dcterms:created>
  <dcterms:modified xsi:type="dcterms:W3CDTF">2020-06-24T07:18:57Z</dcterms:modified>
</cp:coreProperties>
</file>