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n13\Downloads\"/>
    </mc:Choice>
  </mc:AlternateContent>
  <bookViews>
    <workbookView xWindow="0" yWindow="0" windowWidth="17268" windowHeight="6180"/>
  </bookViews>
  <sheets>
    <sheet name="Cover Page" sheetId="7" r:id="rId1"/>
    <sheet name="Summary Table" sheetId="1" r:id="rId2"/>
    <sheet name="Source Data" sheetId="2" r:id="rId3"/>
    <sheet name="Assumptions" sheetId="3" r:id="rId4"/>
    <sheet name="Model" sheetId="4" r:id="rId5"/>
    <sheet name="DCF Valuation" sheetId="5" r:id="rId6"/>
    <sheet name="Scenarios" sheetId="6" r:id="rId7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5" l="1"/>
  <c r="C6" i="5"/>
  <c r="C91" i="3" l="1"/>
  <c r="C90" i="3"/>
  <c r="J147" i="2"/>
  <c r="I166" i="2" s="1"/>
  <c r="M77" i="2"/>
  <c r="O104" i="2" s="1"/>
  <c r="C60" i="3"/>
  <c r="C61" i="3"/>
  <c r="C427" i="2"/>
  <c r="E10" i="1"/>
  <c r="D10" i="1"/>
  <c r="E8" i="1"/>
  <c r="D8" i="1"/>
  <c r="N147" i="2" l="1"/>
  <c r="M166" i="2" s="1"/>
  <c r="M177" i="2" s="1"/>
  <c r="N206" i="2" s="1"/>
  <c r="M115" i="2"/>
  <c r="I26" i="6"/>
  <c r="C94" i="3"/>
  <c r="C93" i="3"/>
  <c r="D16" i="6"/>
  <c r="D20" i="6" s="1"/>
  <c r="D24" i="6" s="1"/>
  <c r="D28" i="6" s="1"/>
  <c r="D32" i="6" s="1"/>
  <c r="D14" i="6"/>
  <c r="D18" i="6" s="1"/>
  <c r="D22" i="6" s="1"/>
  <c r="D26" i="6" s="1"/>
  <c r="D30" i="6" s="1"/>
  <c r="D15" i="6"/>
  <c r="D19" i="6" s="1"/>
  <c r="D23" i="6" s="1"/>
  <c r="D27" i="6" s="1"/>
  <c r="D31" i="6" s="1"/>
  <c r="C76" i="3"/>
  <c r="C87" i="3"/>
  <c r="C85" i="3"/>
  <c r="C84" i="3"/>
  <c r="C82" i="3"/>
  <c r="C81" i="3"/>
  <c r="C79" i="3"/>
  <c r="C78" i="3"/>
  <c r="C88" i="3"/>
  <c r="B84" i="3"/>
  <c r="B87" i="3" s="1"/>
  <c r="B90" i="3" s="1"/>
  <c r="B93" i="3" s="1"/>
  <c r="E23" i="5"/>
  <c r="F23" i="5"/>
  <c r="D23" i="5"/>
  <c r="B79" i="3"/>
  <c r="B82" i="3" s="1"/>
  <c r="B85" i="3" s="1"/>
  <c r="B88" i="3" s="1"/>
  <c r="B91" i="3" s="1"/>
  <c r="B94" i="3" s="1"/>
  <c r="B78" i="3"/>
  <c r="C75" i="3"/>
  <c r="C18" i="5"/>
  <c r="D276" i="4"/>
  <c r="C276" i="4"/>
  <c r="D275" i="4"/>
  <c r="C275" i="4"/>
  <c r="D274" i="4"/>
  <c r="C274" i="4"/>
  <c r="D273" i="4"/>
  <c r="C273" i="4"/>
  <c r="I272" i="4"/>
  <c r="H272" i="4"/>
  <c r="G272" i="4"/>
  <c r="F272" i="4"/>
  <c r="E272" i="4"/>
  <c r="D272" i="4"/>
  <c r="C272" i="4"/>
  <c r="D271" i="4"/>
  <c r="C271" i="4"/>
  <c r="D270" i="4"/>
  <c r="E270" i="4" s="1"/>
  <c r="F270" i="4" s="1"/>
  <c r="G270" i="4" s="1"/>
  <c r="H270" i="4" s="1"/>
  <c r="I270" i="4" s="1"/>
  <c r="C270" i="4"/>
  <c r="D269" i="4"/>
  <c r="E269" i="4" s="1"/>
  <c r="F269" i="4" s="1"/>
  <c r="G269" i="4" s="1"/>
  <c r="H269" i="4" s="1"/>
  <c r="I269" i="4" s="1"/>
  <c r="C269" i="4"/>
  <c r="D268" i="4"/>
  <c r="E268" i="4" s="1"/>
  <c r="F268" i="4" s="1"/>
  <c r="G268" i="4" s="1"/>
  <c r="H268" i="4" s="1"/>
  <c r="I268" i="4" s="1"/>
  <c r="C268" i="4"/>
  <c r="D267" i="4"/>
  <c r="C267" i="4"/>
  <c r="D266" i="4"/>
  <c r="C266" i="4"/>
  <c r="D265" i="4"/>
  <c r="C265" i="4"/>
  <c r="I264" i="4"/>
  <c r="H264" i="4"/>
  <c r="G264" i="4"/>
  <c r="F264" i="4"/>
  <c r="E264" i="4"/>
  <c r="D264" i="4"/>
  <c r="C264" i="4"/>
  <c r="D263" i="4"/>
  <c r="E263" i="4" s="1"/>
  <c r="F263" i="4" s="1"/>
  <c r="G263" i="4" s="1"/>
  <c r="H263" i="4" s="1"/>
  <c r="I263" i="4" s="1"/>
  <c r="C263" i="4"/>
  <c r="D262" i="4"/>
  <c r="E262" i="4" s="1"/>
  <c r="F262" i="4" s="1"/>
  <c r="G262" i="4" s="1"/>
  <c r="H262" i="4" s="1"/>
  <c r="I262" i="4" s="1"/>
  <c r="C262" i="4"/>
  <c r="A262" i="4"/>
  <c r="D261" i="4"/>
  <c r="C261" i="4"/>
  <c r="D260" i="4"/>
  <c r="C260" i="4"/>
  <c r="D259" i="4"/>
  <c r="C259" i="4"/>
  <c r="D258" i="4"/>
  <c r="C258" i="4"/>
  <c r="D257" i="4"/>
  <c r="C257" i="4"/>
  <c r="D256" i="4"/>
  <c r="C256" i="4"/>
  <c r="D255" i="4"/>
  <c r="C255" i="4"/>
  <c r="D254" i="4"/>
  <c r="C254" i="4"/>
  <c r="C253" i="4"/>
  <c r="D252" i="4"/>
  <c r="C252" i="4"/>
  <c r="D251" i="4"/>
  <c r="C251" i="4"/>
  <c r="D250" i="4"/>
  <c r="C250" i="4"/>
  <c r="D249" i="4"/>
  <c r="C249" i="4"/>
  <c r="D248" i="4"/>
  <c r="C248" i="4"/>
  <c r="D247" i="4"/>
  <c r="C247" i="4"/>
  <c r="D246" i="4"/>
  <c r="C246" i="4"/>
  <c r="D245" i="4"/>
  <c r="C245" i="4"/>
  <c r="D244" i="4"/>
  <c r="C244" i="4"/>
  <c r="D243" i="4"/>
  <c r="C243" i="4"/>
  <c r="D242" i="4"/>
  <c r="E242" i="4" s="1"/>
  <c r="F242" i="4" s="1"/>
  <c r="G242" i="4" s="1"/>
  <c r="H242" i="4" s="1"/>
  <c r="I242" i="4" s="1"/>
  <c r="C242" i="4"/>
  <c r="D241" i="4"/>
  <c r="C241" i="4"/>
  <c r="D240" i="4"/>
  <c r="C240" i="4"/>
  <c r="D239" i="4"/>
  <c r="C239" i="4"/>
  <c r="C238" i="4"/>
  <c r="D237" i="4"/>
  <c r="C237" i="4"/>
  <c r="D236" i="4"/>
  <c r="E236" i="4" s="1"/>
  <c r="F236" i="4" s="1"/>
  <c r="G236" i="4" s="1"/>
  <c r="H236" i="4" s="1"/>
  <c r="I236" i="4" s="1"/>
  <c r="C236" i="4"/>
  <c r="D235" i="4"/>
  <c r="E235" i="4" s="1"/>
  <c r="F235" i="4" s="1"/>
  <c r="G235" i="4" s="1"/>
  <c r="H235" i="4" s="1"/>
  <c r="I235" i="4" s="1"/>
  <c r="C235" i="4"/>
  <c r="D234" i="4"/>
  <c r="C234" i="4"/>
  <c r="D233" i="4"/>
  <c r="C233" i="4"/>
  <c r="D232" i="4"/>
  <c r="C232" i="4"/>
  <c r="D231" i="4"/>
  <c r="C231" i="4"/>
  <c r="D230" i="4"/>
  <c r="C230" i="4"/>
  <c r="D229" i="4"/>
  <c r="C229" i="4"/>
  <c r="D228" i="4"/>
  <c r="C228" i="4"/>
  <c r="D227" i="4"/>
  <c r="C227" i="4"/>
  <c r="D225" i="4"/>
  <c r="C225" i="4"/>
  <c r="D217" i="4"/>
  <c r="C217" i="4"/>
  <c r="A217" i="4"/>
  <c r="D216" i="4"/>
  <c r="C216" i="4"/>
  <c r="A216" i="4"/>
  <c r="D215" i="4"/>
  <c r="C215" i="4"/>
  <c r="A215" i="4"/>
  <c r="D214" i="4"/>
  <c r="C214" i="4"/>
  <c r="A214" i="4"/>
  <c r="D213" i="4"/>
  <c r="C213" i="4"/>
  <c r="A213" i="4"/>
  <c r="E212" i="4"/>
  <c r="F212" i="4" s="1"/>
  <c r="G212" i="4" s="1"/>
  <c r="H212" i="4" s="1"/>
  <c r="I212" i="4" s="1"/>
  <c r="D212" i="4"/>
  <c r="C212" i="4"/>
  <c r="A212" i="4"/>
  <c r="D211" i="4"/>
  <c r="C211" i="4"/>
  <c r="A211" i="4"/>
  <c r="D210" i="4"/>
  <c r="C210" i="4"/>
  <c r="D209" i="4"/>
  <c r="C209" i="4"/>
  <c r="A209" i="4"/>
  <c r="D208" i="4"/>
  <c r="C208" i="4"/>
  <c r="A208" i="4"/>
  <c r="D207" i="4"/>
  <c r="C207" i="4"/>
  <c r="A207" i="4"/>
  <c r="D206" i="4"/>
  <c r="C206" i="4"/>
  <c r="A206" i="4"/>
  <c r="D205" i="4"/>
  <c r="C205" i="4"/>
  <c r="A205" i="4"/>
  <c r="D204" i="4"/>
  <c r="C204" i="4"/>
  <c r="A204" i="4"/>
  <c r="D203" i="4"/>
  <c r="C203" i="4"/>
  <c r="A203" i="4"/>
  <c r="D202" i="4"/>
  <c r="C202" i="4"/>
  <c r="A202" i="4"/>
  <c r="A201" i="4"/>
  <c r="D200" i="4"/>
  <c r="D189" i="4" s="1"/>
  <c r="C200" i="4"/>
  <c r="C189" i="4" s="1"/>
  <c r="A197" i="4"/>
  <c r="D196" i="4"/>
  <c r="E196" i="4" s="1"/>
  <c r="F196" i="4" s="1"/>
  <c r="G196" i="4" s="1"/>
  <c r="H196" i="4" s="1"/>
  <c r="I196" i="4" s="1"/>
  <c r="C196" i="4"/>
  <c r="A196" i="4"/>
  <c r="D195" i="4"/>
  <c r="C195" i="4"/>
  <c r="A195" i="4"/>
  <c r="D194" i="4"/>
  <c r="C194" i="4"/>
  <c r="A194" i="4"/>
  <c r="D193" i="4"/>
  <c r="C193" i="4"/>
  <c r="A193" i="4"/>
  <c r="D192" i="4"/>
  <c r="C192" i="4"/>
  <c r="A192" i="4"/>
  <c r="D191" i="4"/>
  <c r="C191" i="4"/>
  <c r="A191" i="4"/>
  <c r="A190" i="4"/>
  <c r="E185" i="4"/>
  <c r="D180" i="4"/>
  <c r="D183" i="4" s="1"/>
  <c r="C180" i="4"/>
  <c r="C183" i="4" s="1"/>
  <c r="D173" i="4"/>
  <c r="C173" i="4"/>
  <c r="D172" i="4"/>
  <c r="C172" i="4"/>
  <c r="D171" i="4"/>
  <c r="C171" i="4"/>
  <c r="D169" i="4"/>
  <c r="C169" i="4"/>
  <c r="D168" i="4"/>
  <c r="C168" i="4"/>
  <c r="D166" i="4"/>
  <c r="C166" i="4"/>
  <c r="D165" i="4"/>
  <c r="C165" i="4"/>
  <c r="D164" i="4"/>
  <c r="C164" i="4"/>
  <c r="D163" i="4"/>
  <c r="C163" i="4"/>
  <c r="A163" i="4"/>
  <c r="D156" i="4"/>
  <c r="C156" i="4"/>
  <c r="D155" i="4"/>
  <c r="C155" i="4"/>
  <c r="D154" i="4"/>
  <c r="C154" i="4"/>
  <c r="D153" i="4"/>
  <c r="C153" i="4"/>
  <c r="D150" i="4"/>
  <c r="C150" i="4"/>
  <c r="A150" i="4"/>
  <c r="D149" i="4"/>
  <c r="C149" i="4"/>
  <c r="A149" i="4"/>
  <c r="A148" i="4"/>
  <c r="D147" i="4"/>
  <c r="C147" i="4"/>
  <c r="A147" i="4"/>
  <c r="D146" i="4"/>
  <c r="C146" i="4"/>
  <c r="A146" i="4"/>
  <c r="D144" i="4"/>
  <c r="C144" i="4"/>
  <c r="A144" i="4"/>
  <c r="D143" i="4"/>
  <c r="C143" i="4"/>
  <c r="A143" i="4"/>
  <c r="A142" i="4"/>
  <c r="D141" i="4"/>
  <c r="C141" i="4"/>
  <c r="A141" i="4"/>
  <c r="D140" i="4"/>
  <c r="C140" i="4"/>
  <c r="A140" i="4"/>
  <c r="A116" i="4"/>
  <c r="A127" i="4" s="1"/>
  <c r="A105" i="4"/>
  <c r="B103" i="4"/>
  <c r="B114" i="4" s="1"/>
  <c r="A100" i="4"/>
  <c r="A93" i="4"/>
  <c r="A104" i="4" s="1"/>
  <c r="A115" i="4" s="1"/>
  <c r="A126" i="4" s="1"/>
  <c r="A89" i="4"/>
  <c r="A83" i="4"/>
  <c r="A82" i="4"/>
  <c r="B81" i="4"/>
  <c r="B92" i="4" s="1"/>
  <c r="A58" i="4"/>
  <c r="F57" i="4"/>
  <c r="F68" i="4" s="1"/>
  <c r="D53" i="4"/>
  <c r="C53" i="4"/>
  <c r="D51" i="4"/>
  <c r="D63" i="4" s="1"/>
  <c r="C51" i="4"/>
  <c r="D49" i="4"/>
  <c r="D62" i="4" s="1"/>
  <c r="C49" i="4"/>
  <c r="D47" i="4"/>
  <c r="D61" i="4" s="1"/>
  <c r="C47" i="4"/>
  <c r="A46" i="4"/>
  <c r="A48" i="4" s="1"/>
  <c r="A50" i="4" s="1"/>
  <c r="A52" i="4" s="1"/>
  <c r="A54" i="4" s="1"/>
  <c r="D45" i="4"/>
  <c r="D60" i="4" s="1"/>
  <c r="C45" i="4"/>
  <c r="D43" i="4"/>
  <c r="D59" i="4" s="1"/>
  <c r="C43" i="4"/>
  <c r="A37" i="4"/>
  <c r="I36" i="4"/>
  <c r="H36" i="4"/>
  <c r="G36" i="4"/>
  <c r="F36" i="4"/>
  <c r="E36" i="4"/>
  <c r="D36" i="4"/>
  <c r="C36" i="4"/>
  <c r="A36" i="4"/>
  <c r="A35" i="4"/>
  <c r="D34" i="4"/>
  <c r="C34" i="4"/>
  <c r="A34" i="4"/>
  <c r="A33" i="4"/>
  <c r="D32" i="4"/>
  <c r="C32" i="4"/>
  <c r="A32" i="4"/>
  <c r="D31" i="4"/>
  <c r="C31" i="4"/>
  <c r="A31" i="4"/>
  <c r="D30" i="4"/>
  <c r="C30" i="4"/>
  <c r="A30" i="4"/>
  <c r="A29" i="4"/>
  <c r="A28" i="4"/>
  <c r="A27" i="4"/>
  <c r="D26" i="4"/>
  <c r="C26" i="4"/>
  <c r="A26" i="4"/>
  <c r="D25" i="4"/>
  <c r="C25" i="4"/>
  <c r="A25" i="4"/>
  <c r="A24" i="4"/>
  <c r="D23" i="4"/>
  <c r="C23" i="4"/>
  <c r="A23" i="4"/>
  <c r="D22" i="4"/>
  <c r="C22" i="4"/>
  <c r="A22" i="4"/>
  <c r="D21" i="4"/>
  <c r="C21" i="4"/>
  <c r="I20" i="4"/>
  <c r="I41" i="4" s="1"/>
  <c r="H20" i="4"/>
  <c r="H41" i="4" s="1"/>
  <c r="H57" i="4" s="1"/>
  <c r="H68" i="4" s="1"/>
  <c r="G20" i="4"/>
  <c r="G41" i="4" s="1"/>
  <c r="F20" i="4"/>
  <c r="F41" i="4" s="1"/>
  <c r="F139" i="4" s="1"/>
  <c r="F152" i="4" s="1"/>
  <c r="F161" i="4" s="1"/>
  <c r="F178" i="4" s="1"/>
  <c r="F200" i="4" s="1"/>
  <c r="F189" i="4" s="1"/>
  <c r="E20" i="4"/>
  <c r="E41" i="4" s="1"/>
  <c r="D20" i="4"/>
  <c r="D41" i="4" s="1"/>
  <c r="C20" i="4"/>
  <c r="C41" i="4" s="1"/>
  <c r="A18" i="4"/>
  <c r="E17" i="4"/>
  <c r="F17" i="4" s="1"/>
  <c r="G17" i="4" s="1"/>
  <c r="H17" i="4" s="1"/>
  <c r="I17" i="4" s="1"/>
  <c r="A17" i="4"/>
  <c r="A16" i="4"/>
  <c r="A15" i="4"/>
  <c r="A14" i="4"/>
  <c r="A13" i="4"/>
  <c r="A12" i="4"/>
  <c r="A11" i="4"/>
  <c r="A10" i="4"/>
  <c r="A9" i="4"/>
  <c r="A8" i="4"/>
  <c r="A7" i="4"/>
  <c r="F69" i="3"/>
  <c r="C69" i="3"/>
  <c r="C64" i="3"/>
  <c r="F60" i="3"/>
  <c r="F59" i="3"/>
  <c r="C59" i="3"/>
  <c r="F61" i="3" s="1"/>
  <c r="F58" i="3"/>
  <c r="C58" i="3"/>
  <c r="F57" i="3"/>
  <c r="F65" i="3" s="1"/>
  <c r="F67" i="3" s="1"/>
  <c r="F54" i="3"/>
  <c r="C54" i="3"/>
  <c r="B51" i="3"/>
  <c r="A173" i="4" s="1"/>
  <c r="E50" i="3"/>
  <c r="B50" i="3"/>
  <c r="A172" i="4" s="1"/>
  <c r="E49" i="3"/>
  <c r="B49" i="3"/>
  <c r="A171" i="4" s="1"/>
  <c r="F48" i="3"/>
  <c r="E48" i="3"/>
  <c r="B48" i="3"/>
  <c r="A170" i="4" s="1"/>
  <c r="E47" i="3"/>
  <c r="B47" i="3"/>
  <c r="A169" i="4" s="1"/>
  <c r="E46" i="3"/>
  <c r="B46" i="3"/>
  <c r="A168" i="4" s="1"/>
  <c r="E45" i="3"/>
  <c r="B45" i="3"/>
  <c r="A167" i="4" s="1"/>
  <c r="B44" i="3"/>
  <c r="A166" i="4" s="1"/>
  <c r="B43" i="3"/>
  <c r="A165" i="4" s="1"/>
  <c r="B42" i="3"/>
  <c r="A164" i="4" s="1"/>
  <c r="B40" i="3"/>
  <c r="A162" i="4" s="1"/>
  <c r="B35" i="3"/>
  <c r="B34" i="3"/>
  <c r="B33" i="3"/>
  <c r="E32" i="3"/>
  <c r="B32" i="3"/>
  <c r="E31" i="3"/>
  <c r="E30" i="3"/>
  <c r="B30" i="3"/>
  <c r="E29" i="3"/>
  <c r="B29" i="3"/>
  <c r="B28" i="3"/>
  <c r="B27" i="3"/>
  <c r="F25" i="3"/>
  <c r="E25" i="3"/>
  <c r="A53" i="4" s="1"/>
  <c r="C23" i="3"/>
  <c r="A125" i="4" s="1"/>
  <c r="B23" i="3"/>
  <c r="C22" i="3"/>
  <c r="A114" i="4" s="1"/>
  <c r="B22" i="3"/>
  <c r="E24" i="3" s="1"/>
  <c r="A51" i="4" s="1"/>
  <c r="A63" i="4" s="1"/>
  <c r="A113" i="4" s="1"/>
  <c r="C21" i="3"/>
  <c r="A103" i="4" s="1"/>
  <c r="B21" i="3"/>
  <c r="E23" i="3" s="1"/>
  <c r="A49" i="4" s="1"/>
  <c r="A62" i="4" s="1"/>
  <c r="A102" i="4" s="1"/>
  <c r="B20" i="3"/>
  <c r="E22" i="3" s="1"/>
  <c r="A47" i="4" s="1"/>
  <c r="A61" i="4" s="1"/>
  <c r="A91" i="4" s="1"/>
  <c r="B19" i="3"/>
  <c r="E21" i="3" s="1"/>
  <c r="A45" i="4" s="1"/>
  <c r="A60" i="4" s="1"/>
  <c r="A80" i="4" s="1"/>
  <c r="B18" i="3"/>
  <c r="E20" i="3" s="1"/>
  <c r="A43" i="4" s="1"/>
  <c r="A59" i="4" s="1"/>
  <c r="A69" i="4" s="1"/>
  <c r="F15" i="3"/>
  <c r="C14" i="3"/>
  <c r="E11" i="3"/>
  <c r="E10" i="3"/>
  <c r="E9" i="3"/>
  <c r="E8" i="3"/>
  <c r="B7" i="3"/>
  <c r="B6" i="3"/>
  <c r="E6" i="3" s="1"/>
  <c r="G427" i="2"/>
  <c r="F427" i="2"/>
  <c r="E427" i="2"/>
  <c r="D427" i="2"/>
  <c r="G424" i="2"/>
  <c r="F424" i="2"/>
  <c r="F425" i="2" s="1"/>
  <c r="E424" i="2"/>
  <c r="D424" i="2"/>
  <c r="C424" i="2"/>
  <c r="G423" i="2"/>
  <c r="F423" i="2"/>
  <c r="E423" i="2"/>
  <c r="E425" i="2" s="1"/>
  <c r="D423" i="2"/>
  <c r="D425" i="2" s="1"/>
  <c r="C423" i="2"/>
  <c r="C425" i="2" s="1"/>
  <c r="K418" i="2"/>
  <c r="J418" i="2"/>
  <c r="I418" i="2"/>
  <c r="H418" i="2"/>
  <c r="G418" i="2"/>
  <c r="D418" i="2"/>
  <c r="C314" i="2"/>
  <c r="D313" i="2"/>
  <c r="D312" i="2"/>
  <c r="D311" i="2"/>
  <c r="C311" i="2"/>
  <c r="D296" i="2"/>
  <c r="C296" i="2"/>
  <c r="D288" i="2"/>
  <c r="C288" i="2"/>
  <c r="E260" i="2"/>
  <c r="D260" i="2"/>
  <c r="D262" i="2" s="1"/>
  <c r="C260" i="2"/>
  <c r="C262" i="2" s="1"/>
  <c r="C263" i="2" s="1"/>
  <c r="E253" i="2"/>
  <c r="D253" i="2"/>
  <c r="C253" i="2"/>
  <c r="L252" i="2"/>
  <c r="K252" i="2"/>
  <c r="J252" i="2"/>
  <c r="L251" i="2"/>
  <c r="K251" i="2"/>
  <c r="J251" i="2"/>
  <c r="L250" i="2"/>
  <c r="K250" i="2"/>
  <c r="J250" i="2"/>
  <c r="L249" i="2"/>
  <c r="K249" i="2"/>
  <c r="J249" i="2"/>
  <c r="L248" i="2"/>
  <c r="K248" i="2"/>
  <c r="J248" i="2"/>
  <c r="N247" i="2"/>
  <c r="F39" i="3" s="1"/>
  <c r="E180" i="4" s="1"/>
  <c r="M247" i="2"/>
  <c r="L247" i="2"/>
  <c r="K247" i="2"/>
  <c r="J247" i="2"/>
  <c r="E245" i="2"/>
  <c r="D245" i="2"/>
  <c r="C245" i="2"/>
  <c r="M241" i="2"/>
  <c r="C51" i="3" s="1"/>
  <c r="L241" i="2"/>
  <c r="K241" i="2"/>
  <c r="M240" i="2"/>
  <c r="C50" i="3" s="1"/>
  <c r="L240" i="2"/>
  <c r="K240" i="2"/>
  <c r="M239" i="2"/>
  <c r="C49" i="3" s="1"/>
  <c r="L239" i="2"/>
  <c r="K239" i="2"/>
  <c r="M237" i="2"/>
  <c r="L237" i="2"/>
  <c r="K237" i="2"/>
  <c r="J237" i="2"/>
  <c r="I237" i="2"/>
  <c r="M236" i="2"/>
  <c r="L236" i="2"/>
  <c r="K236" i="2"/>
  <c r="E231" i="2"/>
  <c r="D231" i="2"/>
  <c r="C231" i="2"/>
  <c r="M230" i="2"/>
  <c r="L230" i="2"/>
  <c r="K230" i="2"/>
  <c r="M229" i="2"/>
  <c r="L229" i="2"/>
  <c r="K229" i="2"/>
  <c r="I229" i="2"/>
  <c r="M228" i="2"/>
  <c r="L228" i="2"/>
  <c r="K228" i="2"/>
  <c r="M227" i="2"/>
  <c r="L227" i="2"/>
  <c r="K227" i="2"/>
  <c r="E223" i="2"/>
  <c r="E225" i="2" s="1"/>
  <c r="D223" i="2"/>
  <c r="D225" i="2" s="1"/>
  <c r="C223" i="2"/>
  <c r="C225" i="2" s="1"/>
  <c r="C232" i="2" s="1"/>
  <c r="D222" i="2"/>
  <c r="C222" i="2"/>
  <c r="E217" i="2"/>
  <c r="D217" i="2"/>
  <c r="C217" i="2"/>
  <c r="M214" i="2"/>
  <c r="L214" i="2"/>
  <c r="K214" i="2"/>
  <c r="M213" i="2"/>
  <c r="L213" i="2"/>
  <c r="K213" i="2"/>
  <c r="M211" i="2"/>
  <c r="L211" i="2"/>
  <c r="K211" i="2"/>
  <c r="I211" i="2"/>
  <c r="M210" i="2"/>
  <c r="L210" i="2"/>
  <c r="K210" i="2"/>
  <c r="M209" i="2"/>
  <c r="L209" i="2"/>
  <c r="K209" i="2"/>
  <c r="M208" i="2"/>
  <c r="L208" i="2"/>
  <c r="K208" i="2"/>
  <c r="M207" i="2"/>
  <c r="L207" i="2"/>
  <c r="K207" i="2"/>
  <c r="I207" i="2"/>
  <c r="G200" i="2"/>
  <c r="G268" i="2" s="1"/>
  <c r="F200" i="2"/>
  <c r="F268" i="2" s="1"/>
  <c r="C195" i="2"/>
  <c r="C194" i="2"/>
  <c r="C193" i="2"/>
  <c r="C192" i="2"/>
  <c r="D190" i="2"/>
  <c r="D188" i="2"/>
  <c r="D187" i="2"/>
  <c r="J149" i="2" s="1"/>
  <c r="C187" i="2"/>
  <c r="I149" i="2" s="1"/>
  <c r="D182" i="2"/>
  <c r="C182" i="2"/>
  <c r="L180" i="2"/>
  <c r="K180" i="2"/>
  <c r="J180" i="2"/>
  <c r="I180" i="2"/>
  <c r="L179" i="2"/>
  <c r="M179" i="2" s="1"/>
  <c r="K179" i="2"/>
  <c r="J179" i="2"/>
  <c r="I179" i="2"/>
  <c r="L178" i="2"/>
  <c r="K178" i="2"/>
  <c r="J178" i="2"/>
  <c r="I178" i="2"/>
  <c r="D176" i="2"/>
  <c r="I249" i="2" s="1"/>
  <c r="M249" i="2" s="1"/>
  <c r="C176" i="2"/>
  <c r="I214" i="2" s="1"/>
  <c r="G172" i="2"/>
  <c r="F172" i="2"/>
  <c r="E172" i="2"/>
  <c r="E200" i="2" s="1"/>
  <c r="E268" i="2" s="1"/>
  <c r="D172" i="2"/>
  <c r="D200" i="2" s="1"/>
  <c r="D268" i="2" s="1"/>
  <c r="C172" i="2"/>
  <c r="C200" i="2" s="1"/>
  <c r="C268" i="2" s="1"/>
  <c r="G166" i="2"/>
  <c r="F166" i="2"/>
  <c r="E165" i="2"/>
  <c r="D165" i="2"/>
  <c r="C165" i="2"/>
  <c r="E164" i="2"/>
  <c r="D164" i="2"/>
  <c r="C164" i="2"/>
  <c r="G161" i="2"/>
  <c r="G167" i="2" s="1"/>
  <c r="F161" i="2"/>
  <c r="F167" i="2" s="1"/>
  <c r="E161" i="2"/>
  <c r="D161" i="2"/>
  <c r="E160" i="2"/>
  <c r="D160" i="2"/>
  <c r="C160" i="2"/>
  <c r="C161" i="2" s="1"/>
  <c r="G158" i="2"/>
  <c r="F158" i="2"/>
  <c r="E158" i="2"/>
  <c r="D158" i="2"/>
  <c r="C158" i="2"/>
  <c r="G154" i="2"/>
  <c r="D197" i="4" s="1"/>
  <c r="F154" i="2"/>
  <c r="C197" i="4" s="1"/>
  <c r="E154" i="2"/>
  <c r="D154" i="2"/>
  <c r="C154" i="2"/>
  <c r="M152" i="2"/>
  <c r="L152" i="2"/>
  <c r="K152" i="2"/>
  <c r="M151" i="2"/>
  <c r="L151" i="2"/>
  <c r="K151" i="2"/>
  <c r="M149" i="2"/>
  <c r="L149" i="2"/>
  <c r="K149" i="2"/>
  <c r="M148" i="2"/>
  <c r="L148" i="2"/>
  <c r="K148" i="2"/>
  <c r="L129" i="2"/>
  <c r="K129" i="2"/>
  <c r="J129" i="2"/>
  <c r="I129" i="2"/>
  <c r="L128" i="2"/>
  <c r="K128" i="2"/>
  <c r="J128" i="2"/>
  <c r="I128" i="2"/>
  <c r="G127" i="2"/>
  <c r="D148" i="4" s="1"/>
  <c r="F127" i="2"/>
  <c r="C148" i="4" s="1"/>
  <c r="E127" i="2"/>
  <c r="D127" i="2"/>
  <c r="C127" i="2"/>
  <c r="L126" i="2"/>
  <c r="K126" i="2"/>
  <c r="J126" i="2"/>
  <c r="I126" i="2"/>
  <c r="M126" i="2" s="1"/>
  <c r="C33" i="3" s="1"/>
  <c r="L125" i="2"/>
  <c r="K125" i="2"/>
  <c r="J125" i="2"/>
  <c r="I125" i="2"/>
  <c r="L120" i="2"/>
  <c r="K120" i="2"/>
  <c r="J120" i="2"/>
  <c r="C120" i="2"/>
  <c r="I120" i="2" s="1"/>
  <c r="M120" i="2" s="1"/>
  <c r="C30" i="3" s="1"/>
  <c r="M119" i="2"/>
  <c r="C29" i="3" s="1"/>
  <c r="L119" i="2"/>
  <c r="K119" i="2"/>
  <c r="J119" i="2"/>
  <c r="I119" i="2"/>
  <c r="G118" i="2"/>
  <c r="D142" i="4" s="1"/>
  <c r="F118" i="2"/>
  <c r="C142" i="4" s="1"/>
  <c r="E118" i="2"/>
  <c r="D118" i="2"/>
  <c r="C118" i="2"/>
  <c r="L117" i="2"/>
  <c r="K117" i="2"/>
  <c r="J117" i="2"/>
  <c r="I117" i="2"/>
  <c r="L116" i="2"/>
  <c r="K116" i="2"/>
  <c r="J116" i="2"/>
  <c r="I116" i="2"/>
  <c r="G115" i="2"/>
  <c r="G124" i="2" s="1"/>
  <c r="G133" i="2" s="1"/>
  <c r="F115" i="2"/>
  <c r="F124" i="2" s="1"/>
  <c r="F133" i="2" s="1"/>
  <c r="E115" i="2"/>
  <c r="E124" i="2" s="1"/>
  <c r="E133" i="2" s="1"/>
  <c r="D115" i="2"/>
  <c r="D124" i="2" s="1"/>
  <c r="C115" i="2"/>
  <c r="C124" i="2" s="1"/>
  <c r="H111" i="2"/>
  <c r="G111" i="2"/>
  <c r="F111" i="2"/>
  <c r="E111" i="2"/>
  <c r="D111" i="2"/>
  <c r="C110" i="2"/>
  <c r="P109" i="2"/>
  <c r="F24" i="3" s="1"/>
  <c r="F22" i="6" s="1"/>
  <c r="N109" i="2"/>
  <c r="M109" i="2"/>
  <c r="L109" i="2"/>
  <c r="J109" i="2"/>
  <c r="P108" i="2"/>
  <c r="F23" i="3" s="1"/>
  <c r="H18" i="6" s="1"/>
  <c r="N108" i="2"/>
  <c r="M108" i="2"/>
  <c r="L108" i="2"/>
  <c r="J108" i="2"/>
  <c r="P107" i="2"/>
  <c r="F22" i="3" s="1"/>
  <c r="N107" i="2"/>
  <c r="M107" i="2"/>
  <c r="L107" i="2"/>
  <c r="J107" i="2"/>
  <c r="C107" i="2"/>
  <c r="C20" i="3" s="1"/>
  <c r="A92" i="4" s="1"/>
  <c r="N106" i="2"/>
  <c r="M106" i="2"/>
  <c r="L106" i="2"/>
  <c r="J106" i="2"/>
  <c r="C106" i="2"/>
  <c r="C19" i="3" s="1"/>
  <c r="A81" i="4" s="1"/>
  <c r="P105" i="2"/>
  <c r="F20" i="3" s="1"/>
  <c r="G6" i="6" s="1"/>
  <c r="N105" i="2"/>
  <c r="M105" i="2"/>
  <c r="L105" i="2"/>
  <c r="J105" i="2"/>
  <c r="C105" i="2"/>
  <c r="C18" i="3" s="1"/>
  <c r="A70" i="4" s="1"/>
  <c r="N104" i="2"/>
  <c r="M147" i="2" s="1"/>
  <c r="L166" i="2" s="1"/>
  <c r="M104" i="2"/>
  <c r="L147" i="2" s="1"/>
  <c r="K166" i="2" s="1"/>
  <c r="L104" i="2"/>
  <c r="K147" i="2" s="1"/>
  <c r="J166" i="2" s="1"/>
  <c r="J104" i="2"/>
  <c r="I147" i="2" s="1"/>
  <c r="D94" i="2"/>
  <c r="F92" i="2"/>
  <c r="F94" i="2" s="1"/>
  <c r="L91" i="2"/>
  <c r="K91" i="2"/>
  <c r="J91" i="2"/>
  <c r="I91" i="2"/>
  <c r="G90" i="2"/>
  <c r="G92" i="2" s="1"/>
  <c r="G94" i="2" s="1"/>
  <c r="F90" i="2"/>
  <c r="E90" i="2"/>
  <c r="E92" i="2" s="1"/>
  <c r="E94" i="2" s="1"/>
  <c r="D90" i="2"/>
  <c r="C90" i="2"/>
  <c r="C92" i="2" s="1"/>
  <c r="C94" i="2" s="1"/>
  <c r="M89" i="2"/>
  <c r="L89" i="2"/>
  <c r="K89" i="2"/>
  <c r="J89" i="2"/>
  <c r="I89" i="2"/>
  <c r="L88" i="2"/>
  <c r="K88" i="2"/>
  <c r="J88" i="2"/>
  <c r="I88" i="2"/>
  <c r="L87" i="2"/>
  <c r="K87" i="2"/>
  <c r="J87" i="2"/>
  <c r="I87" i="2"/>
  <c r="G84" i="2"/>
  <c r="F84" i="2"/>
  <c r="E84" i="2"/>
  <c r="D84" i="2"/>
  <c r="C84" i="2"/>
  <c r="L83" i="2"/>
  <c r="K83" i="2"/>
  <c r="J83" i="2"/>
  <c r="I83" i="2"/>
  <c r="L82" i="2"/>
  <c r="K82" i="2"/>
  <c r="J82" i="2"/>
  <c r="I82" i="2"/>
  <c r="L80" i="2"/>
  <c r="K80" i="2"/>
  <c r="J80" i="2"/>
  <c r="I80" i="2"/>
  <c r="L79" i="2"/>
  <c r="M79" i="2" s="1"/>
  <c r="F7" i="3" s="1"/>
  <c r="K79" i="2"/>
  <c r="J79" i="2"/>
  <c r="I79" i="2"/>
  <c r="L78" i="2"/>
  <c r="K78" i="2"/>
  <c r="J78" i="2"/>
  <c r="I78" i="2"/>
  <c r="B78" i="2"/>
  <c r="A21" i="4" s="1"/>
  <c r="L77" i="2"/>
  <c r="K77" i="2"/>
  <c r="J77" i="2"/>
  <c r="I77" i="2"/>
  <c r="G77" i="2"/>
  <c r="F77" i="2"/>
  <c r="E77" i="2"/>
  <c r="D77" i="2"/>
  <c r="G73" i="2"/>
  <c r="F73" i="2"/>
  <c r="E73" i="2"/>
  <c r="G72" i="2"/>
  <c r="F72" i="2"/>
  <c r="E72" i="2"/>
  <c r="B72" i="2"/>
  <c r="G71" i="2"/>
  <c r="F71" i="2"/>
  <c r="E71" i="2"/>
  <c r="B71" i="2"/>
  <c r="G70" i="2"/>
  <c r="F70" i="2"/>
  <c r="E70" i="2"/>
  <c r="B70" i="2"/>
  <c r="G69" i="2"/>
  <c r="F69" i="2"/>
  <c r="E69" i="2"/>
  <c r="B69" i="2"/>
  <c r="G67" i="2"/>
  <c r="F67" i="2"/>
  <c r="E67" i="2"/>
  <c r="C65" i="2"/>
  <c r="G64" i="2"/>
  <c r="D17" i="4" s="1"/>
  <c r="F64" i="2"/>
  <c r="C17" i="4" s="1"/>
  <c r="E64" i="2"/>
  <c r="D63" i="2"/>
  <c r="D65" i="2" s="1"/>
  <c r="C63" i="2"/>
  <c r="G62" i="2"/>
  <c r="D15" i="4" s="1"/>
  <c r="F62" i="2"/>
  <c r="C15" i="4" s="1"/>
  <c r="E62" i="2"/>
  <c r="J61" i="2"/>
  <c r="I61" i="2"/>
  <c r="G61" i="2"/>
  <c r="F61" i="2"/>
  <c r="K61" i="2" s="1"/>
  <c r="E61" i="2"/>
  <c r="I60" i="2"/>
  <c r="G60" i="2"/>
  <c r="F60" i="2"/>
  <c r="E60" i="2"/>
  <c r="J60" i="2" s="1"/>
  <c r="I59" i="2"/>
  <c r="G59" i="2"/>
  <c r="F59" i="2"/>
  <c r="E59" i="2"/>
  <c r="J59" i="2" s="1"/>
  <c r="I58" i="2"/>
  <c r="G58" i="2"/>
  <c r="F58" i="2"/>
  <c r="E58" i="2"/>
  <c r="I57" i="2"/>
  <c r="G57" i="2"/>
  <c r="F57" i="2"/>
  <c r="E57" i="2"/>
  <c r="J57" i="2" s="1"/>
  <c r="J55" i="2"/>
  <c r="I55" i="2"/>
  <c r="G55" i="2"/>
  <c r="F55" i="2"/>
  <c r="E55" i="2"/>
  <c r="I54" i="2"/>
  <c r="G54" i="2"/>
  <c r="F54" i="2"/>
  <c r="E54" i="2"/>
  <c r="J54" i="2" s="1"/>
  <c r="L53" i="2"/>
  <c r="K53" i="2"/>
  <c r="J53" i="2"/>
  <c r="I53" i="2"/>
  <c r="F49" i="2"/>
  <c r="G48" i="2"/>
  <c r="E48" i="2"/>
  <c r="G47" i="2"/>
  <c r="E47" i="2"/>
  <c r="G46" i="2"/>
  <c r="E46" i="2"/>
  <c r="G45" i="2"/>
  <c r="E45" i="2"/>
  <c r="G44" i="2"/>
  <c r="E44" i="2"/>
  <c r="G43" i="2"/>
  <c r="F43" i="2"/>
  <c r="F33" i="2" s="1"/>
  <c r="E40" i="2"/>
  <c r="G39" i="2"/>
  <c r="G38" i="2"/>
  <c r="G37" i="2"/>
  <c r="F37" i="2"/>
  <c r="F40" i="2" s="1"/>
  <c r="G36" i="2"/>
  <c r="G35" i="2"/>
  <c r="G40" i="2" s="1"/>
  <c r="E33" i="2"/>
  <c r="D33" i="2"/>
  <c r="C33" i="2"/>
  <c r="G27" i="2"/>
  <c r="E27" i="2"/>
  <c r="F26" i="2"/>
  <c r="E25" i="2"/>
  <c r="G24" i="2"/>
  <c r="G26" i="2" s="1"/>
  <c r="E24" i="2"/>
  <c r="E23" i="2"/>
  <c r="G21" i="2"/>
  <c r="F21" i="2"/>
  <c r="G20" i="2"/>
  <c r="E20" i="2"/>
  <c r="G19" i="2"/>
  <c r="E19" i="2"/>
  <c r="E21" i="2" s="1"/>
  <c r="F17" i="2"/>
  <c r="G16" i="2"/>
  <c r="G17" i="2" s="1"/>
  <c r="E16" i="2"/>
  <c r="E17" i="2" s="1"/>
  <c r="G15" i="2"/>
  <c r="E15" i="2"/>
  <c r="F13" i="2"/>
  <c r="G12" i="2"/>
  <c r="E12" i="2"/>
  <c r="G11" i="2"/>
  <c r="E11" i="2"/>
  <c r="G10" i="2"/>
  <c r="E10" i="2"/>
  <c r="G9" i="2"/>
  <c r="E9" i="2"/>
  <c r="G8" i="2"/>
  <c r="E8" i="2"/>
  <c r="G6" i="2"/>
  <c r="F6" i="2"/>
  <c r="E6" i="2"/>
  <c r="C139" i="4" l="1"/>
  <c r="C57" i="4"/>
  <c r="C68" i="4" s="1"/>
  <c r="M82" i="2"/>
  <c r="F10" i="3" s="1"/>
  <c r="K108" i="2"/>
  <c r="J209" i="2"/>
  <c r="M78" i="2"/>
  <c r="F6" i="3" s="1"/>
  <c r="E21" i="4" s="1"/>
  <c r="F21" i="4" s="1"/>
  <c r="G21" i="4" s="1"/>
  <c r="H21" i="4" s="1"/>
  <c r="I21" i="4" s="1"/>
  <c r="I148" i="2"/>
  <c r="J227" i="2"/>
  <c r="J240" i="2"/>
  <c r="G425" i="2"/>
  <c r="J230" i="2"/>
  <c r="D166" i="2"/>
  <c r="D167" i="2" s="1"/>
  <c r="E63" i="2"/>
  <c r="E65" i="2" s="1"/>
  <c r="E14" i="6"/>
  <c r="E15" i="6" s="1"/>
  <c r="H14" i="6"/>
  <c r="H15" i="6" s="1"/>
  <c r="K109" i="2"/>
  <c r="O109" i="2" s="1"/>
  <c r="J214" i="2"/>
  <c r="I228" i="2"/>
  <c r="I230" i="2"/>
  <c r="I236" i="2"/>
  <c r="I241" i="2"/>
  <c r="O247" i="2"/>
  <c r="F40" i="3" s="1"/>
  <c r="E179" i="4" s="1"/>
  <c r="F179" i="4" s="1"/>
  <c r="G179" i="4" s="1"/>
  <c r="H179" i="4" s="1"/>
  <c r="I179" i="4" s="1"/>
  <c r="I252" i="2"/>
  <c r="M252" i="2" s="1"/>
  <c r="D263" i="2"/>
  <c r="C27" i="4"/>
  <c r="D429" i="2"/>
  <c r="D430" i="2" s="1"/>
  <c r="E49" i="2"/>
  <c r="J58" i="2"/>
  <c r="N230" i="2"/>
  <c r="F32" i="3" s="1"/>
  <c r="F429" i="2"/>
  <c r="F431" i="2" s="1"/>
  <c r="E13" i="2"/>
  <c r="G49" i="2"/>
  <c r="M91" i="2"/>
  <c r="F16" i="3" s="1"/>
  <c r="E34" i="4" s="1"/>
  <c r="F34" i="4" s="1"/>
  <c r="G34" i="4" s="1"/>
  <c r="H34" i="4" s="1"/>
  <c r="I34" i="4" s="1"/>
  <c r="M117" i="2"/>
  <c r="C28" i="3" s="1"/>
  <c r="E141" i="4" s="1"/>
  <c r="F141" i="4" s="1"/>
  <c r="G141" i="4" s="1"/>
  <c r="H141" i="4" s="1"/>
  <c r="I141" i="4" s="1"/>
  <c r="M128" i="2"/>
  <c r="C34" i="3" s="1"/>
  <c r="E149" i="4" s="1"/>
  <c r="F149" i="4" s="1"/>
  <c r="G149" i="4" s="1"/>
  <c r="H149" i="4" s="1"/>
  <c r="I149" i="4" s="1"/>
  <c r="D232" i="2"/>
  <c r="N237" i="2"/>
  <c r="C14" i="4"/>
  <c r="K59" i="2"/>
  <c r="M87" i="2"/>
  <c r="F13" i="3" s="1"/>
  <c r="E30" i="4" s="1"/>
  <c r="F30" i="4" s="1"/>
  <c r="M125" i="2"/>
  <c r="C32" i="3" s="1"/>
  <c r="E146" i="4" s="1"/>
  <c r="I208" i="2"/>
  <c r="I213" i="2"/>
  <c r="I239" i="2"/>
  <c r="N239" i="2" s="1"/>
  <c r="M129" i="2"/>
  <c r="C35" i="3" s="1"/>
  <c r="J151" i="2"/>
  <c r="J208" i="2"/>
  <c r="J213" i="2"/>
  <c r="I227" i="2"/>
  <c r="J239" i="2"/>
  <c r="E263" i="2"/>
  <c r="C33" i="4"/>
  <c r="C35" i="4" s="1"/>
  <c r="C37" i="4" s="1"/>
  <c r="K58" i="2"/>
  <c r="M180" i="2"/>
  <c r="C36" i="3" s="1"/>
  <c r="E155" i="4" s="1"/>
  <c r="E208" i="4" s="1"/>
  <c r="M83" i="2"/>
  <c r="F11" i="3" s="1"/>
  <c r="E26" i="4" s="1"/>
  <c r="F26" i="4" s="1"/>
  <c r="G26" i="4" s="1"/>
  <c r="H26" i="4" s="1"/>
  <c r="I26" i="4" s="1"/>
  <c r="O108" i="2"/>
  <c r="N149" i="2"/>
  <c r="F47" i="3" s="1"/>
  <c r="E166" i="2"/>
  <c r="E167" i="2" s="1"/>
  <c r="J167" i="2" s="1"/>
  <c r="E26" i="2"/>
  <c r="L54" i="2"/>
  <c r="C166" i="2"/>
  <c r="C167" i="2" s="1"/>
  <c r="I167" i="2" s="1"/>
  <c r="I240" i="2"/>
  <c r="N240" i="2" s="1"/>
  <c r="C174" i="4"/>
  <c r="D174" i="4"/>
  <c r="D33" i="4"/>
  <c r="D35" i="4" s="1"/>
  <c r="D37" i="4" s="1"/>
  <c r="E32" i="4"/>
  <c r="F32" i="4" s="1"/>
  <c r="G32" i="4" s="1"/>
  <c r="H32" i="4" s="1"/>
  <c r="I32" i="4" s="1"/>
  <c r="E22" i="4"/>
  <c r="F22" i="4" s="1"/>
  <c r="G22" i="4" s="1"/>
  <c r="H22" i="4" s="1"/>
  <c r="I22" i="4" s="1"/>
  <c r="G26" i="6"/>
  <c r="G27" i="6" s="1"/>
  <c r="G18" i="6"/>
  <c r="G20" i="6" s="1"/>
  <c r="F26" i="6"/>
  <c r="F28" i="6" s="1"/>
  <c r="E15" i="4"/>
  <c r="F15" i="4" s="1"/>
  <c r="G15" i="4" s="1"/>
  <c r="H15" i="4" s="1"/>
  <c r="I15" i="4" s="1"/>
  <c r="F18" i="6"/>
  <c r="F19" i="6" s="1"/>
  <c r="H26" i="6"/>
  <c r="H28" i="6" s="1"/>
  <c r="F6" i="6"/>
  <c r="E6" i="6" s="1"/>
  <c r="E7" i="6" s="1"/>
  <c r="H20" i="6"/>
  <c r="I6" i="6"/>
  <c r="I7" i="6" s="1"/>
  <c r="G7" i="6"/>
  <c r="F23" i="6"/>
  <c r="H6" i="6"/>
  <c r="H7" i="6" s="1"/>
  <c r="I27" i="6"/>
  <c r="B86" i="3"/>
  <c r="D21" i="6" s="1"/>
  <c r="E26" i="6"/>
  <c r="E27" i="6" s="1"/>
  <c r="I14" i="6"/>
  <c r="I15" i="6" s="1"/>
  <c r="B80" i="3"/>
  <c r="D13" i="6" s="1"/>
  <c r="B83" i="3"/>
  <c r="D17" i="6" s="1"/>
  <c r="I22" i="6"/>
  <c r="I23" i="6" s="1"/>
  <c r="E18" i="6"/>
  <c r="E20" i="6" s="1"/>
  <c r="E71" i="4"/>
  <c r="F71" i="4" s="1"/>
  <c r="I18" i="6"/>
  <c r="I20" i="6" s="1"/>
  <c r="G22" i="6"/>
  <c r="G23" i="6" s="1"/>
  <c r="G14" i="6"/>
  <c r="G15" i="6" s="1"/>
  <c r="F14" i="6"/>
  <c r="F16" i="6" s="1"/>
  <c r="E22" i="6"/>
  <c r="E23" i="6" s="1"/>
  <c r="I28" i="6"/>
  <c r="H22" i="6"/>
  <c r="H24" i="6" s="1"/>
  <c r="G8" i="6"/>
  <c r="H19" i="6"/>
  <c r="F24" i="6"/>
  <c r="E104" i="4"/>
  <c r="F104" i="4" s="1"/>
  <c r="F62" i="3"/>
  <c r="F63" i="3" s="1"/>
  <c r="F64" i="3" s="1"/>
  <c r="F66" i="3" s="1"/>
  <c r="F68" i="3" s="1"/>
  <c r="B74" i="3"/>
  <c r="D5" i="6" s="1"/>
  <c r="C62" i="3"/>
  <c r="E147" i="4"/>
  <c r="F147" i="4" s="1"/>
  <c r="G147" i="4" s="1"/>
  <c r="H147" i="4" s="1"/>
  <c r="I147" i="4" s="1"/>
  <c r="B77" i="3"/>
  <c r="D9" i="6" s="1"/>
  <c r="K167" i="2"/>
  <c r="L167" i="2"/>
  <c r="G431" i="2"/>
  <c r="K60" i="2"/>
  <c r="M60" i="2" s="1"/>
  <c r="C12" i="3" s="1"/>
  <c r="C13" i="4"/>
  <c r="K57" i="2"/>
  <c r="C10" i="4"/>
  <c r="F63" i="2"/>
  <c r="D13" i="4"/>
  <c r="L60" i="2"/>
  <c r="I139" i="4"/>
  <c r="I152" i="4" s="1"/>
  <c r="I161" i="4" s="1"/>
  <c r="I178" i="4" s="1"/>
  <c r="I200" i="4" s="1"/>
  <c r="I189" i="4" s="1"/>
  <c r="I57" i="4"/>
  <c r="I68" i="4" s="1"/>
  <c r="E183" i="4"/>
  <c r="E267" i="4"/>
  <c r="F180" i="4"/>
  <c r="D57" i="4"/>
  <c r="D68" i="4" s="1"/>
  <c r="D139" i="4"/>
  <c r="H185" i="4"/>
  <c r="I185" i="4"/>
  <c r="G185" i="4"/>
  <c r="C8" i="4"/>
  <c r="K55" i="2"/>
  <c r="D12" i="4"/>
  <c r="L59" i="2"/>
  <c r="M59" i="2" s="1"/>
  <c r="C11" i="3" s="1"/>
  <c r="N214" i="2"/>
  <c r="C47" i="3" s="1"/>
  <c r="E232" i="2"/>
  <c r="G429" i="2"/>
  <c r="G430" i="2" s="1"/>
  <c r="E139" i="4"/>
  <c r="E152" i="4" s="1"/>
  <c r="E161" i="4" s="1"/>
  <c r="E178" i="4" s="1"/>
  <c r="E200" i="4" s="1"/>
  <c r="E189" i="4" s="1"/>
  <c r="E57" i="4"/>
  <c r="E68" i="4" s="1"/>
  <c r="F185" i="4"/>
  <c r="F186" i="4" s="1"/>
  <c r="G13" i="2"/>
  <c r="G28" i="2" s="1"/>
  <c r="D8" i="4"/>
  <c r="L55" i="2"/>
  <c r="M88" i="2"/>
  <c r="F14" i="3" s="1"/>
  <c r="E31" i="4" s="1"/>
  <c r="F31" i="4" s="1"/>
  <c r="G31" i="4" s="1"/>
  <c r="H31" i="4" s="1"/>
  <c r="I31" i="4" s="1"/>
  <c r="I250" i="2"/>
  <c r="M250" i="2" s="1"/>
  <c r="J241" i="2"/>
  <c r="N241" i="2" s="1"/>
  <c r="J236" i="2"/>
  <c r="N236" i="2" s="1"/>
  <c r="F35" i="3" s="1"/>
  <c r="J228" i="2"/>
  <c r="N228" i="2" s="1"/>
  <c r="F30" i="3" s="1"/>
  <c r="J210" i="2"/>
  <c r="I248" i="2"/>
  <c r="M248" i="2" s="1"/>
  <c r="J229" i="2"/>
  <c r="N229" i="2" s="1"/>
  <c r="F31" i="3" s="1"/>
  <c r="K106" i="2"/>
  <c r="O106" i="2" s="1"/>
  <c r="F21" i="3" s="1"/>
  <c r="K105" i="2"/>
  <c r="O105" i="2" s="1"/>
  <c r="I251" i="2"/>
  <c r="M251" i="2" s="1"/>
  <c r="J211" i="2"/>
  <c r="N211" i="2" s="1"/>
  <c r="J207" i="2"/>
  <c r="N207" i="2" s="1"/>
  <c r="C41" i="3" s="1"/>
  <c r="K107" i="2"/>
  <c r="O107" i="2" s="1"/>
  <c r="I151" i="2"/>
  <c r="C189" i="2"/>
  <c r="C191" i="2" s="1"/>
  <c r="I152" i="2"/>
  <c r="D431" i="2"/>
  <c r="C429" i="2"/>
  <c r="C430" i="2" s="1"/>
  <c r="A124" i="4"/>
  <c r="A64" i="4"/>
  <c r="C11" i="4"/>
  <c r="E82" i="4"/>
  <c r="E186" i="4"/>
  <c r="G139" i="4"/>
  <c r="G152" i="4" s="1"/>
  <c r="G161" i="4" s="1"/>
  <c r="G178" i="4" s="1"/>
  <c r="G200" i="4" s="1"/>
  <c r="G189" i="4" s="1"/>
  <c r="G57" i="4"/>
  <c r="G68" i="4" s="1"/>
  <c r="E93" i="4"/>
  <c r="D10" i="4"/>
  <c r="G63" i="2"/>
  <c r="L57" i="2"/>
  <c r="D7" i="4"/>
  <c r="D14" i="4"/>
  <c r="L61" i="2"/>
  <c r="M80" i="2"/>
  <c r="F8" i="3" s="1"/>
  <c r="E23" i="4" s="1"/>
  <c r="F23" i="4" s="1"/>
  <c r="G23" i="4" s="1"/>
  <c r="H23" i="4" s="1"/>
  <c r="I23" i="4" s="1"/>
  <c r="M178" i="2"/>
  <c r="D189" i="2"/>
  <c r="D191" i="2" s="1"/>
  <c r="J152" i="2"/>
  <c r="J148" i="2"/>
  <c r="N148" i="2" s="1"/>
  <c r="F46" i="3" s="1"/>
  <c r="E429" i="2"/>
  <c r="E430" i="2" s="1"/>
  <c r="F28" i="2"/>
  <c r="C7" i="4"/>
  <c r="K54" i="2"/>
  <c r="D11" i="4"/>
  <c r="L58" i="2"/>
  <c r="M61" i="2"/>
  <c r="C13" i="3" s="1"/>
  <c r="M116" i="2"/>
  <c r="C27" i="3" s="1"/>
  <c r="E140" i="4" s="1"/>
  <c r="C12" i="4"/>
  <c r="D27" i="4"/>
  <c r="E25" i="4"/>
  <c r="E115" i="4"/>
  <c r="H139" i="4"/>
  <c r="H152" i="4" s="1"/>
  <c r="H161" i="4" s="1"/>
  <c r="H178" i="4" s="1"/>
  <c r="H200" i="4" s="1"/>
  <c r="H189" i="4" s="1"/>
  <c r="E143" i="4"/>
  <c r="F143" i="4" s="1"/>
  <c r="G143" i="4" s="1"/>
  <c r="H143" i="4" s="1"/>
  <c r="I143" i="4" s="1"/>
  <c r="I210" i="2"/>
  <c r="D64" i="4"/>
  <c r="E126" i="4" s="1"/>
  <c r="E53" i="4"/>
  <c r="I209" i="2"/>
  <c r="N209" i="2" s="1"/>
  <c r="C43" i="3" s="1"/>
  <c r="E271" i="4"/>
  <c r="F271" i="4" s="1"/>
  <c r="G271" i="4" s="1"/>
  <c r="H271" i="4" s="1"/>
  <c r="I271" i="4" s="1"/>
  <c r="E16" i="6" l="1"/>
  <c r="M54" i="2"/>
  <c r="C6" i="3" s="1"/>
  <c r="N227" i="2"/>
  <c r="F29" i="3" s="1"/>
  <c r="N151" i="2"/>
  <c r="F49" i="3" s="1"/>
  <c r="N208" i="2"/>
  <c r="C42" i="3" s="1"/>
  <c r="E28" i="2"/>
  <c r="N213" i="2"/>
  <c r="C46" i="3" s="1"/>
  <c r="M57" i="2"/>
  <c r="C9" i="3" s="1"/>
  <c r="E257" i="4"/>
  <c r="N210" i="2"/>
  <c r="C44" i="3" s="1"/>
  <c r="N152" i="2"/>
  <c r="F50" i="3" s="1"/>
  <c r="F430" i="2"/>
  <c r="H430" i="2"/>
  <c r="C66" i="3" s="1"/>
  <c r="D175" i="4"/>
  <c r="M58" i="2"/>
  <c r="C10" i="3" s="1"/>
  <c r="M55" i="2"/>
  <c r="C7" i="3" s="1"/>
  <c r="E8" i="4" s="1"/>
  <c r="F8" i="4" s="1"/>
  <c r="G8" i="4" s="1"/>
  <c r="H8" i="4" s="1"/>
  <c r="I8" i="4" s="1"/>
  <c r="E111" i="4"/>
  <c r="I8" i="6"/>
  <c r="H16" i="6"/>
  <c r="G19" i="6"/>
  <c r="I19" i="6"/>
  <c r="F20" i="6"/>
  <c r="G28" i="6"/>
  <c r="F15" i="6"/>
  <c r="F27" i="6"/>
  <c r="F7" i="6"/>
  <c r="F8" i="6"/>
  <c r="E8" i="6"/>
  <c r="H8" i="6"/>
  <c r="H27" i="6"/>
  <c r="G24" i="6"/>
  <c r="E28" i="6"/>
  <c r="I16" i="6"/>
  <c r="I10" i="6"/>
  <c r="F10" i="6"/>
  <c r="G10" i="6"/>
  <c r="H10" i="6"/>
  <c r="E10" i="6"/>
  <c r="E19" i="6"/>
  <c r="E78" i="4"/>
  <c r="F155" i="4"/>
  <c r="F208" i="4" s="1"/>
  <c r="H23" i="6"/>
  <c r="I24" i="6"/>
  <c r="E24" i="6"/>
  <c r="E33" i="4"/>
  <c r="E35" i="4" s="1"/>
  <c r="E37" i="4" s="1"/>
  <c r="E203" i="4" s="1"/>
  <c r="G16" i="6"/>
  <c r="G186" i="4"/>
  <c r="F13" i="5" s="1"/>
  <c r="E12" i="4"/>
  <c r="F12" i="4" s="1"/>
  <c r="G12" i="4" s="1"/>
  <c r="H12" i="4" s="1"/>
  <c r="I12" i="4" s="1"/>
  <c r="D16" i="4"/>
  <c r="D18" i="4" s="1"/>
  <c r="D38" i="4" s="1"/>
  <c r="G65" i="2"/>
  <c r="F213" i="4"/>
  <c r="E13" i="5"/>
  <c r="C431" i="2"/>
  <c r="F65" i="2"/>
  <c r="C16" i="4"/>
  <c r="C18" i="4" s="1"/>
  <c r="C38" i="4" s="1"/>
  <c r="G104" i="4"/>
  <c r="E14" i="4"/>
  <c r="F14" i="4" s="1"/>
  <c r="G14" i="4" s="1"/>
  <c r="H14" i="4" s="1"/>
  <c r="I14" i="4" s="1"/>
  <c r="E150" i="4"/>
  <c r="F146" i="4"/>
  <c r="E148" i="4"/>
  <c r="E154" i="4" s="1"/>
  <c r="E207" i="4" s="1"/>
  <c r="E431" i="2"/>
  <c r="F82" i="4"/>
  <c r="E89" i="4"/>
  <c r="E10" i="4"/>
  <c r="F115" i="4"/>
  <c r="E122" i="4"/>
  <c r="G30" i="4"/>
  <c r="F33" i="4"/>
  <c r="F35" i="4" s="1"/>
  <c r="F37" i="4" s="1"/>
  <c r="E213" i="4"/>
  <c r="D13" i="5"/>
  <c r="E11" i="4"/>
  <c r="F11" i="4" s="1"/>
  <c r="G11" i="4" s="1"/>
  <c r="H11" i="4" s="1"/>
  <c r="I11" i="4" s="1"/>
  <c r="F93" i="4"/>
  <c r="E100" i="4"/>
  <c r="M167" i="2"/>
  <c r="E241" i="4"/>
  <c r="F53" i="4"/>
  <c r="E54" i="4"/>
  <c r="E64" i="4" s="1"/>
  <c r="A128" i="4" s="1"/>
  <c r="F128" i="4" s="1"/>
  <c r="G128" i="4" s="1"/>
  <c r="H128" i="4" s="1"/>
  <c r="I128" i="4" s="1"/>
  <c r="E7" i="4"/>
  <c r="F7" i="4" s="1"/>
  <c r="G7" i="4" s="1"/>
  <c r="H7" i="4" s="1"/>
  <c r="I7" i="4" s="1"/>
  <c r="F267" i="4"/>
  <c r="F182" i="4"/>
  <c r="F292" i="4" s="1"/>
  <c r="F293" i="4" s="1"/>
  <c r="G180" i="4"/>
  <c r="E133" i="4"/>
  <c r="F126" i="4"/>
  <c r="F25" i="4"/>
  <c r="E27" i="4"/>
  <c r="E144" i="4"/>
  <c r="F140" i="4"/>
  <c r="E142" i="4"/>
  <c r="E153" i="4" s="1"/>
  <c r="E206" i="4" s="1"/>
  <c r="E273" i="4"/>
  <c r="E13" i="4"/>
  <c r="F13" i="4" s="1"/>
  <c r="G13" i="4" s="1"/>
  <c r="H13" i="4" s="1"/>
  <c r="I13" i="4" s="1"/>
  <c r="G71" i="4"/>
  <c r="G155" i="4" l="1"/>
  <c r="G208" i="4" s="1"/>
  <c r="G12" i="6"/>
  <c r="G11" i="6"/>
  <c r="E12" i="6"/>
  <c r="E11" i="6"/>
  <c r="H11" i="6"/>
  <c r="H12" i="6"/>
  <c r="F11" i="6"/>
  <c r="F12" i="6"/>
  <c r="I12" i="6"/>
  <c r="I11" i="6"/>
  <c r="K49" i="6"/>
  <c r="L49" i="6" s="1"/>
  <c r="F183" i="4"/>
  <c r="G213" i="4"/>
  <c r="G140" i="4"/>
  <c r="F144" i="4"/>
  <c r="F142" i="4"/>
  <c r="F153" i="4" s="1"/>
  <c r="F206" i="4" s="1"/>
  <c r="F203" i="4"/>
  <c r="G33" i="4"/>
  <c r="G35" i="4" s="1"/>
  <c r="G37" i="4" s="1"/>
  <c r="H30" i="4"/>
  <c r="F241" i="4"/>
  <c r="F54" i="4"/>
  <c r="F64" i="4" s="1"/>
  <c r="A129" i="4" s="1"/>
  <c r="G129" i="4" s="1"/>
  <c r="H129" i="4" s="1"/>
  <c r="I129" i="4" s="1"/>
  <c r="G53" i="4"/>
  <c r="F27" i="4"/>
  <c r="G25" i="4"/>
  <c r="G267" i="4"/>
  <c r="H180" i="4"/>
  <c r="G182" i="4"/>
  <c r="G292" i="4" s="1"/>
  <c r="G293" i="4" s="1"/>
  <c r="H186" i="4"/>
  <c r="G126" i="4"/>
  <c r="F133" i="4"/>
  <c r="E16" i="4"/>
  <c r="E18" i="4" s="1"/>
  <c r="F10" i="4"/>
  <c r="G82" i="4"/>
  <c r="G115" i="4"/>
  <c r="H104" i="4"/>
  <c r="E134" i="4"/>
  <c r="G93" i="4"/>
  <c r="H431" i="2"/>
  <c r="C67" i="3" s="1"/>
  <c r="C68" i="3" s="1"/>
  <c r="F273" i="4"/>
  <c r="F257" i="4"/>
  <c r="H71" i="4"/>
  <c r="F150" i="4"/>
  <c r="G146" i="4"/>
  <c r="F148" i="4"/>
  <c r="F154" i="4" s="1"/>
  <c r="F207" i="4" s="1"/>
  <c r="H155" i="4" l="1"/>
  <c r="H208" i="4" s="1"/>
  <c r="G30" i="6"/>
  <c r="I30" i="6"/>
  <c r="E30" i="6"/>
  <c r="H30" i="6"/>
  <c r="F30" i="6"/>
  <c r="G183" i="4"/>
  <c r="E156" i="4"/>
  <c r="E209" i="4" s="1"/>
  <c r="E244" i="4"/>
  <c r="G27" i="4"/>
  <c r="H25" i="4"/>
  <c r="H115" i="4"/>
  <c r="G13" i="5"/>
  <c r="H213" i="4"/>
  <c r="H146" i="4"/>
  <c r="G150" i="4"/>
  <c r="G148" i="4"/>
  <c r="G154" i="4" s="1"/>
  <c r="G207" i="4" s="1"/>
  <c r="E202" i="4"/>
  <c r="E204" i="4" s="1"/>
  <c r="E49" i="4"/>
  <c r="E51" i="4"/>
  <c r="E52" i="4" s="1"/>
  <c r="E63" i="4" s="1"/>
  <c r="A117" i="4" s="1"/>
  <c r="F117" i="4" s="1"/>
  <c r="E47" i="4"/>
  <c r="E48" i="4" s="1"/>
  <c r="E61" i="4" s="1"/>
  <c r="A95" i="4" s="1"/>
  <c r="F95" i="4" s="1"/>
  <c r="E43" i="4"/>
  <c r="E45" i="4"/>
  <c r="E46" i="4" s="1"/>
  <c r="E60" i="4" s="1"/>
  <c r="A84" i="4" s="1"/>
  <c r="F84" i="4" s="1"/>
  <c r="E38" i="4"/>
  <c r="I104" i="4"/>
  <c r="G133" i="4"/>
  <c r="H126" i="4"/>
  <c r="H53" i="4"/>
  <c r="G241" i="4"/>
  <c r="G54" i="4"/>
  <c r="G64" i="4" s="1"/>
  <c r="A130" i="4" s="1"/>
  <c r="H130" i="4" s="1"/>
  <c r="I130" i="4" s="1"/>
  <c r="H82" i="4"/>
  <c r="H182" i="4"/>
  <c r="H292" i="4" s="1"/>
  <c r="H293" i="4" s="1"/>
  <c r="H267" i="4"/>
  <c r="I180" i="4"/>
  <c r="I186" i="4"/>
  <c r="I30" i="4"/>
  <c r="I33" i="4" s="1"/>
  <c r="I35" i="4" s="1"/>
  <c r="I37" i="4" s="1"/>
  <c r="H33" i="4"/>
  <c r="H35" i="4" s="1"/>
  <c r="H37" i="4" s="1"/>
  <c r="G203" i="4"/>
  <c r="I71" i="4"/>
  <c r="H93" i="4"/>
  <c r="F16" i="4"/>
  <c r="F18" i="4" s="1"/>
  <c r="G10" i="4"/>
  <c r="G273" i="4"/>
  <c r="G257" i="4"/>
  <c r="H140" i="4"/>
  <c r="G144" i="4"/>
  <c r="G142" i="4"/>
  <c r="G153" i="4" s="1"/>
  <c r="G206" i="4" s="1"/>
  <c r="I155" i="4" l="1"/>
  <c r="I208" i="4" s="1"/>
  <c r="F31" i="6"/>
  <c r="F32" i="6"/>
  <c r="H32" i="6"/>
  <c r="H31" i="6"/>
  <c r="E31" i="6"/>
  <c r="E32" i="6"/>
  <c r="I31" i="6"/>
  <c r="I32" i="6"/>
  <c r="G32" i="6"/>
  <c r="G31" i="6"/>
  <c r="H203" i="4"/>
  <c r="G84" i="4"/>
  <c r="F89" i="4"/>
  <c r="G16" i="4"/>
  <c r="G18" i="4" s="1"/>
  <c r="H10" i="4"/>
  <c r="H13" i="5"/>
  <c r="I213" i="4"/>
  <c r="E239" i="4"/>
  <c r="E44" i="4"/>
  <c r="E59" i="4" s="1"/>
  <c r="I25" i="4"/>
  <c r="I27" i="4" s="1"/>
  <c r="H27" i="4"/>
  <c r="E247" i="4"/>
  <c r="E250" i="4"/>
  <c r="E256" i="4"/>
  <c r="E249" i="4"/>
  <c r="E248" i="4"/>
  <c r="E231" i="4"/>
  <c r="I82" i="4"/>
  <c r="I203" i="4"/>
  <c r="F202" i="4"/>
  <c r="F204" i="4" s="1"/>
  <c r="F51" i="4"/>
  <c r="F52" i="4" s="1"/>
  <c r="F63" i="4" s="1"/>
  <c r="A118" i="4" s="1"/>
  <c r="G118" i="4" s="1"/>
  <c r="H118" i="4" s="1"/>
  <c r="I118" i="4" s="1"/>
  <c r="F49" i="4"/>
  <c r="F45" i="4"/>
  <c r="F46" i="4" s="1"/>
  <c r="F60" i="4" s="1"/>
  <c r="A85" i="4" s="1"/>
  <c r="G85" i="4" s="1"/>
  <c r="H85" i="4" s="1"/>
  <c r="I85" i="4" s="1"/>
  <c r="F43" i="4"/>
  <c r="F47" i="4"/>
  <c r="F48" i="4" s="1"/>
  <c r="F61" i="4" s="1"/>
  <c r="A96" i="4" s="1"/>
  <c r="G96" i="4" s="1"/>
  <c r="H96" i="4" s="1"/>
  <c r="I96" i="4" s="1"/>
  <c r="F38" i="4"/>
  <c r="H183" i="4"/>
  <c r="I53" i="4"/>
  <c r="H241" i="4"/>
  <c r="H54" i="4"/>
  <c r="H64" i="4" s="1"/>
  <c r="A131" i="4" s="1"/>
  <c r="I131" i="4" s="1"/>
  <c r="H148" i="4"/>
  <c r="H154" i="4" s="1"/>
  <c r="H207" i="4" s="1"/>
  <c r="I146" i="4"/>
  <c r="H150" i="4"/>
  <c r="G117" i="4"/>
  <c r="F122" i="4"/>
  <c r="H144" i="4"/>
  <c r="H142" i="4"/>
  <c r="H153" i="4" s="1"/>
  <c r="H206" i="4" s="1"/>
  <c r="I140" i="4"/>
  <c r="I115" i="4"/>
  <c r="E171" i="4"/>
  <c r="E259" i="4" s="1"/>
  <c r="E173" i="4"/>
  <c r="E261" i="4" s="1"/>
  <c r="E168" i="4"/>
  <c r="E233" i="4" s="1"/>
  <c r="E172" i="4"/>
  <c r="E260" i="4" s="1"/>
  <c r="E163" i="4"/>
  <c r="E164" i="4"/>
  <c r="E228" i="4" s="1"/>
  <c r="E169" i="4"/>
  <c r="E234" i="4" s="1"/>
  <c r="E166" i="4"/>
  <c r="E230" i="4" s="1"/>
  <c r="E165" i="4"/>
  <c r="E229" i="4" s="1"/>
  <c r="G95" i="4"/>
  <c r="F100" i="4"/>
  <c r="I93" i="4"/>
  <c r="I182" i="4"/>
  <c r="I292" i="4" s="1"/>
  <c r="I293" i="4" s="1"/>
  <c r="I267" i="4"/>
  <c r="H133" i="4"/>
  <c r="I126" i="4"/>
  <c r="H273" i="4"/>
  <c r="H257" i="4"/>
  <c r="E240" i="4"/>
  <c r="E50" i="4"/>
  <c r="E62" i="4" s="1"/>
  <c r="A106" i="4" s="1"/>
  <c r="F106" i="4" s="1"/>
  <c r="D9" i="5"/>
  <c r="E283" i="4"/>
  <c r="E210" i="4"/>
  <c r="E211" i="4" s="1"/>
  <c r="E215" i="4" s="1"/>
  <c r="I133" i="4" l="1"/>
  <c r="E192" i="4"/>
  <c r="E194" i="4"/>
  <c r="E195" i="4"/>
  <c r="E191" i="4"/>
  <c r="F171" i="4"/>
  <c r="F259" i="4" s="1"/>
  <c r="F172" i="4"/>
  <c r="F260" i="4" s="1"/>
  <c r="F168" i="4"/>
  <c r="F233" i="4" s="1"/>
  <c r="F173" i="4"/>
  <c r="F261" i="4" s="1"/>
  <c r="F163" i="4"/>
  <c r="F164" i="4"/>
  <c r="F228" i="4" s="1"/>
  <c r="F169" i="4"/>
  <c r="F234" i="4" s="1"/>
  <c r="F165" i="4"/>
  <c r="F229" i="4" s="1"/>
  <c r="F166" i="4"/>
  <c r="F230" i="4" s="1"/>
  <c r="H84" i="4"/>
  <c r="G89" i="4"/>
  <c r="I183" i="4"/>
  <c r="I144" i="4"/>
  <c r="I142" i="4"/>
  <c r="I153" i="4" s="1"/>
  <c r="I206" i="4" s="1"/>
  <c r="A73" i="4"/>
  <c r="F73" i="4" s="1"/>
  <c r="E65" i="4"/>
  <c r="E227" i="4"/>
  <c r="E174" i="4"/>
  <c r="E175" i="4" s="1"/>
  <c r="F239" i="4"/>
  <c r="F44" i="4"/>
  <c r="F59" i="4" s="1"/>
  <c r="E265" i="4"/>
  <c r="F240" i="4"/>
  <c r="F50" i="4"/>
  <c r="F62" i="4" s="1"/>
  <c r="A107" i="4" s="1"/>
  <c r="G107" i="4" s="1"/>
  <c r="H107" i="4" s="1"/>
  <c r="I107" i="4" s="1"/>
  <c r="H117" i="4"/>
  <c r="G122" i="4"/>
  <c r="H95" i="4"/>
  <c r="G100" i="4"/>
  <c r="H16" i="4"/>
  <c r="H18" i="4" s="1"/>
  <c r="I10" i="4"/>
  <c r="I16" i="4" s="1"/>
  <c r="I18" i="4" s="1"/>
  <c r="I241" i="4"/>
  <c r="I54" i="4"/>
  <c r="I64" i="4" s="1"/>
  <c r="A132" i="4" s="1"/>
  <c r="F247" i="4"/>
  <c r="F250" i="4"/>
  <c r="F256" i="4"/>
  <c r="F249" i="4"/>
  <c r="F248" i="4"/>
  <c r="F231" i="4"/>
  <c r="G202" i="4"/>
  <c r="G204" i="4" s="1"/>
  <c r="G38" i="4"/>
  <c r="G51" i="4"/>
  <c r="G52" i="4" s="1"/>
  <c r="G63" i="4" s="1"/>
  <c r="A119" i="4" s="1"/>
  <c r="H119" i="4" s="1"/>
  <c r="I119" i="4" s="1"/>
  <c r="G45" i="4"/>
  <c r="G46" i="4" s="1"/>
  <c r="G60" i="4" s="1"/>
  <c r="A86" i="4" s="1"/>
  <c r="H86" i="4" s="1"/>
  <c r="I86" i="4" s="1"/>
  <c r="G49" i="4"/>
  <c r="G47" i="4"/>
  <c r="G48" i="4" s="1"/>
  <c r="G61" i="4" s="1"/>
  <c r="A97" i="4" s="1"/>
  <c r="H97" i="4" s="1"/>
  <c r="I97" i="4" s="1"/>
  <c r="G43" i="4"/>
  <c r="I150" i="4"/>
  <c r="I148" i="4"/>
  <c r="I154" i="4" s="1"/>
  <c r="I207" i="4" s="1"/>
  <c r="E243" i="4"/>
  <c r="E245" i="4" s="1"/>
  <c r="E251" i="4"/>
  <c r="G106" i="4"/>
  <c r="F111" i="4"/>
  <c r="I273" i="4"/>
  <c r="I257" i="4"/>
  <c r="E197" i="4" l="1"/>
  <c r="E216" i="4" s="1"/>
  <c r="E217" i="4" s="1"/>
  <c r="E282" i="4" s="1"/>
  <c r="F251" i="4"/>
  <c r="F243" i="4"/>
  <c r="G171" i="4"/>
  <c r="G259" i="4" s="1"/>
  <c r="G168" i="4"/>
  <c r="G233" i="4" s="1"/>
  <c r="G173" i="4"/>
  <c r="G261" i="4" s="1"/>
  <c r="G172" i="4"/>
  <c r="G260" i="4" s="1"/>
  <c r="G169" i="4"/>
  <c r="G234" i="4" s="1"/>
  <c r="G163" i="4"/>
  <c r="G164" i="4"/>
  <c r="G228" i="4" s="1"/>
  <c r="G166" i="4"/>
  <c r="G230" i="4" s="1"/>
  <c r="G165" i="4"/>
  <c r="G229" i="4" s="1"/>
  <c r="G44" i="4"/>
  <c r="G59" i="4" s="1"/>
  <c r="G239" i="4"/>
  <c r="E288" i="4"/>
  <c r="E289" i="4" s="1"/>
  <c r="D10" i="5"/>
  <c r="I202" i="4"/>
  <c r="I204" i="4" s="1"/>
  <c r="I45" i="4"/>
  <c r="I43" i="4"/>
  <c r="I38" i="4"/>
  <c r="I47" i="4"/>
  <c r="I51" i="4"/>
  <c r="I49" i="4"/>
  <c r="G73" i="4"/>
  <c r="F78" i="4"/>
  <c r="F134" i="4" s="1"/>
  <c r="E284" i="4"/>
  <c r="D11" i="5"/>
  <c r="H106" i="4"/>
  <c r="G111" i="4"/>
  <c r="I117" i="4"/>
  <c r="H122" i="4"/>
  <c r="F265" i="4"/>
  <c r="H202" i="4"/>
  <c r="H204" i="4" s="1"/>
  <c r="H49" i="4"/>
  <c r="H45" i="4"/>
  <c r="H46" i="4" s="1"/>
  <c r="H60" i="4" s="1"/>
  <c r="A87" i="4" s="1"/>
  <c r="I87" i="4" s="1"/>
  <c r="H38" i="4"/>
  <c r="H47" i="4"/>
  <c r="H48" i="4" s="1"/>
  <c r="H61" i="4" s="1"/>
  <c r="A98" i="4" s="1"/>
  <c r="I98" i="4" s="1"/>
  <c r="H43" i="4"/>
  <c r="H51" i="4"/>
  <c r="H52" i="4" s="1"/>
  <c r="H63" i="4" s="1"/>
  <c r="A120" i="4" s="1"/>
  <c r="I120" i="4" s="1"/>
  <c r="G247" i="4"/>
  <c r="G250" i="4"/>
  <c r="G256" i="4"/>
  <c r="G249" i="4"/>
  <c r="G231" i="4"/>
  <c r="G248" i="4"/>
  <c r="I84" i="4"/>
  <c r="H89" i="4"/>
  <c r="G50" i="4"/>
  <c r="G62" i="4" s="1"/>
  <c r="A108" i="4" s="1"/>
  <c r="H108" i="4" s="1"/>
  <c r="I108" i="4" s="1"/>
  <c r="G240" i="4"/>
  <c r="F227" i="4"/>
  <c r="F174" i="4"/>
  <c r="F175" i="4" s="1"/>
  <c r="F284" i="4" s="1"/>
  <c r="I95" i="4"/>
  <c r="H100" i="4"/>
  <c r="A74" i="4"/>
  <c r="G74" i="4" s="1"/>
  <c r="H74" i="4" s="1"/>
  <c r="I74" i="4" s="1"/>
  <c r="F65" i="4"/>
  <c r="D8" i="5" l="1"/>
  <c r="E275" i="4"/>
  <c r="E276" i="4" s="1"/>
  <c r="E252" i="4" s="1"/>
  <c r="E237" i="4" s="1"/>
  <c r="E225" i="4" s="1"/>
  <c r="I122" i="4"/>
  <c r="G243" i="4"/>
  <c r="I100" i="4"/>
  <c r="I52" i="4"/>
  <c r="I63" i="4" s="1"/>
  <c r="A121" i="4" s="1"/>
  <c r="H73" i="4"/>
  <c r="G78" i="4"/>
  <c r="G134" i="4" s="1"/>
  <c r="G156" i="4" s="1"/>
  <c r="G209" i="4" s="1"/>
  <c r="E11" i="5"/>
  <c r="I240" i="4"/>
  <c r="I50" i="4"/>
  <c r="I62" i="4" s="1"/>
  <c r="A110" i="4" s="1"/>
  <c r="G265" i="4"/>
  <c r="I48" i="4"/>
  <c r="I61" i="4" s="1"/>
  <c r="A99" i="4" s="1"/>
  <c r="G251" i="4"/>
  <c r="H240" i="4"/>
  <c r="H50" i="4"/>
  <c r="H62" i="4" s="1"/>
  <c r="A109" i="4" s="1"/>
  <c r="I109" i="4" s="1"/>
  <c r="I172" i="4"/>
  <c r="I260" i="4" s="1"/>
  <c r="I168" i="4"/>
  <c r="I233" i="4" s="1"/>
  <c r="I173" i="4"/>
  <c r="I261" i="4" s="1"/>
  <c r="I171" i="4"/>
  <c r="I259" i="4" s="1"/>
  <c r="I166" i="4"/>
  <c r="I230" i="4" s="1"/>
  <c r="I169" i="4"/>
  <c r="I234" i="4" s="1"/>
  <c r="I165" i="4"/>
  <c r="I229" i="4" s="1"/>
  <c r="I164" i="4"/>
  <c r="I228" i="4" s="1"/>
  <c r="I163" i="4"/>
  <c r="A75" i="4"/>
  <c r="H75" i="4" s="1"/>
  <c r="I75" i="4" s="1"/>
  <c r="G65" i="4"/>
  <c r="E10" i="5"/>
  <c r="F288" i="4"/>
  <c r="F289" i="4" s="1"/>
  <c r="H247" i="4"/>
  <c r="H250" i="4"/>
  <c r="H249" i="4"/>
  <c r="H256" i="4"/>
  <c r="H231" i="4"/>
  <c r="H248" i="4"/>
  <c r="I44" i="4"/>
  <c r="I59" i="4" s="1"/>
  <c r="I239" i="4"/>
  <c r="H171" i="4"/>
  <c r="H259" i="4" s="1"/>
  <c r="H168" i="4"/>
  <c r="H233" i="4" s="1"/>
  <c r="H173" i="4"/>
  <c r="H261" i="4" s="1"/>
  <c r="H172" i="4"/>
  <c r="H260" i="4" s="1"/>
  <c r="H164" i="4"/>
  <c r="H228" i="4" s="1"/>
  <c r="H165" i="4"/>
  <c r="H229" i="4" s="1"/>
  <c r="H166" i="4"/>
  <c r="H230" i="4" s="1"/>
  <c r="H163" i="4"/>
  <c r="H169" i="4"/>
  <c r="H234" i="4" s="1"/>
  <c r="I106" i="4"/>
  <c r="H111" i="4"/>
  <c r="I89" i="4"/>
  <c r="I46" i="4"/>
  <c r="I60" i="4" s="1"/>
  <c r="A88" i="4" s="1"/>
  <c r="E285" i="4"/>
  <c r="E295" i="4" s="1"/>
  <c r="H239" i="4"/>
  <c r="H44" i="4"/>
  <c r="H59" i="4" s="1"/>
  <c r="F156" i="4"/>
  <c r="F209" i="4" s="1"/>
  <c r="F244" i="4"/>
  <c r="I247" i="4"/>
  <c r="I250" i="4"/>
  <c r="I248" i="4"/>
  <c r="I256" i="4"/>
  <c r="I231" i="4"/>
  <c r="I249" i="4"/>
  <c r="G227" i="4"/>
  <c r="G174" i="4"/>
  <c r="G175" i="4" s="1"/>
  <c r="D12" i="5"/>
  <c r="D14" i="5" s="1"/>
  <c r="D16" i="5" s="1"/>
  <c r="I111" i="4" l="1"/>
  <c r="H243" i="4"/>
  <c r="H265" i="4"/>
  <c r="I265" i="4"/>
  <c r="I243" i="4"/>
  <c r="I251" i="4"/>
  <c r="A77" i="4"/>
  <c r="I65" i="4"/>
  <c r="F283" i="4"/>
  <c r="E9" i="5"/>
  <c r="F210" i="4"/>
  <c r="F211" i="4" s="1"/>
  <c r="F215" i="4" s="1"/>
  <c r="H65" i="4"/>
  <c r="A76" i="4"/>
  <c r="I76" i="4" s="1"/>
  <c r="F11" i="5"/>
  <c r="G284" i="4"/>
  <c r="I73" i="4"/>
  <c r="H78" i="4"/>
  <c r="H134" i="4" s="1"/>
  <c r="H156" i="4" s="1"/>
  <c r="H209" i="4" s="1"/>
  <c r="H227" i="4"/>
  <c r="H174" i="4"/>
  <c r="H175" i="4" s="1"/>
  <c r="I227" i="4"/>
  <c r="I174" i="4"/>
  <c r="H251" i="4"/>
  <c r="G244" i="4"/>
  <c r="F245" i="4"/>
  <c r="F10" i="5"/>
  <c r="G288" i="4"/>
  <c r="G289" i="4" s="1"/>
  <c r="G283" i="4"/>
  <c r="F9" i="5"/>
  <c r="G210" i="4"/>
  <c r="G211" i="4" s="1"/>
  <c r="G215" i="4" s="1"/>
  <c r="I78" i="4" l="1"/>
  <c r="I134" i="4" s="1"/>
  <c r="I156" i="4" s="1"/>
  <c r="I209" i="4" s="1"/>
  <c r="H9" i="5" s="1"/>
  <c r="I175" i="4"/>
  <c r="I284" i="4" s="1"/>
  <c r="G192" i="4"/>
  <c r="G195" i="4"/>
  <c r="G191" i="4"/>
  <c r="G194" i="4"/>
  <c r="G9" i="5"/>
  <c r="H283" i="4"/>
  <c r="H210" i="4"/>
  <c r="H211" i="4" s="1"/>
  <c r="H215" i="4" s="1"/>
  <c r="I288" i="4"/>
  <c r="I289" i="4" s="1"/>
  <c r="H10" i="5"/>
  <c r="G11" i="5"/>
  <c r="H284" i="4"/>
  <c r="F192" i="4"/>
  <c r="F195" i="4"/>
  <c r="F191" i="4"/>
  <c r="F194" i="4"/>
  <c r="H244" i="4"/>
  <c r="G245" i="4"/>
  <c r="G10" i="5"/>
  <c r="H288" i="4"/>
  <c r="H289" i="4" s="1"/>
  <c r="I283" i="4" l="1"/>
  <c r="I210" i="4"/>
  <c r="I211" i="4" s="1"/>
  <c r="I215" i="4" s="1"/>
  <c r="I194" i="4" s="1"/>
  <c r="H11" i="5"/>
  <c r="F197" i="4"/>
  <c r="F216" i="4" s="1"/>
  <c r="F217" i="4" s="1"/>
  <c r="F282" i="4" s="1"/>
  <c r="F285" i="4" s="1"/>
  <c r="F295" i="4" s="1"/>
  <c r="I244" i="4"/>
  <c r="I245" i="4" s="1"/>
  <c r="H245" i="4"/>
  <c r="G197" i="4"/>
  <c r="G216" i="4" s="1"/>
  <c r="G217" i="4" s="1"/>
  <c r="H192" i="4"/>
  <c r="H191" i="4"/>
  <c r="H194" i="4"/>
  <c r="H195" i="4"/>
  <c r="I192" i="4" l="1"/>
  <c r="I191" i="4"/>
  <c r="I195" i="4"/>
  <c r="F275" i="4"/>
  <c r="F276" i="4" s="1"/>
  <c r="F252" i="4" s="1"/>
  <c r="F237" i="4" s="1"/>
  <c r="F225" i="4" s="1"/>
  <c r="E8" i="5"/>
  <c r="E12" i="5" s="1"/>
  <c r="E14" i="5" s="1"/>
  <c r="E16" i="5" s="1"/>
  <c r="H197" i="4"/>
  <c r="H216" i="4" s="1"/>
  <c r="H217" i="4" s="1"/>
  <c r="G8" i="5" s="1"/>
  <c r="G12" i="5" s="1"/>
  <c r="G14" i="5" s="1"/>
  <c r="G16" i="5" s="1"/>
  <c r="G282" i="4"/>
  <c r="G285" i="4" s="1"/>
  <c r="G295" i="4" s="1"/>
  <c r="F8" i="5"/>
  <c r="F12" i="5" s="1"/>
  <c r="F14" i="5" s="1"/>
  <c r="F16" i="5" s="1"/>
  <c r="I197" i="4" l="1"/>
  <c r="I216" i="4" s="1"/>
  <c r="I217" i="4" s="1"/>
  <c r="H8" i="5" s="1"/>
  <c r="H12" i="5" s="1"/>
  <c r="H14" i="5" s="1"/>
  <c r="H15" i="5" s="1"/>
  <c r="H16" i="5" s="1"/>
  <c r="C17" i="5" s="1" a="1"/>
  <c r="C17" i="5" s="1"/>
  <c r="G275" i="4"/>
  <c r="G276" i="4" s="1"/>
  <c r="G252" i="4" s="1"/>
  <c r="G237" i="4" s="1"/>
  <c r="G225" i="4" s="1"/>
  <c r="H282" i="4"/>
  <c r="H285" i="4" s="1"/>
  <c r="H295" i="4" s="1"/>
  <c r="I282" i="4" l="1"/>
  <c r="I285" i="4" s="1"/>
  <c r="I295" i="4" s="1"/>
  <c r="C19" i="5"/>
  <c r="D6" i="1"/>
  <c r="H275" i="4"/>
  <c r="H276" i="4" s="1"/>
  <c r="H252" i="4" s="1"/>
  <c r="H237" i="4" s="1"/>
  <c r="H225" i="4" s="1"/>
  <c r="C23" i="5" l="1"/>
  <c r="E6" i="1"/>
  <c r="I275" i="4"/>
  <c r="I276" i="4" s="1"/>
  <c r="I252" i="4" s="1"/>
  <c r="I237" i="4" s="1"/>
  <c r="I225" i="4" s="1"/>
</calcChain>
</file>

<file path=xl/comments1.xml><?xml version="1.0" encoding="utf-8"?>
<comments xmlns="http://schemas.openxmlformats.org/spreadsheetml/2006/main">
  <authors>
    <author/>
  </authors>
  <commentList>
    <comment ref="C54" authorId="0" shapeId="0">
      <text>
        <r>
          <rPr>
            <sz val="10"/>
            <color rgb="FF000000"/>
            <rFont val="Arial"/>
          </rPr>
          <t>The effective tax rate is adjusted from federal income tax rate (35%) with the state regulations on electricity rate-making, tax credits from renewable energy, treatment on fixed asset...Assume the utility regulations and fixed asset stays the same as in 2016 for the forecast period.
	-Hanna (Huong) Nguyen</t>
        </r>
      </text>
    </comment>
  </commentList>
</comments>
</file>

<file path=xl/sharedStrings.xml><?xml version="1.0" encoding="utf-8"?>
<sst xmlns="http://schemas.openxmlformats.org/spreadsheetml/2006/main" count="600" uniqueCount="387">
  <si>
    <t>Utilities Revenue Assumption</t>
  </si>
  <si>
    <t>Natural Gas Revenue Assumption</t>
  </si>
  <si>
    <t>Total Actual Electricity Generated and Procured (GWh)</t>
  </si>
  <si>
    <t>Growth Rate</t>
  </si>
  <si>
    <t>Revenue Schedule</t>
  </si>
  <si>
    <t>Utilities Operating Statistics</t>
  </si>
  <si>
    <t>Owned Generation Facilities</t>
  </si>
  <si>
    <t>Nuclear</t>
  </si>
  <si>
    <t>2017E</t>
  </si>
  <si>
    <t>Small Hydroelectric</t>
  </si>
  <si>
    <t>2018E</t>
  </si>
  <si>
    <t>2019E</t>
  </si>
  <si>
    <t>2020E</t>
  </si>
  <si>
    <t>2021E</t>
  </si>
  <si>
    <t>Gas purchased (MMcf)</t>
  </si>
  <si>
    <t>Large Hydroelectric</t>
  </si>
  <si>
    <t>Fossil fuel-fired</t>
  </si>
  <si>
    <t>Revenues:</t>
  </si>
  <si>
    <t>Solar</t>
  </si>
  <si>
    <t>Total</t>
  </si>
  <si>
    <t>Residential</t>
  </si>
  <si>
    <t>Qualifying Facilities</t>
  </si>
  <si>
    <t>Renewable</t>
  </si>
  <si>
    <t>Commercial</t>
  </si>
  <si>
    <t>Non-Renewable</t>
  </si>
  <si>
    <t>Industrial</t>
  </si>
  <si>
    <t>Irrigation Districts and Water Agencies</t>
  </si>
  <si>
    <t>Agricultural</t>
  </si>
  <si>
    <t>Other Third-Party Purchase Agreements</t>
  </si>
  <si>
    <t>Public street and highway lighting</t>
  </si>
  <si>
    <t>Other</t>
  </si>
  <si>
    <t>Other, Net</t>
  </si>
  <si>
    <t>Depreciation Assumption</t>
  </si>
  <si>
    <t>Transportation service only revenue</t>
  </si>
  <si>
    <t>Renewable Deliveries</t>
  </si>
  <si>
    <t>Useful lives (years)</t>
  </si>
  <si>
    <t>(in GWh)</t>
  </si>
  <si>
    <t>Capital Expenditure Assumption</t>
  </si>
  <si>
    <t>Type</t>
  </si>
  <si>
    <t>Biopower</t>
  </si>
  <si>
    <t>Geothermal</t>
  </si>
  <si>
    <t>Wind</t>
  </si>
  <si>
    <t>(in percent of bundled retail sales)</t>
  </si>
  <si>
    <t>Operating Cost Assumption</t>
  </si>
  <si>
    <t>Cost of Electricity</t>
  </si>
  <si>
    <t>Customers (average for the year)</t>
  </si>
  <si>
    <t>Other Noncurrent Asset</t>
  </si>
  <si>
    <t>Deliveries (in GWh)</t>
  </si>
  <si>
    <t>Natural Gas Operating Statistics</t>
  </si>
  <si>
    <t>(assumed to change as % of revenue)</t>
  </si>
  <si>
    <t>Revenues (in millions):</t>
  </si>
  <si>
    <t>Cost of Natural Gas</t>
  </si>
  <si>
    <t>Short-term Borrowing Assumption</t>
  </si>
  <si>
    <t>Short-term Borrowing</t>
  </si>
  <si>
    <t>Operating and maintenance</t>
  </si>
  <si>
    <t>Working Capital Assumption</t>
  </si>
  <si>
    <t xml:space="preserve">Long-Term Debt Assumption </t>
  </si>
  <si>
    <t>Beginning Debt Level as (2017)</t>
  </si>
  <si>
    <t>Long-Term Debt Growth Rate</t>
  </si>
  <si>
    <t>Subtotal</t>
  </si>
  <si>
    <t>Customers</t>
  </si>
  <si>
    <t>Interest rate on long term debt</t>
  </si>
  <si>
    <t>Regulatory balancing accounts</t>
  </si>
  <si>
    <t>Long Term Debt Repayment During Forecast period</t>
  </si>
  <si>
    <t>Total operating revenues</t>
  </si>
  <si>
    <t>Selected Statistics:</t>
  </si>
  <si>
    <t>Average annual residential usage (kWh)</t>
  </si>
  <si>
    <t>Income Tax Provision Assumption</t>
  </si>
  <si>
    <t>Average billed revenues per kWh</t>
  </si>
  <si>
    <t>Tax Assumption</t>
  </si>
  <si>
    <t>Deferred Income Taxes Assumption</t>
  </si>
  <si>
    <t>Net plant investment per customer</t>
  </si>
  <si>
    <t xml:space="preserve">Tax rate </t>
  </si>
  <si>
    <t>Deferred Income Taxes</t>
  </si>
  <si>
    <t>Cost of Capital Assumption</t>
  </si>
  <si>
    <t>Beta t-test</t>
  </si>
  <si>
    <t>Cost of Equity Assumptions</t>
  </si>
  <si>
    <t>Natural Gas Operating Statistic</t>
  </si>
  <si>
    <t>n</t>
  </si>
  <si>
    <t>Google Finance Beta</t>
  </si>
  <si>
    <t>r</t>
  </si>
  <si>
    <t>Beta</t>
  </si>
  <si>
    <t>Std(x)</t>
  </si>
  <si>
    <t>Risk free rate (Rf)</t>
  </si>
  <si>
    <t>Std(y)</t>
  </si>
  <si>
    <t>Average price of natural gas purchased</t>
  </si>
  <si>
    <t>Market Risk Premium</t>
  </si>
  <si>
    <t>b</t>
  </si>
  <si>
    <t xml:space="preserve">Total revenues </t>
  </si>
  <si>
    <t>Cost of Equity (CAPM Model)</t>
  </si>
  <si>
    <t>S(x-y)</t>
  </si>
  <si>
    <t>Cost of Debt Assumptions</t>
  </si>
  <si>
    <t>Bundled gas sales (MMcf)</t>
  </si>
  <si>
    <t>S(b)</t>
  </si>
  <si>
    <t>Cost of Debt</t>
  </si>
  <si>
    <t>t</t>
  </si>
  <si>
    <t>Capital Expenditure Schedule</t>
  </si>
  <si>
    <t xml:space="preserve">Capital Structure </t>
  </si>
  <si>
    <t>df</t>
  </si>
  <si>
    <t>Debt</t>
  </si>
  <si>
    <t>p-value</t>
  </si>
  <si>
    <t>Equity</t>
  </si>
  <si>
    <t>Total Bundled Gas Sales</t>
  </si>
  <si>
    <t>t-crit</t>
  </si>
  <si>
    <t>WACC</t>
  </si>
  <si>
    <t>Revenues (in millions)</t>
  </si>
  <si>
    <t>(in millions)</t>
  </si>
  <si>
    <t>Bundled gas sales:</t>
  </si>
  <si>
    <t>Sig</t>
  </si>
  <si>
    <t>Compared with WACC Google Finance</t>
  </si>
  <si>
    <t>RSQ</t>
  </si>
  <si>
    <t>Bundled gas revenues</t>
  </si>
  <si>
    <t>Scenario Analysis Assumptions</t>
  </si>
  <si>
    <t>New CapEx</t>
  </si>
  <si>
    <t>Selected Statistics</t>
  </si>
  <si>
    <t>Average annual residential usage (Mcf)</t>
  </si>
  <si>
    <t>Average billed bundled gas sales revenues per Mcf</t>
  </si>
  <si>
    <t>Property, Plant, and Equipment</t>
  </si>
  <si>
    <t>Estimated Useful Lives (years)</t>
  </si>
  <si>
    <t>Electricity generating facilities</t>
  </si>
  <si>
    <t>DCF Forecasting</t>
  </si>
  <si>
    <t>Terminal Growth Rate</t>
  </si>
  <si>
    <t>Electricity distribution facilities</t>
  </si>
  <si>
    <t>Electricity transmission facilities</t>
  </si>
  <si>
    <t>Net Income</t>
  </si>
  <si>
    <t>Natural gas distribution facilities</t>
  </si>
  <si>
    <t>Natural gas transmission and storage facilities</t>
  </si>
  <si>
    <t>Construction work in progress</t>
  </si>
  <si>
    <t>Depreciation and Amortization</t>
  </si>
  <si>
    <t>Total property, plant, and equipment</t>
  </si>
  <si>
    <t>CapEX</t>
  </si>
  <si>
    <t>NWC</t>
  </si>
  <si>
    <t>Cost of purchased power</t>
  </si>
  <si>
    <t>Total FCF to Equity</t>
  </si>
  <si>
    <t>Interest Expense</t>
  </si>
  <si>
    <t>Existing Asset and Annual CapEx</t>
  </si>
  <si>
    <t>Fuel used in own generation facilities</t>
  </si>
  <si>
    <t>Total FCF to the Corporation</t>
  </si>
  <si>
    <t>Total cost of electricity</t>
  </si>
  <si>
    <t>Terminal Value at end of 2021</t>
  </si>
  <si>
    <t>Average cost of purchased power per kWh</t>
  </si>
  <si>
    <t>Total purchased power (in millions of kWh)</t>
  </si>
  <si>
    <t>Enterprise Value</t>
  </si>
  <si>
    <t>Less Total Debt</t>
  </si>
  <si>
    <t>Total Equity Value</t>
  </si>
  <si>
    <t>Cost of natural gas sold</t>
  </si>
  <si>
    <t>Sensitivity Analysis of Total Equity Value for changes in terminal value growth rate and WACC.</t>
  </si>
  <si>
    <t>Terminal Value Growth Rate Assumptions</t>
  </si>
  <si>
    <t xml:space="preserve">Transportation cost </t>
  </si>
  <si>
    <t>Total CapEx</t>
  </si>
  <si>
    <t>Total cost of natural gas</t>
  </si>
  <si>
    <t>Average cost per Mcf of natural gas sold</t>
  </si>
  <si>
    <t>Depreciation Schedule</t>
  </si>
  <si>
    <t>Total natural gas sold (in millions of Mcf)</t>
  </si>
  <si>
    <t>Base Case</t>
  </si>
  <si>
    <t>Best Case</t>
  </si>
  <si>
    <t>Worst Case</t>
  </si>
  <si>
    <t>Tax Rate</t>
  </si>
  <si>
    <t>years (useful life)</t>
  </si>
  <si>
    <t>Federal statutory income tax rate</t>
  </si>
  <si>
    <t>35.0 %</t>
  </si>
  <si>
    <t>Depreciation of Existing Asset</t>
  </si>
  <si>
    <t>Increase (decrease) in income tax rate resulting from:</t>
  </si>
  <si>
    <t xml:space="preserve">State income tax (net of federal benefit) </t>
  </si>
  <si>
    <t>Effect of regulatory treatment of fixed asset differences</t>
  </si>
  <si>
    <t>Tax credits</t>
  </si>
  <si>
    <t>Benefit of loss carryback</t>
  </si>
  <si>
    <t>Non- deductible penalties</t>
  </si>
  <si>
    <t>Other, net</t>
  </si>
  <si>
    <t>Effective tax rate</t>
  </si>
  <si>
    <t>21.1 %</t>
  </si>
  <si>
    <t>4.8 %</t>
  </si>
  <si>
    <t>Income Tax Provision</t>
  </si>
  <si>
    <t>Current</t>
  </si>
  <si>
    <t>Federal</t>
  </si>
  <si>
    <t>Total Depreciation</t>
  </si>
  <si>
    <t>State</t>
  </si>
  <si>
    <t>Deferred</t>
  </si>
  <si>
    <t>Income Tax Provision (benefit)</t>
  </si>
  <si>
    <t xml:space="preserve">Deferred Income tax </t>
  </si>
  <si>
    <t>Tax carryforwards</t>
  </si>
  <si>
    <t>Total deferred income tax assets</t>
  </si>
  <si>
    <t xml:space="preserve">New Capex </t>
  </si>
  <si>
    <t>Deferred income tax liabilities</t>
  </si>
  <si>
    <t>Property related basis differences</t>
  </si>
  <si>
    <t>Income tax regulatory asset</t>
  </si>
  <si>
    <t>Total deferred income tax liabilities</t>
  </si>
  <si>
    <t>Total net deferred income tax liabilities</t>
  </si>
  <si>
    <t>Income Statement</t>
  </si>
  <si>
    <t>(in millions, except per share amounts)</t>
  </si>
  <si>
    <t>Operating Revenues</t>
  </si>
  <si>
    <t>Electric</t>
  </si>
  <si>
    <t>Natural gas</t>
  </si>
  <si>
    <t>Operating Expenses</t>
  </si>
  <si>
    <t>Cost of electricity</t>
  </si>
  <si>
    <t>Cost of natural gas</t>
  </si>
  <si>
    <t>Depreciation, amortization, and decommissioning</t>
  </si>
  <si>
    <t>Total operatingexpenses</t>
  </si>
  <si>
    <t>Operating Income</t>
  </si>
  <si>
    <t>Interest income</t>
  </si>
  <si>
    <t>Interest expense</t>
  </si>
  <si>
    <t>Other income, net</t>
  </si>
  <si>
    <t>Income Before Income Taxes</t>
  </si>
  <si>
    <t>Income tax provision (benefit)</t>
  </si>
  <si>
    <t>Preferred stock dividend requirement of subsidiary</t>
  </si>
  <si>
    <t>Income Available for Common Shareholders</t>
  </si>
  <si>
    <t>Weighted Average Common Shares Outstanding, Basic</t>
  </si>
  <si>
    <t>Weighted Average Common Shares Outstanding, Diluted</t>
  </si>
  <si>
    <t>Net Earnings Per Common Share, Basic</t>
  </si>
  <si>
    <t>Net Earnings Per Common Share, Diluted</t>
  </si>
  <si>
    <t>Balance Sheet</t>
  </si>
  <si>
    <t>ASSETS</t>
  </si>
  <si>
    <t>Current Assets</t>
  </si>
  <si>
    <t>Cash and cash equivalents</t>
  </si>
  <si>
    <t>Restricted cash</t>
  </si>
  <si>
    <t>Accounts receivable</t>
  </si>
  <si>
    <t>Customers (net of allowance for doubtful accounts of $58 and $54</t>
  </si>
  <si>
    <t>Total Depreciation of All Assets</t>
  </si>
  <si>
    <t>at respective dates)</t>
  </si>
  <si>
    <t>Operating Cost Schedule</t>
  </si>
  <si>
    <t>Accrued unbilled revenue</t>
  </si>
  <si>
    <t>Regulatory assets</t>
  </si>
  <si>
    <t>Inventories</t>
  </si>
  <si>
    <t>Gas stored underground and fuel oil</t>
  </si>
  <si>
    <t>Materials and supplies</t>
  </si>
  <si>
    <t>Income taxes receivable</t>
  </si>
  <si>
    <t>Total current assets</t>
  </si>
  <si>
    <t>Gas</t>
  </si>
  <si>
    <t>Accumulated depreciation</t>
  </si>
  <si>
    <t>Net property, plant, and equipment</t>
  </si>
  <si>
    <t>Other Noncurrent Assets</t>
  </si>
  <si>
    <t>Nuclear decommissioning trusts</t>
  </si>
  <si>
    <t>Total other noncurrent assets</t>
  </si>
  <si>
    <t>TOTAL ASSETS</t>
  </si>
  <si>
    <t>LIABILITIES AND EQUITY</t>
  </si>
  <si>
    <t>Current Liabilities</t>
  </si>
  <si>
    <t>Short-term borrowings</t>
  </si>
  <si>
    <t>Long-term debt, classified as current</t>
  </si>
  <si>
    <t>Accounts payable</t>
  </si>
  <si>
    <t>Trade creditors</t>
  </si>
  <si>
    <t>Disputed claims and customer refunds</t>
  </si>
  <si>
    <t>Interest payable</t>
  </si>
  <si>
    <t>Total current liabilities</t>
  </si>
  <si>
    <t>Noncurrent Liabilities</t>
  </si>
  <si>
    <t>Long-term debt</t>
  </si>
  <si>
    <t>Regulatory liabilities</t>
  </si>
  <si>
    <t>Operating Costs</t>
  </si>
  <si>
    <t>Pension and other postretirement benefits</t>
  </si>
  <si>
    <t>Asset retirement obligations</t>
  </si>
  <si>
    <t>Deferred income taxes</t>
  </si>
  <si>
    <t>Total noncurrent liabilities</t>
  </si>
  <si>
    <t>Commitments and Contingencies (Note 13)</t>
  </si>
  <si>
    <t>Common stock, no par value</t>
  </si>
  <si>
    <t>Reinvested earnings</t>
  </si>
  <si>
    <t>Accumulated other comprehensive loss</t>
  </si>
  <si>
    <t>Total shareholders' equity</t>
  </si>
  <si>
    <t>Noncontrolling Interest - Preferred Stock of Subsidiary</t>
  </si>
  <si>
    <t>Total equity</t>
  </si>
  <si>
    <t>TOTAL LIABILITIES AND EQUITY</t>
  </si>
  <si>
    <t>Cash Flow Statement</t>
  </si>
  <si>
    <t>Cash Flows from Operating Activities</t>
  </si>
  <si>
    <t>Net income</t>
  </si>
  <si>
    <t>Adjustments to reconcile net income to net cash provided by</t>
  </si>
  <si>
    <t>operating activities:</t>
  </si>
  <si>
    <t>Depreciation,amortization, and decommissioning</t>
  </si>
  <si>
    <t>Allowance for equity funds used during construction</t>
  </si>
  <si>
    <t>Deferred income taxes and tax credits, net</t>
  </si>
  <si>
    <t>Disallowed capital expenditures</t>
  </si>
  <si>
    <t>Effect of changes in operating assets and liabilities:</t>
  </si>
  <si>
    <t>Butte-related insurance receivable</t>
  </si>
  <si>
    <t>-</t>
  </si>
  <si>
    <t>Butte-relatedthird-party claims</t>
  </si>
  <si>
    <t>Income taxes receivable/payable</t>
  </si>
  <si>
    <t>Other current assets and liabilities</t>
  </si>
  <si>
    <t>Regulatory assets, liabilities, and balancing accounts, net</t>
  </si>
  <si>
    <t>Other noncurrent assets andliabilities</t>
  </si>
  <si>
    <t>Net cash provided by operating activities</t>
  </si>
  <si>
    <t xml:space="preserve">assumed to change as % of revenue </t>
  </si>
  <si>
    <t>Cash Flows from Investing Activities</t>
  </si>
  <si>
    <t>Capital expenditures</t>
  </si>
  <si>
    <t>Decrease in restricted cash</t>
  </si>
  <si>
    <t>Proceeds from sales and maturities of nuclear decommissioning</t>
  </si>
  <si>
    <t>trust investments</t>
  </si>
  <si>
    <t>(in million)</t>
  </si>
  <si>
    <t>Purchases of nuclear decommissioning trust investments</t>
  </si>
  <si>
    <t>Net cash used in investing activities</t>
  </si>
  <si>
    <t>Cash Flows from Financing Activities</t>
  </si>
  <si>
    <t>Borrowings (repayments) under revolving credit facilities</t>
  </si>
  <si>
    <t>Net issuances (repayments) of commercial paper, net of discount</t>
  </si>
  <si>
    <t>of $6, $3,and $2 at respective dates</t>
  </si>
  <si>
    <t>Short-term debt financing</t>
  </si>
  <si>
    <t>Short-term debt matured</t>
  </si>
  <si>
    <t>Proceeds from issuance of long-term debt, net of premium, discount and</t>
  </si>
  <si>
    <t>issuance costs of $17, $27 and $17 atrespective dates</t>
  </si>
  <si>
    <t>Repayments of long-term debt</t>
  </si>
  <si>
    <t>Energy recovery bonds matured</t>
  </si>
  <si>
    <t>Common stock issued</t>
  </si>
  <si>
    <t>Common stock dividends paid</t>
  </si>
  <si>
    <t>Net cash provided by financing activities</t>
  </si>
  <si>
    <t>Net change in cash and cash equivalents</t>
  </si>
  <si>
    <t>Cash and cash equivalents at January 1</t>
  </si>
  <si>
    <t>Cash and cash equivalents at December 31</t>
  </si>
  <si>
    <t>Date</t>
  </si>
  <si>
    <t>Return on PCG</t>
  </si>
  <si>
    <t>Return on S&amp;P500</t>
  </si>
  <si>
    <t>20-year Treasury Bills</t>
  </si>
  <si>
    <t>Coupon rate</t>
  </si>
  <si>
    <t>Maturity</t>
  </si>
  <si>
    <t>Book Value
(Face Value, mn.)</t>
  </si>
  <si>
    <t>Price (% of par)</t>
  </si>
  <si>
    <t>Yield to Maturity</t>
  </si>
  <si>
    <t>Percentage of 
Total Book Value</t>
  </si>
  <si>
    <t>Market Value</t>
  </si>
  <si>
    <t>Percentage of 
Total Market Value</t>
  </si>
  <si>
    <t>Cost of Debt
using Book Values</t>
  </si>
  <si>
    <t>Cost of Debt 
using Market Values</t>
  </si>
  <si>
    <t>Equity Fair Value</t>
  </si>
  <si>
    <t>(in million, except year-end stock price)</t>
  </si>
  <si>
    <t>Number of Shares Outstanding</t>
  </si>
  <si>
    <t>Net Working Capital</t>
  </si>
  <si>
    <t xml:space="preserve">Year-End Stock Price </t>
  </si>
  <si>
    <t>Change in NWC</t>
  </si>
  <si>
    <t>Debt and Interest Expense Schedule</t>
  </si>
  <si>
    <t>Source: PG&amp;E Website/Annual Reports</t>
  </si>
  <si>
    <t>Long-Term Debt (including capitalized lease obligations)</t>
  </si>
  <si>
    <t>Debt Fair Value</t>
  </si>
  <si>
    <t>(% Growth Rate)</t>
  </si>
  <si>
    <t>Beginning Balance</t>
  </si>
  <si>
    <t>($ MM)</t>
  </si>
  <si>
    <t>Capital Structure</t>
  </si>
  <si>
    <t>Firm Value</t>
  </si>
  <si>
    <t>Scheduled Repayments</t>
  </si>
  <si>
    <t xml:space="preserve">Debt </t>
  </si>
  <si>
    <t>New Debt Raised</t>
  </si>
  <si>
    <t xml:space="preserve">Equity </t>
  </si>
  <si>
    <t>Ending Balance</t>
  </si>
  <si>
    <t>Interest Rate</t>
  </si>
  <si>
    <t>Annual Interest Expense</t>
  </si>
  <si>
    <t>Total Operating revenues</t>
  </si>
  <si>
    <t xml:space="preserve">Customers </t>
  </si>
  <si>
    <t>Shareholder's Equity</t>
  </si>
  <si>
    <t>Statement of Cash Flows</t>
  </si>
  <si>
    <t>Cash Flow From Operating Activities</t>
  </si>
  <si>
    <t>Change in Net Working Capital</t>
  </si>
  <si>
    <t>Total Cash Flow from Operating Activities</t>
  </si>
  <si>
    <t>Capital Expenditures</t>
  </si>
  <si>
    <t>Total Cash Flows from Investing Activities</t>
  </si>
  <si>
    <t>Proceeds from new debt issue</t>
  </si>
  <si>
    <t>Total Cash Flow From Financing</t>
  </si>
  <si>
    <t>Change in Cash Balance</t>
  </si>
  <si>
    <t>Capital Expenditure</t>
  </si>
  <si>
    <t>Best Case: growth rates higher than the Base Case by</t>
  </si>
  <si>
    <t>Worst Case: growth rates lower than the Base Case by</t>
  </si>
  <si>
    <t>Assumed to change as % of revenue</t>
  </si>
  <si>
    <t>Terminal Value Growth</t>
  </si>
  <si>
    <t>WACC Scenarios</t>
  </si>
  <si>
    <t xml:space="preserve">Terminal Growth </t>
  </si>
  <si>
    <t>Scenarios</t>
  </si>
  <si>
    <t>Enterprise Values</t>
  </si>
  <si>
    <t>Equity Values</t>
  </si>
  <si>
    <t>Summary Values</t>
  </si>
  <si>
    <t>PG&amp;E Corporation</t>
  </si>
  <si>
    <t>Long-term Debt (See Note 1)</t>
  </si>
  <si>
    <t>Notes:</t>
  </si>
  <si>
    <t>1. PG&amp;E's credit rating is Baa1 (Moody's). Their credit is quite good so we assumed that the long-term debt fair value is the same as the long-term debt book value.</t>
  </si>
  <si>
    <t>Source: Bloomberg Terminal</t>
  </si>
  <si>
    <t>Arithmetic Average</t>
  </si>
  <si>
    <t>% of Revenues</t>
  </si>
  <si>
    <t>% of EBT</t>
  </si>
  <si>
    <t>Source: CRSP&amp; FRED Economic Data</t>
  </si>
  <si>
    <t>Source: PG&amp;E Annual Reports</t>
  </si>
  <si>
    <t>Electricity Generated and Procured</t>
  </si>
  <si>
    <t>PG&amp;E Corp - Historical Data</t>
  </si>
  <si>
    <t>PG&amp;E Corp - Assumptions</t>
  </si>
  <si>
    <t>PG&amp;E Corp - Financial Models</t>
  </si>
  <si>
    <t>PG&amp;E Corp - DCF Forecasting</t>
  </si>
  <si>
    <t>PG&amp;E Corp - Scenarios Analysis</t>
  </si>
  <si>
    <t>Corporate Financial Modeling Project</t>
  </si>
  <si>
    <t>Prepared by:</t>
  </si>
  <si>
    <t>Prepared for:</t>
  </si>
  <si>
    <t xml:space="preserve">Prof. Hamza Abdurezak </t>
  </si>
  <si>
    <t>Course:</t>
  </si>
  <si>
    <t>Corporate Financial Modeling</t>
  </si>
  <si>
    <t>Brandeis University, Spring 2017</t>
  </si>
  <si>
    <t>Jenna (KimHuong) Nguyen, MBA Candidate</t>
  </si>
  <si>
    <t>&amp;</t>
  </si>
  <si>
    <t>DCF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</si>
</sst>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_(&quot;$&quot;* #,##0.00_);_(&quot;$&quot;* \(#,##0.00\);_(&quot;$&quot;* &quot;-&quot;??_);_(@_)"/>
    <numFmt numFmtId="165" formatCode="0.0%"/>
    <numFmt numFmtId="166" formatCode="&quot;$&quot;#,##0"/>
    <numFmt numFmtId="167" formatCode="_(&quot;$&quot;* #,##0_);_(&quot;$&quot;* \(#,##0\);_(&quot;$&quot;* &quot;-&quot;??_);_(@_)"/>
    <numFmt numFmtId="168" formatCode="#,##0;\(#,##0\)"/>
    <numFmt numFmtId="169" formatCode="&quot;$&quot;#,##0.00"/>
    <numFmt numFmtId="170" formatCode="#,##0.0000"/>
    <numFmt numFmtId="171" formatCode="&quot;$&quot;#,##0.00000"/>
    <numFmt numFmtId="172" formatCode="&quot;$&quot;#,##0.0000"/>
    <numFmt numFmtId="173" formatCode="&quot;$&quot;#,##0.000"/>
    <numFmt numFmtId="174" formatCode="&quot;$&quot;#,##0.0"/>
    <numFmt numFmtId="175" formatCode="0.000"/>
  </numFmts>
  <fonts count="31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0000FF"/>
      <name val="Arial"/>
    </font>
    <font>
      <sz val="10"/>
      <name val="Arial"/>
    </font>
    <font>
      <sz val="10"/>
      <name val="Arial"/>
    </font>
    <font>
      <b/>
      <sz val="11"/>
      <name val="Arial"/>
    </font>
    <font>
      <b/>
      <sz val="10"/>
      <name val="Arial"/>
    </font>
    <font>
      <sz val="10"/>
      <name val="Arial"/>
    </font>
    <font>
      <sz val="10"/>
      <color rgb="FF0000FF"/>
      <name val="Arial"/>
    </font>
    <font>
      <b/>
      <i/>
      <sz val="10"/>
      <name val="Arial"/>
    </font>
    <font>
      <b/>
      <sz val="10"/>
      <color rgb="FF000000"/>
      <name val="Arial"/>
    </font>
    <font>
      <b/>
      <sz val="10"/>
      <name val="Arial"/>
    </font>
    <font>
      <sz val="10"/>
      <color rgb="FF0000FF"/>
      <name val="Arial"/>
    </font>
    <font>
      <b/>
      <sz val="10"/>
      <name val="Arial"/>
    </font>
    <font>
      <sz val="11"/>
      <color rgb="FF000000"/>
      <name val="Calibri"/>
    </font>
    <font>
      <sz val="11"/>
      <color rgb="FF0000FF"/>
      <name val="Calibri"/>
    </font>
    <font>
      <b/>
      <sz val="10"/>
      <color rgb="FF0000FF"/>
      <name val="Arial"/>
    </font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4"/>
      <color rgb="FF000000"/>
      <name val="Arial"/>
      <family val="2"/>
    </font>
    <font>
      <sz val="26"/>
      <color theme="8"/>
      <name val="Arial"/>
      <family val="2"/>
    </font>
    <font>
      <sz val="16"/>
      <color theme="5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16"/>
      <color rgb="FF000000"/>
      <name val="Arial"/>
      <family val="2"/>
    </font>
    <font>
      <sz val="28"/>
      <color theme="8"/>
      <name val="Arial"/>
      <family val="2"/>
    </font>
    <font>
      <b/>
      <sz val="12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rgb="FFC9DAF8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rgb="FF00FFFF"/>
      </patternFill>
    </fill>
    <fill>
      <patternFill patternType="solid">
        <fgColor theme="8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</cellStyleXfs>
  <cellXfs count="559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5" xfId="0" applyFont="1" applyBorder="1" applyAlignment="1"/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1" fillId="0" borderId="1" xfId="0" applyFont="1" applyBorder="1" applyAlignment="1">
      <alignment horizontal="center"/>
    </xf>
    <xf numFmtId="3" fontId="1" fillId="0" borderId="0" xfId="0" applyNumberFormat="1" applyFont="1" applyAlignment="1"/>
    <xf numFmtId="0" fontId="1" fillId="0" borderId="5" xfId="0" applyFont="1" applyBorder="1" applyAlignment="1">
      <alignment horizontal="left"/>
    </xf>
    <xf numFmtId="0" fontId="2" fillId="0" borderId="0" xfId="0" applyFont="1" applyAlignment="1">
      <alignment horizontal="right"/>
    </xf>
    <xf numFmtId="3" fontId="1" fillId="0" borderId="8" xfId="0" applyNumberFormat="1" applyFont="1" applyBorder="1"/>
    <xf numFmtId="0" fontId="1" fillId="0" borderId="8" xfId="0" applyFont="1" applyBorder="1"/>
    <xf numFmtId="10" fontId="1" fillId="0" borderId="8" xfId="0" applyNumberFormat="1" applyFont="1" applyBorder="1" applyAlignment="1">
      <alignment horizontal="center"/>
    </xf>
    <xf numFmtId="165" fontId="1" fillId="0" borderId="0" xfId="0" applyNumberFormat="1" applyFont="1"/>
    <xf numFmtId="0" fontId="2" fillId="0" borderId="9" xfId="0" applyFont="1" applyBorder="1" applyAlignment="1">
      <alignment horizontal="right"/>
    </xf>
    <xf numFmtId="165" fontId="1" fillId="0" borderId="0" xfId="0" applyNumberFormat="1" applyFont="1" applyAlignment="1"/>
    <xf numFmtId="10" fontId="1" fillId="0" borderId="8" xfId="0" applyNumberFormat="1" applyFont="1" applyBorder="1" applyAlignment="1">
      <alignment horizontal="center"/>
    </xf>
    <xf numFmtId="165" fontId="1" fillId="0" borderId="8" xfId="0" applyNumberFormat="1" applyFont="1" applyBorder="1"/>
    <xf numFmtId="0" fontId="2" fillId="0" borderId="10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1" fillId="0" borderId="8" xfId="0" applyFont="1" applyBorder="1" applyAlignment="1">
      <alignment horizontal="center"/>
    </xf>
    <xf numFmtId="3" fontId="3" fillId="0" borderId="0" xfId="0" applyNumberFormat="1" applyFont="1"/>
    <xf numFmtId="0" fontId="1" fillId="0" borderId="5" xfId="0" applyFont="1" applyBorder="1"/>
    <xf numFmtId="165" fontId="1" fillId="0" borderId="7" xfId="0" applyNumberFormat="1" applyFont="1" applyBorder="1"/>
    <xf numFmtId="3" fontId="1" fillId="0" borderId="5" xfId="0" applyNumberFormat="1" applyFont="1" applyBorder="1"/>
    <xf numFmtId="165" fontId="1" fillId="0" borderId="6" xfId="0" applyNumberFormat="1" applyFont="1" applyBorder="1"/>
    <xf numFmtId="0" fontId="1" fillId="0" borderId="8" xfId="0" applyFont="1" applyBorder="1" applyAlignment="1">
      <alignment horizontal="center"/>
    </xf>
    <xf numFmtId="165" fontId="1" fillId="0" borderId="8" xfId="0" applyNumberFormat="1" applyFont="1" applyBorder="1" applyAlignment="1"/>
    <xf numFmtId="0" fontId="3" fillId="0" borderId="0" xfId="0" applyFont="1"/>
    <xf numFmtId="166" fontId="3" fillId="0" borderId="0" xfId="0" applyNumberFormat="1" applyFont="1"/>
    <xf numFmtId="0" fontId="1" fillId="0" borderId="10" xfId="0" applyFont="1" applyBorder="1" applyAlignment="1"/>
    <xf numFmtId="166" fontId="1" fillId="0" borderId="5" xfId="0" applyNumberFormat="1" applyFont="1" applyBorder="1"/>
    <xf numFmtId="10" fontId="1" fillId="0" borderId="11" xfId="0" applyNumberFormat="1" applyFont="1" applyBorder="1" applyAlignment="1">
      <alignment horizontal="center"/>
    </xf>
    <xf numFmtId="166" fontId="1" fillId="0" borderId="0" xfId="0" applyNumberFormat="1" applyFont="1"/>
    <xf numFmtId="0" fontId="1" fillId="0" borderId="2" xfId="0" applyFont="1" applyBorder="1"/>
    <xf numFmtId="165" fontId="1" fillId="0" borderId="2" xfId="0" applyNumberFormat="1" applyFont="1" applyBorder="1"/>
    <xf numFmtId="165" fontId="1" fillId="0" borderId="4" xfId="0" applyNumberFormat="1" applyFont="1" applyBorder="1"/>
    <xf numFmtId="10" fontId="1" fillId="0" borderId="11" xfId="0" applyNumberFormat="1" applyFont="1" applyBorder="1" applyAlignment="1">
      <alignment horizontal="center"/>
    </xf>
    <xf numFmtId="166" fontId="1" fillId="0" borderId="8" xfId="0" applyNumberFormat="1" applyFont="1" applyBorder="1"/>
    <xf numFmtId="0" fontId="1" fillId="0" borderId="8" xfId="0" applyFont="1" applyBorder="1" applyAlignment="1"/>
    <xf numFmtId="0" fontId="2" fillId="6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0" fontId="1" fillId="0" borderId="5" xfId="0" applyFont="1" applyBorder="1" applyAlignment="1">
      <alignment horizontal="left"/>
    </xf>
    <xf numFmtId="10" fontId="1" fillId="0" borderId="8" xfId="0" applyNumberFormat="1" applyFont="1" applyBorder="1"/>
    <xf numFmtId="3" fontId="1" fillId="0" borderId="7" xfId="0" applyNumberFormat="1" applyFont="1" applyBorder="1"/>
    <xf numFmtId="3" fontId="1" fillId="0" borderId="6" xfId="0" applyNumberFormat="1" applyFont="1" applyBorder="1"/>
    <xf numFmtId="0" fontId="2" fillId="2" borderId="9" xfId="0" applyFont="1" applyFill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167" fontId="3" fillId="0" borderId="0" xfId="0" applyNumberFormat="1" applyFont="1"/>
    <xf numFmtId="167" fontId="1" fillId="0" borderId="5" xfId="0" applyNumberFormat="1" applyFont="1" applyBorder="1"/>
    <xf numFmtId="0" fontId="1" fillId="0" borderId="3" xfId="0" applyFont="1" applyBorder="1" applyAlignment="1"/>
    <xf numFmtId="167" fontId="1" fillId="0" borderId="0" xfId="0" applyNumberFormat="1" applyFont="1"/>
    <xf numFmtId="3" fontId="1" fillId="0" borderId="2" xfId="0" applyNumberFormat="1" applyFont="1" applyBorder="1"/>
    <xf numFmtId="0" fontId="1" fillId="0" borderId="10" xfId="0" applyFont="1" applyBorder="1" applyAlignment="1">
      <alignment horizontal="left"/>
    </xf>
    <xf numFmtId="167" fontId="1" fillId="0" borderId="8" xfId="0" applyNumberFormat="1" applyFont="1" applyBorder="1"/>
    <xf numFmtId="0" fontId="2" fillId="6" borderId="3" xfId="0" applyFont="1" applyFill="1" applyBorder="1" applyAlignment="1">
      <alignment horizontal="center"/>
    </xf>
    <xf numFmtId="10" fontId="1" fillId="0" borderId="11" xfId="0" applyNumberFormat="1" applyFont="1" applyBorder="1"/>
    <xf numFmtId="0" fontId="1" fillId="0" borderId="9" xfId="0" applyFont="1" applyBorder="1"/>
    <xf numFmtId="10" fontId="1" fillId="0" borderId="8" xfId="0" applyNumberFormat="1" applyFont="1" applyBorder="1" applyAlignment="1">
      <alignment horizontal="right"/>
    </xf>
    <xf numFmtId="166" fontId="3" fillId="0" borderId="9" xfId="0" applyNumberFormat="1" applyFont="1" applyBorder="1"/>
    <xf numFmtId="10" fontId="1" fillId="0" borderId="0" xfId="0" applyNumberFormat="1" applyFont="1"/>
    <xf numFmtId="166" fontId="1" fillId="0" borderId="10" xfId="0" applyNumberFormat="1" applyFont="1" applyBorder="1"/>
    <xf numFmtId="166" fontId="1" fillId="0" borderId="9" xfId="0" applyNumberFormat="1" applyFont="1" applyBorder="1"/>
    <xf numFmtId="166" fontId="1" fillId="0" borderId="11" xfId="0" applyNumberFormat="1" applyFont="1" applyBorder="1"/>
    <xf numFmtId="0" fontId="2" fillId="0" borderId="0" xfId="0" applyFont="1" applyAlignment="1">
      <alignment horizontal="right"/>
    </xf>
    <xf numFmtId="0" fontId="2" fillId="0" borderId="9" xfId="0" applyFont="1" applyBorder="1" applyAlignment="1">
      <alignment horizontal="right"/>
    </xf>
    <xf numFmtId="166" fontId="1" fillId="0" borderId="0" xfId="0" applyNumberFormat="1" applyFont="1" applyAlignment="1">
      <alignment horizontal="right" vertical="top"/>
    </xf>
    <xf numFmtId="0" fontId="2" fillId="0" borderId="10" xfId="0" applyFont="1" applyBorder="1" applyAlignment="1">
      <alignment horizontal="right"/>
    </xf>
    <xf numFmtId="166" fontId="1" fillId="0" borderId="0" xfId="0" applyNumberFormat="1" applyFont="1" applyAlignment="1"/>
    <xf numFmtId="0" fontId="2" fillId="0" borderId="11" xfId="0" applyFont="1" applyBorder="1" applyAlignment="1">
      <alignment horizontal="right"/>
    </xf>
    <xf numFmtId="168" fontId="1" fillId="0" borderId="0" xfId="0" applyNumberFormat="1" applyFont="1"/>
    <xf numFmtId="168" fontId="1" fillId="0" borderId="8" xfId="0" applyNumberFormat="1" applyFont="1" applyBorder="1"/>
    <xf numFmtId="168" fontId="1" fillId="0" borderId="0" xfId="0" applyNumberFormat="1" applyFont="1" applyAlignment="1"/>
    <xf numFmtId="169" fontId="3" fillId="0" borderId="0" xfId="0" applyNumberFormat="1" applyFont="1"/>
    <xf numFmtId="10" fontId="1" fillId="0" borderId="11" xfId="0" applyNumberFormat="1" applyFont="1" applyBorder="1" applyAlignment="1">
      <alignment horizontal="right"/>
    </xf>
    <xf numFmtId="165" fontId="1" fillId="0" borderId="11" xfId="0" applyNumberFormat="1" applyFont="1" applyBorder="1"/>
    <xf numFmtId="169" fontId="1" fillId="0" borderId="5" xfId="0" applyNumberFormat="1" applyFont="1" applyBorder="1"/>
    <xf numFmtId="0" fontId="4" fillId="0" borderId="10" xfId="0" applyFont="1" applyBorder="1" applyAlignment="1"/>
    <xf numFmtId="169" fontId="1" fillId="0" borderId="0" xfId="0" applyNumberFormat="1" applyFont="1"/>
    <xf numFmtId="0" fontId="4" fillId="0" borderId="0" xfId="0" applyFont="1" applyAlignment="1"/>
    <xf numFmtId="169" fontId="1" fillId="0" borderId="8" xfId="0" applyNumberFormat="1" applyFont="1" applyBorder="1"/>
    <xf numFmtId="0" fontId="1" fillId="0" borderId="1" xfId="0" applyFont="1" applyBorder="1" applyAlignment="1">
      <alignment horizontal="left"/>
    </xf>
    <xf numFmtId="168" fontId="1" fillId="0" borderId="0" xfId="0" applyNumberFormat="1" applyFont="1" applyAlignment="1">
      <alignment horizontal="right" vertical="top"/>
    </xf>
    <xf numFmtId="3" fontId="1" fillId="0" borderId="6" xfId="0" applyNumberFormat="1" applyFont="1" applyBorder="1" applyAlignment="1">
      <alignment horizontal="center"/>
    </xf>
    <xf numFmtId="0" fontId="2" fillId="0" borderId="5" xfId="0" applyFont="1" applyBorder="1" applyAlignment="1"/>
    <xf numFmtId="165" fontId="1" fillId="0" borderId="8" xfId="0" applyNumberFormat="1" applyFont="1" applyBorder="1" applyAlignment="1">
      <alignment horizontal="center"/>
    </xf>
    <xf numFmtId="168" fontId="1" fillId="0" borderId="7" xfId="0" applyNumberFormat="1" applyFont="1" applyBorder="1"/>
    <xf numFmtId="168" fontId="1" fillId="0" borderId="6" xfId="0" applyNumberFormat="1" applyFont="1" applyBorder="1"/>
    <xf numFmtId="0" fontId="1" fillId="0" borderId="11" xfId="0" applyFont="1" applyBorder="1" applyAlignment="1">
      <alignment horizontal="center"/>
    </xf>
    <xf numFmtId="0" fontId="4" fillId="0" borderId="5" xfId="0" applyFont="1" applyBorder="1" applyAlignment="1"/>
    <xf numFmtId="170" fontId="1" fillId="0" borderId="0" xfId="0" applyNumberFormat="1" applyFont="1"/>
    <xf numFmtId="170" fontId="1" fillId="0" borderId="8" xfId="0" applyNumberFormat="1" applyFont="1" applyBorder="1"/>
    <xf numFmtId="0" fontId="2" fillId="0" borderId="5" xfId="0" applyFont="1" applyBorder="1"/>
    <xf numFmtId="171" fontId="1" fillId="0" borderId="0" xfId="0" applyNumberFormat="1" applyFont="1" applyAlignment="1">
      <alignment horizontal="right" vertical="top"/>
    </xf>
    <xf numFmtId="171" fontId="1" fillId="0" borderId="0" xfId="0" applyNumberFormat="1" applyFont="1" applyAlignment="1"/>
    <xf numFmtId="172" fontId="1" fillId="0" borderId="0" xfId="0" applyNumberFormat="1" applyFont="1"/>
    <xf numFmtId="172" fontId="1" fillId="0" borderId="8" xfId="0" applyNumberFormat="1" applyFont="1" applyBorder="1"/>
    <xf numFmtId="3" fontId="1" fillId="0" borderId="9" xfId="0" applyNumberFormat="1" applyFont="1" applyBorder="1" applyAlignment="1">
      <alignment horizontal="right" vertical="top"/>
    </xf>
    <xf numFmtId="3" fontId="1" fillId="0" borderId="9" xfId="0" applyNumberFormat="1" applyFont="1" applyBorder="1" applyAlignment="1"/>
    <xf numFmtId="0" fontId="5" fillId="0" borderId="5" xfId="0" applyFont="1" applyBorder="1" applyAlignment="1"/>
    <xf numFmtId="0" fontId="2" fillId="2" borderId="11" xfId="0" applyFont="1" applyFill="1" applyBorder="1" applyAlignment="1">
      <alignment horizontal="center"/>
    </xf>
    <xf numFmtId="0" fontId="5" fillId="0" borderId="8" xfId="0" applyFont="1" applyBorder="1" applyAlignment="1">
      <alignment horizontal="right"/>
    </xf>
    <xf numFmtId="2" fontId="1" fillId="0" borderId="8" xfId="0" applyNumberFormat="1" applyFont="1" applyBorder="1"/>
    <xf numFmtId="3" fontId="1" fillId="0" borderId="8" xfId="0" applyNumberFormat="1" applyFont="1" applyBorder="1" applyAlignment="1"/>
    <xf numFmtId="2" fontId="5" fillId="0" borderId="8" xfId="0" applyNumberFormat="1" applyFont="1" applyBorder="1" applyAlignment="1">
      <alignment horizontal="right"/>
    </xf>
    <xf numFmtId="10" fontId="5" fillId="0" borderId="8" xfId="0" applyNumberFormat="1" applyFont="1" applyBorder="1" applyAlignment="1">
      <alignment horizontal="right"/>
    </xf>
    <xf numFmtId="169" fontId="1" fillId="0" borderId="0" xfId="0" applyNumberFormat="1" applyFont="1" applyAlignment="1">
      <alignment horizontal="right" vertical="top"/>
    </xf>
    <xf numFmtId="169" fontId="1" fillId="0" borderId="0" xfId="0" applyNumberFormat="1" applyFont="1" applyAlignment="1"/>
    <xf numFmtId="169" fontId="1" fillId="0" borderId="8" xfId="0" applyNumberFormat="1" applyFont="1" applyBorder="1" applyAlignment="1"/>
    <xf numFmtId="0" fontId="2" fillId="0" borderId="3" xfId="0" applyFont="1" applyBorder="1" applyAlignment="1"/>
    <xf numFmtId="0" fontId="2" fillId="0" borderId="2" xfId="0" applyFont="1" applyBorder="1"/>
    <xf numFmtId="166" fontId="2" fillId="0" borderId="2" xfId="0" applyNumberFormat="1" applyFont="1" applyBorder="1"/>
    <xf numFmtId="166" fontId="2" fillId="0" borderId="4" xfId="0" applyNumberFormat="1" applyFont="1" applyBorder="1"/>
    <xf numFmtId="0" fontId="6" fillId="0" borderId="5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8" fillId="0" borderId="5" xfId="0" applyFont="1" applyBorder="1" applyAlignment="1">
      <alignment horizontal="left"/>
    </xf>
    <xf numFmtId="0" fontId="8" fillId="0" borderId="0" xfId="0" applyFont="1" applyAlignment="1">
      <alignment horizontal="right"/>
    </xf>
    <xf numFmtId="3" fontId="8" fillId="0" borderId="5" xfId="0" applyNumberFormat="1" applyFont="1" applyBorder="1" applyAlignment="1">
      <alignment horizontal="center"/>
    </xf>
    <xf numFmtId="10" fontId="1" fillId="0" borderId="6" xfId="0" applyNumberFormat="1" applyFont="1" applyBorder="1"/>
    <xf numFmtId="3" fontId="8" fillId="0" borderId="0" xfId="0" applyNumberFormat="1" applyFont="1" applyAlignment="1">
      <alignment horizontal="center"/>
    </xf>
    <xf numFmtId="3" fontId="8" fillId="0" borderId="8" xfId="0" applyNumberFormat="1" applyFont="1" applyBorder="1" applyAlignment="1">
      <alignment horizontal="center"/>
    </xf>
    <xf numFmtId="0" fontId="1" fillId="0" borderId="8" xfId="0" applyFont="1" applyBorder="1" applyAlignment="1">
      <alignment horizontal="right"/>
    </xf>
    <xf numFmtId="166" fontId="9" fillId="0" borderId="0" xfId="0" applyNumberFormat="1" applyFont="1" applyAlignment="1">
      <alignment horizontal="right"/>
    </xf>
    <xf numFmtId="166" fontId="1" fillId="0" borderId="7" xfId="0" applyNumberFormat="1" applyFont="1" applyBorder="1"/>
    <xf numFmtId="166" fontId="8" fillId="0" borderId="5" xfId="0" applyNumberFormat="1" applyFont="1" applyBorder="1" applyAlignment="1">
      <alignment horizontal="center"/>
    </xf>
    <xf numFmtId="0" fontId="2" fillId="0" borderId="0" xfId="0" applyFont="1" applyAlignment="1"/>
    <xf numFmtId="166" fontId="8" fillId="0" borderId="0" xfId="0" applyNumberFormat="1" applyFont="1" applyAlignment="1">
      <alignment horizontal="center"/>
    </xf>
    <xf numFmtId="166" fontId="8" fillId="0" borderId="8" xfId="0" applyNumberFormat="1" applyFont="1" applyBorder="1" applyAlignment="1">
      <alignment horizontal="center"/>
    </xf>
    <xf numFmtId="0" fontId="8" fillId="0" borderId="5" xfId="0" applyFont="1" applyBorder="1" applyAlignment="1">
      <alignment horizontal="right"/>
    </xf>
    <xf numFmtId="3" fontId="1" fillId="0" borderId="8" xfId="0" applyNumberFormat="1" applyFont="1" applyBorder="1" applyAlignment="1">
      <alignment horizontal="right" vertical="top"/>
    </xf>
    <xf numFmtId="166" fontId="1" fillId="0" borderId="9" xfId="0" applyNumberFormat="1" applyFont="1" applyBorder="1" applyAlignment="1">
      <alignment horizontal="right" vertical="top"/>
    </xf>
    <xf numFmtId="3" fontId="1" fillId="0" borderId="11" xfId="0" applyNumberFormat="1" applyFont="1" applyBorder="1" applyAlignment="1"/>
    <xf numFmtId="0" fontId="2" fillId="2" borderId="9" xfId="0" applyFont="1" applyFill="1" applyBorder="1" applyAlignment="1">
      <alignment horizontal="right"/>
    </xf>
    <xf numFmtId="0" fontId="2" fillId="2" borderId="11" xfId="0" applyFont="1" applyFill="1" applyBorder="1" applyAlignment="1">
      <alignment horizontal="right"/>
    </xf>
    <xf numFmtId="0" fontId="10" fillId="0" borderId="0" xfId="0" applyFont="1" applyAlignment="1">
      <alignment horizontal="center"/>
    </xf>
    <xf numFmtId="3" fontId="1" fillId="0" borderId="0" xfId="0" applyNumberFormat="1" applyFont="1" applyAlignment="1">
      <alignment vertical="top"/>
    </xf>
    <xf numFmtId="3" fontId="1" fillId="0" borderId="0" xfId="0" applyNumberFormat="1" applyFont="1" applyAlignment="1">
      <alignment horizontal="right"/>
    </xf>
    <xf numFmtId="10" fontId="1" fillId="0" borderId="9" xfId="0" applyNumberFormat="1" applyFont="1" applyBorder="1"/>
    <xf numFmtId="0" fontId="1" fillId="0" borderId="7" xfId="0" applyFont="1" applyBorder="1" applyAlignment="1"/>
    <xf numFmtId="0" fontId="2" fillId="0" borderId="9" xfId="0" applyFont="1" applyBorder="1" applyAlignment="1"/>
    <xf numFmtId="0" fontId="2" fillId="0" borderId="11" xfId="0" applyFont="1" applyBorder="1" applyAlignment="1"/>
    <xf numFmtId="0" fontId="1" fillId="0" borderId="9" xfId="0" applyFont="1" applyBorder="1" applyAlignment="1">
      <alignment horizontal="center"/>
    </xf>
    <xf numFmtId="3" fontId="1" fillId="0" borderId="9" xfId="0" applyNumberFormat="1" applyFont="1" applyBorder="1"/>
    <xf numFmtId="3" fontId="1" fillId="0" borderId="11" xfId="0" applyNumberFormat="1" applyFont="1" applyBorder="1"/>
    <xf numFmtId="0" fontId="8" fillId="0" borderId="10" xfId="0" applyFont="1" applyBorder="1" applyAlignment="1">
      <alignment horizontal="right"/>
    </xf>
    <xf numFmtId="0" fontId="6" fillId="0" borderId="9" xfId="0" applyFont="1" applyBorder="1" applyAlignment="1">
      <alignment horizontal="center"/>
    </xf>
    <xf numFmtId="166" fontId="8" fillId="0" borderId="10" xfId="0" applyNumberFormat="1" applyFont="1" applyBorder="1" applyAlignment="1">
      <alignment horizontal="center"/>
    </xf>
    <xf numFmtId="166" fontId="1" fillId="0" borderId="0" xfId="0" applyNumberFormat="1" applyFont="1" applyAlignment="1">
      <alignment horizontal="right"/>
    </xf>
    <xf numFmtId="166" fontId="8" fillId="0" borderId="9" xfId="0" applyNumberFormat="1" applyFont="1" applyBorder="1" applyAlignment="1">
      <alignment horizontal="center"/>
    </xf>
    <xf numFmtId="166" fontId="1" fillId="0" borderId="8" xfId="0" applyNumberFormat="1" applyFont="1" applyBorder="1" applyAlignment="1">
      <alignment horizontal="right"/>
    </xf>
    <xf numFmtId="166" fontId="8" fillId="0" borderId="11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5" xfId="0" applyFont="1" applyBorder="1" applyAlignment="1">
      <alignment horizontal="center"/>
    </xf>
    <xf numFmtId="173" fontId="1" fillId="0" borderId="0" xfId="0" applyNumberFormat="1" applyFont="1" applyAlignment="1">
      <alignment horizontal="right"/>
    </xf>
    <xf numFmtId="0" fontId="7" fillId="0" borderId="8" xfId="0" applyFont="1" applyBorder="1" applyAlignment="1">
      <alignment horizontal="center"/>
    </xf>
    <xf numFmtId="173" fontId="1" fillId="0" borderId="8" xfId="0" applyNumberFormat="1" applyFont="1" applyBorder="1" applyAlignment="1">
      <alignment horizontal="right"/>
    </xf>
    <xf numFmtId="167" fontId="1" fillId="0" borderId="9" xfId="0" applyNumberFormat="1" applyFont="1" applyBorder="1"/>
    <xf numFmtId="166" fontId="9" fillId="0" borderId="8" xfId="0" applyNumberFormat="1" applyFont="1" applyBorder="1" applyAlignment="1">
      <alignment horizontal="center"/>
    </xf>
    <xf numFmtId="167" fontId="1" fillId="0" borderId="11" xfId="0" applyNumberFormat="1" applyFont="1" applyBorder="1"/>
    <xf numFmtId="3" fontId="1" fillId="0" borderId="9" xfId="0" applyNumberFormat="1" applyFont="1" applyBorder="1" applyAlignment="1">
      <alignment horizontal="right"/>
    </xf>
    <xf numFmtId="0" fontId="2" fillId="0" borderId="1" xfId="0" applyFont="1" applyBorder="1" applyAlignment="1"/>
    <xf numFmtId="3" fontId="1" fillId="0" borderId="11" xfId="0" applyNumberFormat="1" applyFont="1" applyBorder="1" applyAlignment="1">
      <alignment horizontal="right"/>
    </xf>
    <xf numFmtId="166" fontId="2" fillId="0" borderId="6" xfId="0" applyNumberFormat="1" applyFont="1" applyBorder="1"/>
    <xf numFmtId="166" fontId="2" fillId="0" borderId="8" xfId="0" applyNumberFormat="1" applyFont="1" applyBorder="1"/>
    <xf numFmtId="0" fontId="2" fillId="0" borderId="10" xfId="0" applyFont="1" applyBorder="1" applyAlignment="1"/>
    <xf numFmtId="0" fontId="2" fillId="2" borderId="0" xfId="0" applyFont="1" applyFill="1" applyAlignment="1">
      <alignment horizontal="right"/>
    </xf>
    <xf numFmtId="166" fontId="2" fillId="0" borderId="11" xfId="0" applyNumberFormat="1" applyFont="1" applyBorder="1"/>
    <xf numFmtId="0" fontId="2" fillId="2" borderId="8" xfId="0" applyFont="1" applyFill="1" applyBorder="1" applyAlignment="1">
      <alignment horizontal="right"/>
    </xf>
    <xf numFmtId="174" fontId="1" fillId="0" borderId="0" xfId="0" applyNumberFormat="1" applyFont="1"/>
    <xf numFmtId="0" fontId="8" fillId="0" borderId="10" xfId="0" applyFont="1" applyBorder="1" applyAlignment="1">
      <alignment horizontal="left"/>
    </xf>
    <xf numFmtId="166" fontId="9" fillId="0" borderId="11" xfId="0" applyNumberFormat="1" applyFont="1" applyBorder="1" applyAlignment="1">
      <alignment horizontal="center"/>
    </xf>
    <xf numFmtId="0" fontId="7" fillId="0" borderId="3" xfId="0" applyFont="1" applyBorder="1" applyAlignment="1">
      <alignment horizontal="left"/>
    </xf>
    <xf numFmtId="0" fontId="7" fillId="0" borderId="2" xfId="0" applyFont="1" applyBorder="1" applyAlignment="1">
      <alignment horizontal="center"/>
    </xf>
    <xf numFmtId="166" fontId="7" fillId="0" borderId="4" xfId="0" applyNumberFormat="1" applyFont="1" applyBorder="1" applyAlignment="1">
      <alignment horizontal="center"/>
    </xf>
    <xf numFmtId="169" fontId="1" fillId="0" borderId="0" xfId="0" applyNumberFormat="1" applyFont="1" applyAlignment="1"/>
    <xf numFmtId="166" fontId="7" fillId="0" borderId="2" xfId="0" applyNumberFormat="1" applyFont="1" applyBorder="1" applyAlignment="1">
      <alignment horizontal="center"/>
    </xf>
    <xf numFmtId="169" fontId="1" fillId="0" borderId="0" xfId="0" applyNumberFormat="1" applyFont="1" applyAlignment="1">
      <alignment horizontal="right"/>
    </xf>
    <xf numFmtId="169" fontId="1" fillId="0" borderId="8" xfId="0" applyNumberFormat="1" applyFont="1" applyBorder="1" applyAlignment="1">
      <alignment horizontal="right"/>
    </xf>
    <xf numFmtId="166" fontId="7" fillId="0" borderId="0" xfId="0" applyNumberFormat="1" applyFont="1" applyAlignment="1">
      <alignment horizontal="center"/>
    </xf>
    <xf numFmtId="0" fontId="1" fillId="0" borderId="9" xfId="0" applyFont="1" applyBorder="1" applyAlignment="1"/>
    <xf numFmtId="10" fontId="1" fillId="0" borderId="0" xfId="0" applyNumberFormat="1" applyFont="1" applyAlignment="1"/>
    <xf numFmtId="0" fontId="1" fillId="0" borderId="9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7" fillId="0" borderId="1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66" fontId="7" fillId="0" borderId="8" xfId="0" applyNumberFormat="1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8" xfId="0" applyFont="1" applyBorder="1" applyAlignment="1">
      <alignment horizontal="right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right"/>
    </xf>
    <xf numFmtId="166" fontId="8" fillId="0" borderId="0" xfId="0" applyNumberFormat="1" applyFont="1" applyAlignment="1">
      <alignment horizontal="right"/>
    </xf>
    <xf numFmtId="166" fontId="8" fillId="0" borderId="8" xfId="0" applyNumberFormat="1" applyFont="1" applyBorder="1" applyAlignment="1">
      <alignment horizontal="right"/>
    </xf>
    <xf numFmtId="0" fontId="8" fillId="0" borderId="7" xfId="0" applyFont="1" applyBorder="1" applyAlignment="1">
      <alignment horizontal="center"/>
    </xf>
    <xf numFmtId="166" fontId="7" fillId="0" borderId="7" xfId="0" applyNumberFormat="1" applyFont="1" applyBorder="1" applyAlignment="1">
      <alignment horizontal="center"/>
    </xf>
    <xf numFmtId="166" fontId="8" fillId="0" borderId="7" xfId="0" applyNumberFormat="1" applyFont="1" applyBorder="1" applyAlignment="1">
      <alignment horizontal="center"/>
    </xf>
    <xf numFmtId="166" fontId="8" fillId="0" borderId="6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166" fontId="8" fillId="0" borderId="2" xfId="0" applyNumberFormat="1" applyFont="1" applyBorder="1" applyAlignment="1">
      <alignment horizontal="right"/>
    </xf>
    <xf numFmtId="166" fontId="8" fillId="0" borderId="4" xfId="0" applyNumberFormat="1" applyFont="1" applyBorder="1" applyAlignment="1">
      <alignment horizontal="right"/>
    </xf>
    <xf numFmtId="3" fontId="1" fillId="0" borderId="8" xfId="0" applyNumberFormat="1" applyFont="1" applyBorder="1" applyAlignment="1">
      <alignment horizontal="right"/>
    </xf>
    <xf numFmtId="0" fontId="7" fillId="0" borderId="7" xfId="0" applyFont="1" applyBorder="1" applyAlignment="1">
      <alignment horizontal="center"/>
    </xf>
    <xf numFmtId="0" fontId="1" fillId="0" borderId="7" xfId="0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3" fontId="1" fillId="0" borderId="6" xfId="0" applyNumberFormat="1" applyFont="1" applyBorder="1" applyAlignment="1">
      <alignment horizontal="right"/>
    </xf>
    <xf numFmtId="0" fontId="1" fillId="0" borderId="0" xfId="0" applyFont="1" applyAlignment="1">
      <alignment vertical="top"/>
    </xf>
    <xf numFmtId="0" fontId="8" fillId="0" borderId="8" xfId="0" applyFont="1" applyBorder="1" applyAlignment="1">
      <alignment horizontal="center"/>
    </xf>
    <xf numFmtId="166" fontId="1" fillId="0" borderId="0" xfId="0" applyNumberFormat="1" applyFont="1" applyAlignment="1">
      <alignment vertical="top"/>
    </xf>
    <xf numFmtId="166" fontId="4" fillId="0" borderId="0" xfId="0" applyNumberFormat="1" applyFont="1" applyAlignment="1"/>
    <xf numFmtId="166" fontId="4" fillId="0" borderId="8" xfId="0" applyNumberFormat="1" applyFont="1" applyBorder="1" applyAlignment="1"/>
    <xf numFmtId="3" fontId="4" fillId="0" borderId="0" xfId="0" applyNumberFormat="1" applyFont="1" applyAlignment="1"/>
    <xf numFmtId="3" fontId="4" fillId="0" borderId="8" xfId="0" applyNumberFormat="1" applyFont="1" applyBorder="1" applyAlignment="1"/>
    <xf numFmtId="3" fontId="2" fillId="0" borderId="7" xfId="0" applyNumberFormat="1" applyFont="1" applyBorder="1" applyAlignment="1">
      <alignment vertical="top"/>
    </xf>
    <xf numFmtId="3" fontId="12" fillId="0" borderId="7" xfId="0" applyNumberFormat="1" applyFont="1" applyBorder="1" applyAlignment="1"/>
    <xf numFmtId="3" fontId="12" fillId="0" borderId="6" xfId="0" applyNumberFormat="1" applyFont="1" applyBorder="1" applyAlignment="1"/>
    <xf numFmtId="0" fontId="4" fillId="0" borderId="0" xfId="0" applyFont="1" applyAlignment="1"/>
    <xf numFmtId="0" fontId="4" fillId="0" borderId="8" xfId="0" applyFont="1" applyBorder="1" applyAlignment="1"/>
    <xf numFmtId="0" fontId="4" fillId="0" borderId="8" xfId="0" applyFont="1" applyBorder="1" applyAlignment="1"/>
    <xf numFmtId="3" fontId="4" fillId="0" borderId="7" xfId="0" applyNumberFormat="1" applyFont="1" applyBorder="1" applyAlignment="1"/>
    <xf numFmtId="3" fontId="4" fillId="0" borderId="6" xfId="0" applyNumberFormat="1" applyFont="1" applyBorder="1" applyAlignment="1"/>
    <xf numFmtId="0" fontId="4" fillId="0" borderId="7" xfId="0" applyFont="1" applyBorder="1" applyAlignment="1"/>
    <xf numFmtId="0" fontId="6" fillId="0" borderId="8" xfId="0" applyFont="1" applyBorder="1" applyAlignment="1">
      <alignment horizontal="center"/>
    </xf>
    <xf numFmtId="3" fontId="2" fillId="0" borderId="7" xfId="0" applyNumberFormat="1" applyFont="1" applyBorder="1"/>
    <xf numFmtId="0" fontId="12" fillId="0" borderId="7" xfId="0" applyFont="1" applyBorder="1" applyAlignment="1"/>
    <xf numFmtId="169" fontId="4" fillId="0" borderId="0" xfId="0" applyNumberFormat="1" applyFont="1" applyAlignment="1"/>
    <xf numFmtId="169" fontId="4" fillId="0" borderId="8" xfId="0" applyNumberFormat="1" applyFont="1" applyBorder="1" applyAlignment="1"/>
    <xf numFmtId="169" fontId="4" fillId="0" borderId="9" xfId="0" applyNumberFormat="1" applyFont="1" applyBorder="1" applyAlignment="1"/>
    <xf numFmtId="169" fontId="4" fillId="0" borderId="11" xfId="0" applyNumberFormat="1" applyFont="1" applyBorder="1" applyAlignment="1"/>
    <xf numFmtId="166" fontId="8" fillId="0" borderId="2" xfId="0" applyNumberFormat="1" applyFont="1" applyBorder="1" applyAlignment="1">
      <alignment horizontal="center"/>
    </xf>
    <xf numFmtId="0" fontId="12" fillId="0" borderId="5" xfId="0" applyFont="1" applyBorder="1" applyAlignment="1"/>
    <xf numFmtId="166" fontId="8" fillId="0" borderId="4" xfId="0" applyNumberFormat="1" applyFont="1" applyBorder="1" applyAlignment="1">
      <alignment horizontal="center"/>
    </xf>
    <xf numFmtId="0" fontId="2" fillId="0" borderId="0" xfId="0" applyFont="1"/>
    <xf numFmtId="0" fontId="7" fillId="0" borderId="0" xfId="0" applyFont="1" applyAlignment="1">
      <alignment horizontal="right"/>
    </xf>
    <xf numFmtId="0" fontId="7" fillId="0" borderId="8" xfId="0" applyFont="1" applyBorder="1" applyAlignment="1">
      <alignment horizontal="right"/>
    </xf>
    <xf numFmtId="166" fontId="9" fillId="0" borderId="8" xfId="0" applyNumberFormat="1" applyFont="1" applyBorder="1" applyAlignment="1">
      <alignment horizontal="right"/>
    </xf>
    <xf numFmtId="173" fontId="9" fillId="0" borderId="0" xfId="0" applyNumberFormat="1" applyFont="1" applyAlignment="1">
      <alignment horizontal="right"/>
    </xf>
    <xf numFmtId="173" fontId="9" fillId="0" borderId="8" xfId="0" applyNumberFormat="1" applyFont="1" applyBorder="1" applyAlignment="1">
      <alignment horizontal="right"/>
    </xf>
    <xf numFmtId="173" fontId="8" fillId="0" borderId="0" xfId="0" applyNumberFormat="1" applyFont="1" applyAlignment="1">
      <alignment horizontal="right"/>
    </xf>
    <xf numFmtId="173" fontId="8" fillId="0" borderId="8" xfId="0" applyNumberFormat="1" applyFont="1" applyBorder="1" applyAlignment="1">
      <alignment horizontal="right"/>
    </xf>
    <xf numFmtId="3" fontId="9" fillId="0" borderId="0" xfId="0" applyNumberFormat="1" applyFont="1" applyAlignment="1">
      <alignment horizontal="right"/>
    </xf>
    <xf numFmtId="3" fontId="9" fillId="0" borderId="8" xfId="0" applyNumberFormat="1" applyFont="1" applyBorder="1" applyAlignment="1">
      <alignment horizontal="right"/>
    </xf>
    <xf numFmtId="3" fontId="8" fillId="0" borderId="0" xfId="0" applyNumberFormat="1" applyFont="1" applyAlignment="1">
      <alignment horizontal="right"/>
    </xf>
    <xf numFmtId="3" fontId="8" fillId="0" borderId="8" xfId="0" applyNumberFormat="1" applyFont="1" applyBorder="1" applyAlignment="1">
      <alignment horizontal="right"/>
    </xf>
    <xf numFmtId="166" fontId="4" fillId="0" borderId="0" xfId="0" applyNumberFormat="1" applyFont="1" applyAlignment="1"/>
    <xf numFmtId="166" fontId="4" fillId="0" borderId="8" xfId="0" applyNumberFormat="1" applyFont="1" applyBorder="1" applyAlignment="1"/>
    <xf numFmtId="169" fontId="9" fillId="0" borderId="0" xfId="0" applyNumberFormat="1" applyFont="1" applyAlignment="1">
      <alignment horizontal="right"/>
    </xf>
    <xf numFmtId="169" fontId="9" fillId="0" borderId="8" xfId="0" applyNumberFormat="1" applyFont="1" applyBorder="1" applyAlignment="1">
      <alignment horizontal="right"/>
    </xf>
    <xf numFmtId="166" fontId="4" fillId="0" borderId="7" xfId="0" applyNumberFormat="1" applyFont="1" applyBorder="1" applyAlignment="1"/>
    <xf numFmtId="169" fontId="8" fillId="0" borderId="0" xfId="0" applyNumberFormat="1" applyFont="1" applyAlignment="1">
      <alignment horizontal="right"/>
    </xf>
    <xf numFmtId="166" fontId="4" fillId="0" borderId="6" xfId="0" applyNumberFormat="1" applyFont="1" applyBorder="1" applyAlignment="1"/>
    <xf numFmtId="169" fontId="8" fillId="0" borderId="8" xfId="0" applyNumberFormat="1" applyFont="1" applyBorder="1" applyAlignment="1">
      <alignment horizontal="right"/>
    </xf>
    <xf numFmtId="0" fontId="9" fillId="0" borderId="9" xfId="0" applyFont="1" applyBorder="1" applyAlignment="1">
      <alignment horizontal="right"/>
    </xf>
    <xf numFmtId="0" fontId="9" fillId="0" borderId="11" xfId="0" applyFont="1" applyBorder="1" applyAlignment="1">
      <alignment horizontal="right"/>
    </xf>
    <xf numFmtId="1" fontId="8" fillId="0" borderId="9" xfId="0" applyNumberFormat="1" applyFont="1" applyBorder="1" applyAlignment="1">
      <alignment horizontal="right"/>
    </xf>
    <xf numFmtId="1" fontId="8" fillId="0" borderId="11" xfId="0" applyNumberFormat="1" applyFont="1" applyBorder="1" applyAlignment="1">
      <alignment horizontal="right"/>
    </xf>
    <xf numFmtId="0" fontId="8" fillId="0" borderId="5" xfId="0" applyFont="1" applyBorder="1"/>
    <xf numFmtId="0" fontId="7" fillId="0" borderId="0" xfId="0" applyFont="1" applyAlignment="1"/>
    <xf numFmtId="0" fontId="7" fillId="0" borderId="9" xfId="0" applyFont="1" applyBorder="1" applyAlignment="1"/>
    <xf numFmtId="0" fontId="7" fillId="0" borderId="9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3" fontId="13" fillId="0" borderId="0" xfId="0" applyNumberFormat="1" applyFont="1" applyAlignment="1"/>
    <xf numFmtId="3" fontId="13" fillId="0" borderId="8" xfId="0" applyNumberFormat="1" applyFont="1" applyBorder="1" applyAlignment="1"/>
    <xf numFmtId="3" fontId="8" fillId="0" borderId="0" xfId="0" applyNumberFormat="1" applyFont="1"/>
    <xf numFmtId="10" fontId="4" fillId="0" borderId="8" xfId="0" applyNumberFormat="1" applyFont="1" applyBorder="1" applyAlignment="1"/>
    <xf numFmtId="3" fontId="8" fillId="0" borderId="8" xfId="0" applyNumberFormat="1" applyFont="1" applyBorder="1"/>
    <xf numFmtId="0" fontId="13" fillId="0" borderId="0" xfId="0" applyFont="1" applyAlignment="1"/>
    <xf numFmtId="0" fontId="13" fillId="0" borderId="8" xfId="0" applyFont="1" applyBorder="1" applyAlignment="1"/>
    <xf numFmtId="3" fontId="1" fillId="0" borderId="2" xfId="0" applyNumberFormat="1" applyFont="1" applyBorder="1" applyAlignment="1"/>
    <xf numFmtId="166" fontId="4" fillId="0" borderId="2" xfId="0" applyNumberFormat="1" applyFont="1" applyBorder="1" applyAlignment="1"/>
    <xf numFmtId="166" fontId="4" fillId="0" borderId="4" xfId="0" applyNumberFormat="1" applyFont="1" applyBorder="1" applyAlignment="1"/>
    <xf numFmtId="0" fontId="12" fillId="0" borderId="10" xfId="0" applyFont="1" applyBorder="1" applyAlignment="1"/>
    <xf numFmtId="3" fontId="8" fillId="0" borderId="0" xfId="0" applyNumberFormat="1" applyFont="1" applyAlignment="1"/>
    <xf numFmtId="0" fontId="4" fillId="0" borderId="0" xfId="0" applyFont="1" applyAlignment="1">
      <alignment horizontal="center"/>
    </xf>
    <xf numFmtId="3" fontId="8" fillId="0" borderId="8" xfId="0" applyNumberFormat="1" applyFont="1" applyBorder="1" applyAlignment="1"/>
    <xf numFmtId="3" fontId="4" fillId="0" borderId="9" xfId="0" applyNumberFormat="1" applyFont="1" applyBorder="1" applyAlignment="1"/>
    <xf numFmtId="0" fontId="12" fillId="0" borderId="5" xfId="0" applyFont="1" applyBorder="1" applyAlignment="1">
      <alignment horizontal="center"/>
    </xf>
    <xf numFmtId="3" fontId="13" fillId="0" borderId="9" xfId="0" applyNumberFormat="1" applyFont="1" applyBorder="1" applyAlignment="1"/>
    <xf numFmtId="3" fontId="13" fillId="0" borderId="11" xfId="0" applyNumberFormat="1" applyFont="1" applyBorder="1" applyAlignment="1"/>
    <xf numFmtId="3" fontId="8" fillId="0" borderId="9" xfId="0" applyNumberFormat="1" applyFont="1" applyBorder="1"/>
    <xf numFmtId="3" fontId="8" fillId="0" borderId="11" xfId="0" applyNumberFormat="1" applyFont="1" applyBorder="1"/>
    <xf numFmtId="0" fontId="8" fillId="0" borderId="0" xfId="0" applyFont="1"/>
    <xf numFmtId="0" fontId="8" fillId="0" borderId="5" xfId="0" applyFont="1" applyBorder="1" applyAlignment="1"/>
    <xf numFmtId="0" fontId="7" fillId="0" borderId="0" xfId="0" applyFont="1" applyAlignment="1"/>
    <xf numFmtId="0" fontId="7" fillId="0" borderId="9" xfId="0" applyFont="1" applyBorder="1" applyAlignment="1"/>
    <xf numFmtId="0" fontId="7" fillId="0" borderId="11" xfId="0" applyFont="1" applyBorder="1" applyAlignment="1"/>
    <xf numFmtId="0" fontId="7" fillId="0" borderId="9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8" fillId="0" borderId="8" xfId="0" applyFont="1" applyBorder="1"/>
    <xf numFmtId="0" fontId="8" fillId="0" borderId="0" xfId="0" applyFont="1" applyAlignment="1"/>
    <xf numFmtId="166" fontId="9" fillId="0" borderId="0" xfId="0" applyNumberFormat="1" applyFont="1" applyAlignment="1"/>
    <xf numFmtId="166" fontId="9" fillId="0" borderId="8" xfId="0" applyNumberFormat="1" applyFont="1" applyBorder="1" applyAlignment="1"/>
    <xf numFmtId="166" fontId="8" fillId="0" borderId="0" xfId="0" applyNumberFormat="1" applyFont="1"/>
    <xf numFmtId="0" fontId="2" fillId="6" borderId="7" xfId="0" applyFont="1" applyFill="1" applyBorder="1" applyAlignment="1">
      <alignment horizontal="center"/>
    </xf>
    <xf numFmtId="166" fontId="8" fillId="0" borderId="8" xfId="0" applyNumberFormat="1" applyFont="1" applyBorder="1"/>
    <xf numFmtId="0" fontId="2" fillId="6" borderId="6" xfId="0" applyFont="1" applyFill="1" applyBorder="1" applyAlignment="1">
      <alignment horizontal="center"/>
    </xf>
    <xf numFmtId="0" fontId="1" fillId="0" borderId="11" xfId="0" applyFont="1" applyBorder="1" applyAlignment="1"/>
    <xf numFmtId="2" fontId="1" fillId="0" borderId="0" xfId="0" applyNumberFormat="1" applyFont="1"/>
    <xf numFmtId="0" fontId="2" fillId="6" borderId="2" xfId="0" applyFont="1" applyFill="1" applyBorder="1" applyAlignment="1">
      <alignment horizontal="center"/>
    </xf>
    <xf numFmtId="166" fontId="9" fillId="0" borderId="0" xfId="0" applyNumberFormat="1" applyFont="1"/>
    <xf numFmtId="0" fontId="2" fillId="6" borderId="4" xfId="0" applyFont="1" applyFill="1" applyBorder="1" applyAlignment="1">
      <alignment horizontal="center"/>
    </xf>
    <xf numFmtId="166" fontId="9" fillId="0" borderId="8" xfId="0" applyNumberFormat="1" applyFont="1" applyBorder="1"/>
    <xf numFmtId="14" fontId="1" fillId="0" borderId="0" xfId="0" applyNumberFormat="1" applyFont="1" applyAlignment="1"/>
    <xf numFmtId="0" fontId="1" fillId="0" borderId="2" xfId="0" applyFont="1" applyBorder="1" applyAlignment="1"/>
    <xf numFmtId="0" fontId="1" fillId="0" borderId="4" xfId="0" applyFont="1" applyBorder="1" applyAlignment="1"/>
    <xf numFmtId="0" fontId="5" fillId="0" borderId="1" xfId="0" applyFont="1" applyBorder="1" applyAlignment="1"/>
    <xf numFmtId="0" fontId="14" fillId="2" borderId="2" xfId="0" applyFont="1" applyFill="1" applyBorder="1" applyAlignment="1">
      <alignment horizontal="right"/>
    </xf>
    <xf numFmtId="0" fontId="14" fillId="2" borderId="4" xfId="0" applyFont="1" applyFill="1" applyBorder="1" applyAlignment="1">
      <alignment horizontal="right"/>
    </xf>
    <xf numFmtId="0" fontId="5" fillId="0" borderId="0" xfId="0" applyFont="1" applyAlignment="1">
      <alignment horizontal="right"/>
    </xf>
    <xf numFmtId="166" fontId="1" fillId="0" borderId="8" xfId="0" applyNumberFormat="1" applyFont="1" applyBorder="1" applyAlignment="1"/>
    <xf numFmtId="4" fontId="5" fillId="0" borderId="0" xfId="0" applyNumberFormat="1" applyFont="1" applyAlignment="1">
      <alignment horizontal="right"/>
    </xf>
    <xf numFmtId="166" fontId="3" fillId="0" borderId="8" xfId="0" applyNumberFormat="1" applyFont="1" applyBorder="1"/>
    <xf numFmtId="4" fontId="5" fillId="0" borderId="8" xfId="0" applyNumberFormat="1" applyFont="1" applyBorder="1" applyAlignment="1">
      <alignment horizontal="right"/>
    </xf>
    <xf numFmtId="168" fontId="2" fillId="0" borderId="2" xfId="0" applyNumberFormat="1" applyFont="1" applyBorder="1"/>
    <xf numFmtId="0" fontId="5" fillId="0" borderId="10" xfId="0" applyFont="1" applyBorder="1" applyAlignment="1"/>
    <xf numFmtId="164" fontId="2" fillId="0" borderId="2" xfId="0" applyNumberFormat="1" applyFont="1" applyBorder="1"/>
    <xf numFmtId="3" fontId="5" fillId="0" borderId="9" xfId="0" applyNumberFormat="1" applyFont="1" applyBorder="1" applyAlignment="1">
      <alignment horizontal="right"/>
    </xf>
    <xf numFmtId="3" fontId="5" fillId="0" borderId="11" xfId="0" applyNumberFormat="1" applyFont="1" applyBorder="1" applyAlignment="1">
      <alignment horizontal="right"/>
    </xf>
    <xf numFmtId="0" fontId="15" fillId="0" borderId="0" xfId="0" applyFont="1" applyAlignment="1"/>
    <xf numFmtId="10" fontId="1" fillId="0" borderId="8" xfId="0" applyNumberFormat="1" applyFont="1" applyBorder="1" applyAlignment="1"/>
    <xf numFmtId="0" fontId="16" fillId="0" borderId="0" xfId="0" applyFont="1" applyAlignment="1">
      <alignment horizontal="right"/>
    </xf>
    <xf numFmtId="0" fontId="16" fillId="0" borderId="8" xfId="0" applyFont="1" applyBorder="1" applyAlignment="1">
      <alignment horizontal="right"/>
    </xf>
    <xf numFmtId="0" fontId="15" fillId="0" borderId="0" xfId="0" applyFont="1" applyAlignment="1">
      <alignment horizontal="right"/>
    </xf>
    <xf numFmtId="0" fontId="15" fillId="0" borderId="8" xfId="0" applyFont="1" applyBorder="1" applyAlignment="1">
      <alignment horizontal="right"/>
    </xf>
    <xf numFmtId="165" fontId="8" fillId="0" borderId="5" xfId="0" applyNumberFormat="1" applyFont="1" applyBorder="1" applyAlignment="1"/>
    <xf numFmtId="165" fontId="8" fillId="0" borderId="0" xfId="0" applyNumberFormat="1" applyFont="1" applyAlignment="1"/>
    <xf numFmtId="0" fontId="7" fillId="0" borderId="10" xfId="0" applyFont="1" applyBorder="1" applyAlignment="1"/>
    <xf numFmtId="166" fontId="7" fillId="0" borderId="10" xfId="0" applyNumberFormat="1" applyFont="1" applyBorder="1" applyAlignment="1"/>
    <xf numFmtId="166" fontId="2" fillId="0" borderId="9" xfId="0" applyNumberFormat="1" applyFont="1" applyBorder="1"/>
    <xf numFmtId="0" fontId="2" fillId="0" borderId="11" xfId="0" applyFont="1" applyBorder="1" applyAlignment="1">
      <alignment horizontal="center"/>
    </xf>
    <xf numFmtId="167" fontId="3" fillId="0" borderId="0" xfId="0" applyNumberFormat="1" applyFont="1" applyAlignment="1">
      <alignment horizontal="center"/>
    </xf>
    <xf numFmtId="167" fontId="3" fillId="0" borderId="8" xfId="0" applyNumberFormat="1" applyFont="1" applyBorder="1" applyAlignment="1">
      <alignment horizontal="center"/>
    </xf>
    <xf numFmtId="167" fontId="1" fillId="0" borderId="0" xfId="0" applyNumberFormat="1" applyFont="1" applyAlignment="1">
      <alignment horizontal="center"/>
    </xf>
    <xf numFmtId="167" fontId="1" fillId="0" borderId="8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7" fontId="3" fillId="0" borderId="2" xfId="0" applyNumberFormat="1" applyFont="1" applyBorder="1" applyAlignment="1">
      <alignment horizontal="center"/>
    </xf>
    <xf numFmtId="167" fontId="3" fillId="0" borderId="4" xfId="0" applyNumberFormat="1" applyFont="1" applyBorder="1" applyAlignment="1">
      <alignment horizontal="center"/>
    </xf>
    <xf numFmtId="167" fontId="1" fillId="0" borderId="2" xfId="0" applyNumberFormat="1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67" fontId="9" fillId="0" borderId="0" xfId="0" applyNumberFormat="1" applyFont="1" applyAlignment="1">
      <alignment horizontal="center"/>
    </xf>
    <xf numFmtId="167" fontId="9" fillId="0" borderId="8" xfId="0" applyNumberFormat="1" applyFont="1" applyBorder="1" applyAlignment="1">
      <alignment horizontal="center"/>
    </xf>
    <xf numFmtId="167" fontId="8" fillId="0" borderId="0" xfId="0" applyNumberFormat="1" applyFont="1" applyAlignment="1">
      <alignment horizontal="center"/>
    </xf>
    <xf numFmtId="167" fontId="8" fillId="0" borderId="8" xfId="0" applyNumberFormat="1" applyFont="1" applyBorder="1" applyAlignment="1">
      <alignment horizontal="center"/>
    </xf>
    <xf numFmtId="0" fontId="7" fillId="0" borderId="5" xfId="0" applyFont="1" applyBorder="1" applyAlignment="1">
      <alignment horizontal="left"/>
    </xf>
    <xf numFmtId="167" fontId="9" fillId="0" borderId="7" xfId="0" applyNumberFormat="1" applyFont="1" applyBorder="1" applyAlignment="1">
      <alignment horizontal="center"/>
    </xf>
    <xf numFmtId="167" fontId="9" fillId="0" borderId="6" xfId="0" applyNumberFormat="1" applyFont="1" applyBorder="1" applyAlignment="1">
      <alignment horizontal="center"/>
    </xf>
    <xf numFmtId="167" fontId="8" fillId="0" borderId="7" xfId="0" applyNumberFormat="1" applyFont="1" applyBorder="1" applyAlignment="1">
      <alignment horizontal="center"/>
    </xf>
    <xf numFmtId="167" fontId="8" fillId="0" borderId="6" xfId="0" applyNumberFormat="1" applyFont="1" applyBorder="1" applyAlignment="1">
      <alignment horizontal="center"/>
    </xf>
    <xf numFmtId="167" fontId="6" fillId="0" borderId="0" xfId="0" applyNumberFormat="1" applyFont="1" applyAlignment="1">
      <alignment horizontal="center"/>
    </xf>
    <xf numFmtId="167" fontId="6" fillId="0" borderId="8" xfId="0" applyNumberFormat="1" applyFont="1" applyBorder="1" applyAlignment="1">
      <alignment horizontal="center"/>
    </xf>
    <xf numFmtId="0" fontId="7" fillId="0" borderId="10" xfId="0" applyFont="1" applyBorder="1" applyAlignment="1">
      <alignment horizontal="left"/>
    </xf>
    <xf numFmtId="167" fontId="9" fillId="0" borderId="9" xfId="0" applyNumberFormat="1" applyFont="1" applyBorder="1" applyAlignment="1">
      <alignment horizontal="center"/>
    </xf>
    <xf numFmtId="167" fontId="9" fillId="0" borderId="11" xfId="0" applyNumberFormat="1" applyFont="1" applyBorder="1" applyAlignment="1">
      <alignment horizontal="center"/>
    </xf>
    <xf numFmtId="167" fontId="8" fillId="0" borderId="9" xfId="0" applyNumberFormat="1" applyFont="1" applyBorder="1" applyAlignment="1">
      <alignment horizontal="center"/>
    </xf>
    <xf numFmtId="167" fontId="8" fillId="0" borderId="11" xfId="0" applyNumberFormat="1" applyFont="1" applyBorder="1" applyAlignment="1">
      <alignment horizontal="center"/>
    </xf>
    <xf numFmtId="167" fontId="1" fillId="0" borderId="0" xfId="0" applyNumberFormat="1" applyFont="1" applyAlignment="1"/>
    <xf numFmtId="167" fontId="1" fillId="0" borderId="8" xfId="0" applyNumberFormat="1" applyFont="1" applyBorder="1" applyAlignment="1"/>
    <xf numFmtId="167" fontId="3" fillId="0" borderId="9" xfId="0" applyNumberFormat="1" applyFont="1" applyBorder="1"/>
    <xf numFmtId="0" fontId="15" fillId="0" borderId="0" xfId="0" applyFont="1" applyAlignment="1"/>
    <xf numFmtId="3" fontId="17" fillId="0" borderId="0" xfId="0" applyNumberFormat="1" applyFont="1"/>
    <xf numFmtId="0" fontId="12" fillId="0" borderId="0" xfId="0" applyFont="1" applyAlignment="1"/>
    <xf numFmtId="0" fontId="5" fillId="0" borderId="0" xfId="0" applyFont="1" applyAlignment="1">
      <alignment vertical="top"/>
    </xf>
    <xf numFmtId="0" fontId="0" fillId="0" borderId="0" xfId="0" applyFont="1" applyAlignment="1"/>
    <xf numFmtId="9" fontId="0" fillId="0" borderId="0" xfId="2" applyFont="1" applyAlignment="1"/>
    <xf numFmtId="167" fontId="0" fillId="0" borderId="0" xfId="1" applyNumberFormat="1" applyFont="1" applyAlignment="1"/>
    <xf numFmtId="10" fontId="1" fillId="0" borderId="0" xfId="2" applyNumberFormat="1" applyFont="1" applyAlignment="1"/>
    <xf numFmtId="10" fontId="2" fillId="0" borderId="0" xfId="2" applyNumberFormat="1" applyFont="1" applyAlignment="1"/>
    <xf numFmtId="10" fontId="21" fillId="0" borderId="0" xfId="0" applyNumberFormat="1" applyFont="1" applyAlignment="1"/>
    <xf numFmtId="166" fontId="21" fillId="0" borderId="0" xfId="0" applyNumberFormat="1" applyFont="1"/>
    <xf numFmtId="0" fontId="21" fillId="0" borderId="0" xfId="0" applyFont="1" applyAlignment="1"/>
    <xf numFmtId="0" fontId="22" fillId="0" borderId="0" xfId="0" applyFont="1" applyAlignment="1"/>
    <xf numFmtId="167" fontId="1" fillId="0" borderId="17" xfId="1" applyNumberFormat="1" applyFont="1" applyBorder="1"/>
    <xf numFmtId="167" fontId="1" fillId="0" borderId="16" xfId="1" applyNumberFormat="1" applyFont="1" applyBorder="1"/>
    <xf numFmtId="167" fontId="0" fillId="0" borderId="18" xfId="1" applyNumberFormat="1" applyFont="1" applyBorder="1" applyAlignment="1"/>
    <xf numFmtId="0" fontId="1" fillId="0" borderId="18" xfId="0" applyFont="1" applyFill="1" applyBorder="1" applyAlignment="1"/>
    <xf numFmtId="9" fontId="0" fillId="0" borderId="15" xfId="2" applyFont="1" applyBorder="1" applyAlignment="1"/>
    <xf numFmtId="0" fontId="0" fillId="0" borderId="18" xfId="0" applyFont="1" applyBorder="1" applyAlignment="1"/>
    <xf numFmtId="0" fontId="20" fillId="0" borderId="18" xfId="0" applyFont="1" applyBorder="1" applyAlignment="1"/>
    <xf numFmtId="10" fontId="0" fillId="0" borderId="15" xfId="2" applyNumberFormat="1" applyFont="1" applyBorder="1" applyAlignment="1"/>
    <xf numFmtId="0" fontId="0" fillId="0" borderId="13" xfId="0" applyFont="1" applyBorder="1" applyAlignment="1"/>
    <xf numFmtId="0" fontId="0" fillId="0" borderId="17" xfId="0" applyFont="1" applyBorder="1" applyAlignment="1"/>
    <xf numFmtId="0" fontId="1" fillId="0" borderId="18" xfId="0" applyFont="1" applyBorder="1" applyAlignment="1"/>
    <xf numFmtId="10" fontId="1" fillId="0" borderId="0" xfId="0" applyNumberFormat="1" applyFont="1" applyBorder="1" applyAlignment="1"/>
    <xf numFmtId="10" fontId="1" fillId="0" borderId="15" xfId="0" applyNumberFormat="1" applyFont="1" applyBorder="1" applyAlignment="1"/>
    <xf numFmtId="10" fontId="19" fillId="0" borderId="0" xfId="0" applyNumberFormat="1" applyFont="1" applyBorder="1" applyAlignment="1"/>
    <xf numFmtId="10" fontId="19" fillId="0" borderId="15" xfId="0" applyNumberFormat="1" applyFont="1" applyBorder="1" applyAlignment="1"/>
    <xf numFmtId="10" fontId="0" fillId="0" borderId="0" xfId="0" applyNumberFormat="1" applyFont="1" applyBorder="1" applyAlignment="1"/>
    <xf numFmtId="10" fontId="0" fillId="0" borderId="15" xfId="0" applyNumberFormat="1" applyFont="1" applyBorder="1" applyAlignment="1"/>
    <xf numFmtId="10" fontId="1" fillId="0" borderId="12" xfId="0" applyNumberFormat="1" applyFont="1" applyBorder="1" applyAlignment="1"/>
    <xf numFmtId="10" fontId="1" fillId="0" borderId="14" xfId="0" applyNumberFormat="1" applyFont="1" applyBorder="1" applyAlignment="1"/>
    <xf numFmtId="0" fontId="21" fillId="0" borderId="21" xfId="0" applyFont="1" applyBorder="1" applyAlignment="1"/>
    <xf numFmtId="0" fontId="21" fillId="0" borderId="20" xfId="0" applyFont="1" applyBorder="1" applyAlignment="1"/>
    <xf numFmtId="10" fontId="20" fillId="0" borderId="15" xfId="2" applyNumberFormat="1" applyFont="1" applyBorder="1" applyAlignment="1"/>
    <xf numFmtId="10" fontId="0" fillId="0" borderId="14" xfId="2" applyNumberFormat="1" applyFont="1" applyBorder="1" applyAlignment="1"/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3" fontId="8" fillId="0" borderId="0" xfId="0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0" fillId="0" borderId="0" xfId="0" applyFont="1" applyBorder="1" applyAlignment="1"/>
    <xf numFmtId="166" fontId="9" fillId="0" borderId="0" xfId="0" applyNumberFormat="1" applyFont="1" applyBorder="1" applyAlignment="1">
      <alignment horizontal="right"/>
    </xf>
    <xf numFmtId="0" fontId="0" fillId="12" borderId="0" xfId="0" applyFont="1" applyFill="1" applyAlignment="1"/>
    <xf numFmtId="0" fontId="0" fillId="0" borderId="0" xfId="0" applyFont="1" applyAlignment="1"/>
    <xf numFmtId="0" fontId="0" fillId="0" borderId="25" xfId="0" applyFont="1" applyBorder="1" applyAlignment="1"/>
    <xf numFmtId="0" fontId="0" fillId="0" borderId="26" xfId="0" applyFont="1" applyBorder="1" applyAlignment="1"/>
    <xf numFmtId="167" fontId="0" fillId="0" borderId="0" xfId="1" applyNumberFormat="1" applyFont="1" applyBorder="1" applyAlignment="1"/>
    <xf numFmtId="167" fontId="0" fillId="0" borderId="26" xfId="1" applyNumberFormat="1" applyFont="1" applyBorder="1" applyAlignment="1"/>
    <xf numFmtId="167" fontId="0" fillId="0" borderId="0" xfId="0" applyNumberFormat="1" applyFont="1" applyBorder="1" applyAlignment="1"/>
    <xf numFmtId="167" fontId="0" fillId="0" borderId="26" xfId="0" applyNumberFormat="1" applyFont="1" applyBorder="1" applyAlignment="1"/>
    <xf numFmtId="0" fontId="0" fillId="0" borderId="27" xfId="0" applyFont="1" applyBorder="1" applyAlignment="1"/>
    <xf numFmtId="0" fontId="0" fillId="0" borderId="28" xfId="0" applyFont="1" applyBorder="1" applyAlignment="1"/>
    <xf numFmtId="167" fontId="0" fillId="0" borderId="28" xfId="0" applyNumberFormat="1" applyFont="1" applyBorder="1" applyAlignment="1"/>
    <xf numFmtId="167" fontId="0" fillId="0" borderId="29" xfId="0" applyNumberFormat="1" applyFont="1" applyBorder="1" applyAlignment="1"/>
    <xf numFmtId="0" fontId="22" fillId="0" borderId="25" xfId="0" applyFont="1" applyBorder="1" applyAlignment="1"/>
    <xf numFmtId="0" fontId="22" fillId="0" borderId="27" xfId="0" applyFont="1" applyBorder="1" applyAlignment="1"/>
    <xf numFmtId="0" fontId="22" fillId="10" borderId="33" xfId="0" applyFont="1" applyFill="1" applyBorder="1" applyAlignment="1">
      <alignment horizontal="left"/>
    </xf>
    <xf numFmtId="0" fontId="22" fillId="10" borderId="21" xfId="0" applyFont="1" applyFill="1" applyBorder="1" applyAlignment="1">
      <alignment horizontal="center"/>
    </xf>
    <xf numFmtId="0" fontId="22" fillId="10" borderId="34" xfId="0" applyFont="1" applyFill="1" applyBorder="1" applyAlignment="1">
      <alignment horizontal="center"/>
    </xf>
    <xf numFmtId="0" fontId="20" fillId="0" borderId="0" xfId="0" applyFont="1" applyBorder="1" applyAlignment="1"/>
    <xf numFmtId="0" fontId="0" fillId="0" borderId="12" xfId="0" applyFont="1" applyBorder="1" applyAlignment="1"/>
    <xf numFmtId="0" fontId="0" fillId="0" borderId="22" xfId="0" applyFont="1" applyBorder="1" applyAlignment="1"/>
    <xf numFmtId="0" fontId="0" fillId="0" borderId="23" xfId="0" applyFont="1" applyBorder="1" applyAlignment="1"/>
    <xf numFmtId="0" fontId="0" fillId="0" borderId="24" xfId="0" applyFont="1" applyBorder="1" applyAlignment="1"/>
    <xf numFmtId="0" fontId="0" fillId="0" borderId="29" xfId="0" applyFont="1" applyBorder="1" applyAlignment="1"/>
    <xf numFmtId="0" fontId="24" fillId="0" borderId="0" xfId="0" applyFont="1" applyBorder="1" applyAlignment="1"/>
    <xf numFmtId="0" fontId="25" fillId="0" borderId="0" xfId="0" applyFont="1" applyBorder="1" applyAlignment="1"/>
    <xf numFmtId="0" fontId="19" fillId="0" borderId="10" xfId="0" applyFont="1" applyBorder="1" applyAlignment="1"/>
    <xf numFmtId="0" fontId="26" fillId="0" borderId="0" xfId="0" applyFont="1" applyFill="1" applyBorder="1" applyAlignment="1"/>
    <xf numFmtId="0" fontId="27" fillId="0" borderId="0" xfId="0" applyFont="1" applyAlignment="1"/>
    <xf numFmtId="0" fontId="1" fillId="0" borderId="0" xfId="0" applyFont="1" applyBorder="1" applyAlignment="1"/>
    <xf numFmtId="0" fontId="1" fillId="0" borderId="0" xfId="0" applyFont="1" applyBorder="1"/>
    <xf numFmtId="175" fontId="1" fillId="0" borderId="0" xfId="0" applyNumberFormat="1" applyFont="1" applyAlignment="1"/>
    <xf numFmtId="175" fontId="1" fillId="0" borderId="9" xfId="0" applyNumberFormat="1" applyFont="1" applyBorder="1" applyAlignment="1"/>
    <xf numFmtId="0" fontId="21" fillId="14" borderId="9" xfId="0" applyFont="1" applyFill="1" applyBorder="1" applyAlignment="1">
      <alignment horizontal="right"/>
    </xf>
    <xf numFmtId="10" fontId="1" fillId="9" borderId="0" xfId="0" applyNumberFormat="1" applyFont="1" applyFill="1"/>
    <xf numFmtId="0" fontId="0" fillId="9" borderId="0" xfId="0" applyFont="1" applyFill="1" applyAlignment="1"/>
    <xf numFmtId="10" fontId="1" fillId="15" borderId="0" xfId="0" applyNumberFormat="1" applyFont="1" applyFill="1"/>
    <xf numFmtId="0" fontId="0" fillId="15" borderId="0" xfId="0" applyFont="1" applyFill="1" applyAlignment="1"/>
    <xf numFmtId="0" fontId="19" fillId="14" borderId="9" xfId="0" applyFont="1" applyFill="1" applyBorder="1" applyAlignment="1">
      <alignment horizontal="right"/>
    </xf>
    <xf numFmtId="0" fontId="1" fillId="9" borderId="0" xfId="0" applyFont="1" applyFill="1" applyAlignment="1"/>
    <xf numFmtId="0" fontId="1" fillId="0" borderId="12" xfId="0" applyFont="1" applyBorder="1" applyAlignment="1"/>
    <xf numFmtId="0" fontId="22" fillId="0" borderId="12" xfId="0" applyFont="1" applyBorder="1" applyAlignment="1"/>
    <xf numFmtId="0" fontId="1" fillId="0" borderId="12" xfId="0" applyFont="1" applyBorder="1" applyAlignment="1">
      <alignment horizontal="right"/>
    </xf>
    <xf numFmtId="0" fontId="22" fillId="0" borderId="12" xfId="0" applyFont="1" applyBorder="1" applyAlignment="1">
      <alignment horizontal="right"/>
    </xf>
    <xf numFmtId="0" fontId="19" fillId="0" borderId="12" xfId="0" applyNumberFormat="1" applyFont="1" applyFill="1" applyBorder="1" applyAlignment="1">
      <alignment horizontal="right"/>
    </xf>
    <xf numFmtId="0" fontId="21" fillId="0" borderId="12" xfId="0" applyNumberFormat="1" applyFont="1" applyFill="1" applyBorder="1" applyAlignment="1">
      <alignment horizontal="right"/>
    </xf>
    <xf numFmtId="0" fontId="19" fillId="14" borderId="9" xfId="0" applyFont="1" applyFill="1" applyBorder="1" applyAlignment="1"/>
    <xf numFmtId="165" fontId="1" fillId="15" borderId="0" xfId="0" applyNumberFormat="1" applyFont="1" applyFill="1"/>
    <xf numFmtId="165" fontId="1" fillId="9" borderId="0" xfId="0" applyNumberFormat="1" applyFont="1" applyFill="1"/>
    <xf numFmtId="3" fontId="1" fillId="15" borderId="0" xfId="0" applyNumberFormat="1" applyFont="1" applyFill="1"/>
    <xf numFmtId="0" fontId="4" fillId="0" borderId="0" xfId="0" applyFont="1" applyBorder="1" applyAlignment="1"/>
    <xf numFmtId="0" fontId="26" fillId="0" borderId="0" xfId="0" applyFont="1" applyFill="1" applyBorder="1" applyAlignment="1">
      <alignment horizontal="right"/>
    </xf>
    <xf numFmtId="0" fontId="23" fillId="0" borderId="0" xfId="0" applyFont="1" applyAlignment="1"/>
    <xf numFmtId="0" fontId="23" fillId="0" borderId="0" xfId="0" applyFont="1" applyBorder="1" applyAlignment="1"/>
    <xf numFmtId="0" fontId="28" fillId="0" borderId="0" xfId="0" applyFont="1" applyBorder="1" applyAlignment="1"/>
    <xf numFmtId="0" fontId="0" fillId="0" borderId="0" xfId="0" applyFont="1" applyFill="1" applyBorder="1" applyAlignment="1"/>
    <xf numFmtId="0" fontId="29" fillId="0" borderId="0" xfId="0" applyFont="1" applyBorder="1" applyAlignment="1"/>
    <xf numFmtId="0" fontId="22" fillId="13" borderId="30" xfId="0" applyFont="1" applyFill="1" applyBorder="1" applyAlignment="1">
      <alignment horizontal="center"/>
    </xf>
    <xf numFmtId="0" fontId="22" fillId="13" borderId="31" xfId="0" applyFont="1" applyFill="1" applyBorder="1" applyAlignment="1">
      <alignment horizontal="center"/>
    </xf>
    <xf numFmtId="0" fontId="22" fillId="13" borderId="32" xfId="0" applyFont="1" applyFill="1" applyBorder="1" applyAlignment="1">
      <alignment horizontal="center"/>
    </xf>
    <xf numFmtId="0" fontId="22" fillId="15" borderId="35" xfId="0" applyFont="1" applyFill="1" applyBorder="1" applyAlignment="1">
      <alignment horizontal="center"/>
    </xf>
    <xf numFmtId="0" fontId="22" fillId="15" borderId="21" xfId="0" applyFont="1" applyFill="1" applyBorder="1" applyAlignment="1">
      <alignment horizontal="center"/>
    </xf>
    <xf numFmtId="0" fontId="22" fillId="15" borderId="20" xfId="0" applyFont="1" applyFill="1" applyBorder="1" applyAlignment="1">
      <alignment horizontal="center"/>
    </xf>
    <xf numFmtId="0" fontId="26" fillId="0" borderId="16" xfId="0" applyFont="1" applyFill="1" applyBorder="1" applyAlignment="1">
      <alignment horizontal="right"/>
    </xf>
    <xf numFmtId="0" fontId="23" fillId="0" borderId="0" xfId="0" applyFont="1" applyAlignment="1">
      <alignment horizontal="center"/>
    </xf>
    <xf numFmtId="0" fontId="26" fillId="0" borderId="7" xfId="0" applyFont="1" applyFill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0" fillId="0" borderId="0" xfId="0" applyFont="1" applyAlignment="1"/>
    <xf numFmtId="0" fontId="1" fillId="0" borderId="8" xfId="0" applyFont="1" applyBorder="1"/>
    <xf numFmtId="0" fontId="2" fillId="6" borderId="1" xfId="0" applyFont="1" applyFill="1" applyBorder="1" applyAlignment="1">
      <alignment horizontal="center"/>
    </xf>
    <xf numFmtId="0" fontId="1" fillId="0" borderId="7" xfId="0" applyFont="1" applyBorder="1"/>
    <xf numFmtId="0" fontId="1" fillId="0" borderId="6" xfId="0" applyFont="1" applyBorder="1"/>
    <xf numFmtId="0" fontId="2" fillId="6" borderId="3" xfId="0" applyFont="1" applyFill="1" applyBorder="1" applyAlignment="1">
      <alignment horizontal="center"/>
    </xf>
    <xf numFmtId="0" fontId="1" fillId="0" borderId="2" xfId="0" applyFont="1" applyBorder="1"/>
    <xf numFmtId="0" fontId="1" fillId="0" borderId="4" xfId="0" applyFont="1" applyBorder="1"/>
    <xf numFmtId="0" fontId="26" fillId="0" borderId="0" xfId="0" applyFont="1" applyFill="1" applyBorder="1" applyAlignment="1">
      <alignment horizontal="left"/>
    </xf>
    <xf numFmtId="3" fontId="26" fillId="0" borderId="7" xfId="0" applyNumberFormat="1" applyFont="1" applyBorder="1" applyAlignment="1">
      <alignment horizontal="right"/>
    </xf>
    <xf numFmtId="0" fontId="26" fillId="0" borderId="7" xfId="0" applyFont="1" applyBorder="1" applyAlignment="1">
      <alignment horizontal="right"/>
    </xf>
    <xf numFmtId="0" fontId="2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2" fillId="5" borderId="0" xfId="0" applyFont="1" applyFill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0" borderId="5" xfId="0" applyFont="1" applyBorder="1"/>
    <xf numFmtId="0" fontId="2" fillId="3" borderId="3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9" borderId="17" xfId="0" applyFont="1" applyFill="1" applyBorder="1" applyAlignment="1">
      <alignment horizontal="center"/>
    </xf>
    <xf numFmtId="0" fontId="2" fillId="9" borderId="19" xfId="0" applyFont="1" applyFill="1" applyBorder="1" applyAlignment="1">
      <alignment horizontal="center"/>
    </xf>
    <xf numFmtId="0" fontId="21" fillId="10" borderId="18" xfId="0" applyFont="1" applyFill="1" applyBorder="1" applyAlignment="1">
      <alignment horizontal="center"/>
    </xf>
    <xf numFmtId="0" fontId="21" fillId="10" borderId="15" xfId="0" applyFont="1" applyFill="1" applyBorder="1" applyAlignment="1">
      <alignment horizontal="center"/>
    </xf>
    <xf numFmtId="0" fontId="22" fillId="10" borderId="17" xfId="0" applyFont="1" applyFill="1" applyBorder="1" applyAlignment="1">
      <alignment horizontal="center"/>
    </xf>
    <xf numFmtId="0" fontId="22" fillId="10" borderId="19" xfId="0" applyFont="1" applyFill="1" applyBorder="1" applyAlignment="1">
      <alignment horizontal="center"/>
    </xf>
    <xf numFmtId="0" fontId="22" fillId="10" borderId="18" xfId="0" applyFont="1" applyFill="1" applyBorder="1" applyAlignment="1">
      <alignment horizontal="center"/>
    </xf>
    <xf numFmtId="0" fontId="22" fillId="10" borderId="15" xfId="0" applyFont="1" applyFill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21" fillId="0" borderId="18" xfId="0" applyFont="1" applyFill="1" applyBorder="1" applyAlignment="1">
      <alignment horizontal="center"/>
    </xf>
    <xf numFmtId="0" fontId="21" fillId="0" borderId="15" xfId="0" applyFont="1" applyFill="1" applyBorder="1" applyAlignment="1">
      <alignment horizontal="center"/>
    </xf>
    <xf numFmtId="0" fontId="22" fillId="0" borderId="18" xfId="0" applyFont="1" applyBorder="1" applyAlignment="1">
      <alignment horizontal="center"/>
    </xf>
    <xf numFmtId="0" fontId="22" fillId="0" borderId="15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11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30" fillId="8" borderId="3" xfId="0" applyFont="1" applyFill="1" applyBorder="1" applyAlignment="1">
      <alignment horizontal="center"/>
    </xf>
    <xf numFmtId="0" fontId="30" fillId="0" borderId="2" xfId="0" applyFont="1" applyBorder="1"/>
    <xf numFmtId="0" fontId="30" fillId="0" borderId="4" xfId="0" applyFont="1" applyBorder="1"/>
    <xf numFmtId="0" fontId="1" fillId="0" borderId="0" xfId="0" applyFont="1" applyAlignment="1">
      <alignment horizontal="center" vertical="center" textRotation="45"/>
    </xf>
    <xf numFmtId="0" fontId="22" fillId="0" borderId="0" xfId="0" applyFont="1" applyBorder="1" applyAlignment="1">
      <alignment horizontal="center"/>
    </xf>
    <xf numFmtId="0" fontId="2" fillId="11" borderId="0" xfId="0" applyFont="1" applyFill="1" applyBorder="1" applyAlignment="1">
      <alignment horizontal="center"/>
    </xf>
    <xf numFmtId="0" fontId="1" fillId="12" borderId="0" xfId="0" applyFont="1" applyFill="1" applyBorder="1"/>
    <xf numFmtId="0" fontId="0" fillId="12" borderId="0" xfId="0" applyFont="1" applyFill="1" applyBorder="1" applyAlignment="1"/>
    <xf numFmtId="0" fontId="21" fillId="9" borderId="18" xfId="0" applyFont="1" applyFill="1" applyBorder="1" applyAlignment="1">
      <alignment horizontal="center"/>
    </xf>
    <xf numFmtId="0" fontId="21" fillId="9" borderId="0" xfId="0" applyFont="1" applyFill="1" applyBorder="1" applyAlignment="1">
      <alignment horizontal="center"/>
    </xf>
    <xf numFmtId="0" fontId="21" fillId="9" borderId="15" xfId="0" applyFont="1" applyFill="1" applyBorder="1" applyAlignment="1">
      <alignment horizontal="center"/>
    </xf>
    <xf numFmtId="0" fontId="22" fillId="9" borderId="18" xfId="0" applyFont="1" applyFill="1" applyBorder="1" applyAlignment="1">
      <alignment horizontal="center"/>
    </xf>
    <xf numFmtId="0" fontId="22" fillId="9" borderId="0" xfId="0" applyFont="1" applyFill="1" applyBorder="1" applyAlignment="1">
      <alignment horizontal="center"/>
    </xf>
    <xf numFmtId="0" fontId="22" fillId="9" borderId="15" xfId="0" applyFont="1" applyFill="1" applyBorder="1" applyAlignment="1">
      <alignment horizontal="center"/>
    </xf>
    <xf numFmtId="0" fontId="2" fillId="9" borderId="18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2" fillId="9" borderId="15" xfId="0" applyFont="1" applyFill="1" applyBorder="1" applyAlignment="1">
      <alignment horizontal="center"/>
    </xf>
    <xf numFmtId="0" fontId="22" fillId="9" borderId="17" xfId="0" applyFont="1" applyFill="1" applyBorder="1" applyAlignment="1">
      <alignment horizontal="center"/>
    </xf>
    <xf numFmtId="0" fontId="22" fillId="9" borderId="16" xfId="0" applyFont="1" applyFill="1" applyBorder="1" applyAlignment="1">
      <alignment horizontal="center"/>
    </xf>
    <xf numFmtId="0" fontId="22" fillId="9" borderId="19" xfId="0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7</xdr:col>
      <xdr:colOff>47625</xdr:colOff>
      <xdr:row>54</xdr:row>
      <xdr:rowOff>57150</xdr:rowOff>
    </xdr:to>
    <xdr:sp macro="" textlink="">
      <xdr:nvSpPr>
        <xdr:cNvPr id="2050" name="Rectangle 2" hidden="1">
          <a:extLst>
            <a:ext uri="{FF2B5EF4-FFF2-40B4-BE49-F238E27FC236}">
              <a16:creationId xmlns:a16="http://schemas.microsoft.com/office/drawing/2014/main" xmlns="" id="{00000000-0008-0000-0200-000002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7</xdr:col>
      <xdr:colOff>47625</xdr:colOff>
      <xdr:row>54</xdr:row>
      <xdr:rowOff>57150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76200</xdr:colOff>
      <xdr:row>59</xdr:row>
      <xdr:rowOff>85725</xdr:rowOff>
    </xdr:to>
    <xdr:sp macro="" textlink="">
      <xdr:nvSpPr>
        <xdr:cNvPr id="1026" name="Rectangle 2" hidden="1">
          <a:extLst>
            <a:ext uri="{FF2B5EF4-FFF2-40B4-BE49-F238E27FC236}">
              <a16:creationId xmlns:a16="http://schemas.microsoft.com/office/drawing/2014/main" xmlns="" id="{00000000-0008-0000-0300-000002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6</xdr:col>
      <xdr:colOff>76200</xdr:colOff>
      <xdr:row>59</xdr:row>
      <xdr:rowOff>85725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76200</xdr:colOff>
      <xdr:row>57</xdr:row>
      <xdr:rowOff>85725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15500" cy="95916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788670</xdr:colOff>
      <xdr:row>59</xdr:row>
      <xdr:rowOff>64770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xmlns="" id="{00000000-0008-0000-03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15500" cy="959358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788670</xdr:colOff>
      <xdr:row>59</xdr:row>
      <xdr:rowOff>64770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715500" cy="959358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workbookViewId="0">
      <selection activeCell="D12" sqref="D12"/>
    </sheetView>
  </sheetViews>
  <sheetFormatPr defaultRowHeight="12.3" x14ac:dyDescent="0.4"/>
  <cols>
    <col min="11" max="11" width="19.71875" customWidth="1"/>
  </cols>
  <sheetData>
    <row r="1" spans="1:11" x14ac:dyDescent="0.4">
      <c r="A1" s="439"/>
      <c r="B1" s="440"/>
      <c r="C1" s="440"/>
      <c r="D1" s="440"/>
      <c r="E1" s="440"/>
      <c r="F1" s="440"/>
      <c r="G1" s="440"/>
      <c r="H1" s="440"/>
      <c r="I1" s="440"/>
      <c r="J1" s="440"/>
      <c r="K1" s="441"/>
    </row>
    <row r="2" spans="1:11" x14ac:dyDescent="0.4">
      <c r="A2" s="422"/>
      <c r="B2" s="418"/>
      <c r="C2" s="418"/>
      <c r="D2" s="418"/>
      <c r="E2" s="418"/>
      <c r="F2" s="418"/>
      <c r="G2" s="418"/>
      <c r="H2" s="418"/>
      <c r="I2" s="418"/>
      <c r="J2" s="418"/>
      <c r="K2" s="423"/>
    </row>
    <row r="3" spans="1:11" x14ac:dyDescent="0.4">
      <c r="A3" s="422"/>
      <c r="B3" s="418"/>
      <c r="C3" s="418"/>
      <c r="D3" s="418"/>
      <c r="E3" s="418"/>
      <c r="F3" s="418"/>
      <c r="G3" s="418"/>
      <c r="H3" s="418"/>
      <c r="I3" s="418"/>
      <c r="J3" s="418"/>
      <c r="K3" s="423"/>
    </row>
    <row r="4" spans="1:11" x14ac:dyDescent="0.4">
      <c r="A4" s="422"/>
      <c r="B4" s="418"/>
      <c r="C4" s="418"/>
      <c r="D4" s="418"/>
      <c r="E4" s="418"/>
      <c r="F4" s="418"/>
      <c r="G4" s="418"/>
      <c r="H4" s="418"/>
      <c r="I4" s="418"/>
      <c r="J4" s="418"/>
      <c r="K4" s="423"/>
    </row>
    <row r="5" spans="1:11" x14ac:dyDescent="0.4">
      <c r="A5" s="422"/>
      <c r="G5" s="418"/>
      <c r="H5" s="418"/>
      <c r="I5" s="418"/>
      <c r="J5" s="418"/>
      <c r="K5" s="423"/>
    </row>
    <row r="6" spans="1:11" ht="34.799999999999997" x14ac:dyDescent="1.1000000000000001">
      <c r="A6" s="422"/>
      <c r="D6" s="475" t="s">
        <v>361</v>
      </c>
      <c r="E6" s="443"/>
      <c r="F6" s="443"/>
      <c r="G6" s="443"/>
      <c r="H6" s="443"/>
      <c r="I6" s="418"/>
      <c r="J6" s="418"/>
      <c r="K6" s="423"/>
    </row>
    <row r="7" spans="1:11" ht="19.8" x14ac:dyDescent="0.65">
      <c r="A7" s="422"/>
      <c r="D7" s="444" t="s">
        <v>377</v>
      </c>
      <c r="E7" s="444"/>
      <c r="F7" s="444"/>
      <c r="G7" s="444"/>
      <c r="H7" s="444"/>
      <c r="I7" s="418"/>
      <c r="J7" s="418"/>
      <c r="K7" s="423"/>
    </row>
    <row r="8" spans="1:11" x14ac:dyDescent="0.4">
      <c r="A8" s="422"/>
      <c r="D8" s="418"/>
      <c r="E8" s="418"/>
      <c r="F8" s="418"/>
      <c r="G8" s="418"/>
      <c r="H8" s="418"/>
      <c r="I8" s="418"/>
      <c r="J8" s="418"/>
      <c r="K8" s="423"/>
    </row>
    <row r="9" spans="1:11" s="421" customFormat="1" x14ac:dyDescent="0.4">
      <c r="A9" s="422"/>
      <c r="D9" s="418" t="s">
        <v>104</v>
      </c>
      <c r="E9" s="418" t="s">
        <v>385</v>
      </c>
      <c r="F9" s="418" t="s">
        <v>386</v>
      </c>
      <c r="G9" s="418"/>
      <c r="H9" s="418"/>
      <c r="I9" s="418"/>
      <c r="J9" s="418"/>
      <c r="K9" s="423"/>
    </row>
    <row r="10" spans="1:11" x14ac:dyDescent="0.4">
      <c r="A10" s="422"/>
      <c r="D10" s="418"/>
      <c r="E10" s="418"/>
      <c r="F10" s="418"/>
      <c r="G10" s="437"/>
      <c r="H10" s="418"/>
      <c r="I10" s="418"/>
      <c r="J10" s="418"/>
      <c r="K10" s="423"/>
    </row>
    <row r="11" spans="1:11" ht="19.8" x14ac:dyDescent="0.65">
      <c r="A11" s="422"/>
      <c r="B11" s="418"/>
      <c r="C11" s="418"/>
      <c r="D11" s="418"/>
      <c r="E11" s="437" t="s">
        <v>378</v>
      </c>
      <c r="F11" s="418"/>
      <c r="G11" s="473" t="s">
        <v>384</v>
      </c>
      <c r="H11" s="418"/>
      <c r="I11" s="418"/>
      <c r="J11" s="418"/>
      <c r="K11" s="423"/>
    </row>
    <row r="12" spans="1:11" ht="19.8" x14ac:dyDescent="0.65">
      <c r="A12" s="422"/>
      <c r="B12" s="418"/>
      <c r="C12" s="418"/>
      <c r="D12" s="418"/>
      <c r="E12" s="437" t="s">
        <v>379</v>
      </c>
      <c r="F12" s="418"/>
      <c r="G12" s="473" t="s">
        <v>380</v>
      </c>
      <c r="H12" s="418"/>
      <c r="I12" s="418"/>
      <c r="J12" s="418"/>
      <c r="K12" s="423"/>
    </row>
    <row r="13" spans="1:11" x14ac:dyDescent="0.4">
      <c r="A13" s="422"/>
      <c r="B13" s="418"/>
      <c r="C13" s="418"/>
      <c r="D13" s="418"/>
      <c r="E13" s="418"/>
      <c r="F13" s="418"/>
      <c r="G13" s="418"/>
      <c r="H13" s="418"/>
      <c r="I13" s="418"/>
      <c r="J13" s="418"/>
      <c r="K13" s="423"/>
    </row>
    <row r="14" spans="1:11" ht="17.399999999999999" x14ac:dyDescent="0.55000000000000004">
      <c r="A14" s="422"/>
      <c r="B14" s="418"/>
      <c r="C14" s="418"/>
      <c r="D14" s="418"/>
      <c r="E14" s="437" t="s">
        <v>381</v>
      </c>
      <c r="F14" s="418"/>
      <c r="G14" s="472" t="s">
        <v>382</v>
      </c>
      <c r="H14" s="418"/>
      <c r="I14" s="418"/>
      <c r="J14" s="418"/>
      <c r="K14" s="423"/>
    </row>
    <row r="15" spans="1:11" x14ac:dyDescent="0.4">
      <c r="A15" s="422"/>
      <c r="B15" s="418"/>
      <c r="C15" s="418"/>
      <c r="D15" s="418"/>
      <c r="E15" s="418"/>
      <c r="F15" s="418"/>
      <c r="G15" s="418"/>
      <c r="H15" s="418"/>
      <c r="I15" s="418"/>
      <c r="J15" s="418"/>
      <c r="K15" s="423"/>
    </row>
    <row r="16" spans="1:11" x14ac:dyDescent="0.4">
      <c r="A16" s="422"/>
      <c r="B16" s="418"/>
      <c r="C16" s="418"/>
      <c r="D16" s="418"/>
      <c r="F16" s="418"/>
      <c r="G16" s="474" t="s">
        <v>383</v>
      </c>
      <c r="H16" s="418"/>
      <c r="I16" s="418"/>
      <c r="J16" s="418"/>
      <c r="K16" s="423"/>
    </row>
    <row r="17" spans="1:11" x14ac:dyDescent="0.4">
      <c r="A17" s="422"/>
      <c r="B17" s="418"/>
      <c r="C17" s="418"/>
      <c r="D17" s="418"/>
      <c r="E17" s="418"/>
      <c r="F17" s="418"/>
      <c r="G17" s="418"/>
      <c r="H17" s="418"/>
      <c r="I17" s="418"/>
      <c r="J17" s="418"/>
      <c r="K17" s="423"/>
    </row>
    <row r="18" spans="1:11" x14ac:dyDescent="0.4">
      <c r="A18" s="422"/>
      <c r="B18" s="418"/>
      <c r="C18" s="418"/>
      <c r="D18" s="418"/>
      <c r="E18" s="418"/>
      <c r="F18" s="418"/>
      <c r="G18" s="418"/>
      <c r="H18" s="418"/>
      <c r="I18" s="418"/>
      <c r="J18" s="418"/>
      <c r="K18" s="423"/>
    </row>
    <row r="19" spans="1:11" x14ac:dyDescent="0.4">
      <c r="A19" s="422"/>
      <c r="B19" s="418"/>
      <c r="C19" s="418"/>
      <c r="D19" s="418"/>
      <c r="E19" s="418"/>
      <c r="F19" s="418"/>
      <c r="G19" s="418"/>
      <c r="H19" s="418"/>
      <c r="I19" s="418"/>
      <c r="J19" s="418"/>
      <c r="K19" s="423"/>
    </row>
    <row r="20" spans="1:11" x14ac:dyDescent="0.4">
      <c r="A20" s="422"/>
      <c r="B20" s="418"/>
      <c r="C20" s="418"/>
      <c r="D20" s="418"/>
      <c r="E20" s="418"/>
      <c r="F20" s="418"/>
      <c r="G20" s="418"/>
      <c r="H20" s="418"/>
      <c r="I20" s="418"/>
      <c r="J20" s="418"/>
      <c r="K20" s="423"/>
    </row>
    <row r="21" spans="1:11" x14ac:dyDescent="0.4">
      <c r="A21" s="422"/>
      <c r="B21" s="418"/>
      <c r="C21" s="418"/>
      <c r="D21" s="418"/>
      <c r="E21" s="418"/>
      <c r="F21" s="418"/>
      <c r="G21" s="418"/>
      <c r="H21" s="418"/>
      <c r="I21" s="418"/>
      <c r="J21" s="418"/>
      <c r="K21" s="423"/>
    </row>
    <row r="22" spans="1:11" x14ac:dyDescent="0.4">
      <c r="A22" s="422"/>
      <c r="B22" s="418"/>
      <c r="C22" s="418"/>
      <c r="D22" s="418"/>
      <c r="E22" s="418"/>
      <c r="F22" s="418"/>
      <c r="G22" s="418"/>
      <c r="H22" s="418"/>
      <c r="I22" s="418"/>
      <c r="J22" s="418"/>
      <c r="K22" s="423"/>
    </row>
    <row r="23" spans="1:11" ht="12.6" thickBot="1" x14ac:dyDescent="0.45">
      <c r="A23" s="428"/>
      <c r="B23" s="429"/>
      <c r="C23" s="429"/>
      <c r="D23" s="429"/>
      <c r="E23" s="429"/>
      <c r="F23" s="429"/>
      <c r="G23" s="429"/>
      <c r="H23" s="429"/>
      <c r="I23" s="429"/>
      <c r="J23" s="429"/>
      <c r="K23" s="44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showGridLines="0" workbookViewId="0">
      <selection activeCell="E17" sqref="E17"/>
    </sheetView>
  </sheetViews>
  <sheetFormatPr defaultColWidth="14.44140625" defaultRowHeight="15.75" customHeight="1" x14ac:dyDescent="0.4"/>
  <cols>
    <col min="4" max="4" width="19" customWidth="1"/>
    <col min="5" max="5" width="20.83203125" customWidth="1"/>
  </cols>
  <sheetData>
    <row r="2" spans="2:5" ht="15.75" customHeight="1" thickBot="1" x14ac:dyDescent="0.45"/>
    <row r="3" spans="2:5" ht="15.75" customHeight="1" x14ac:dyDescent="0.4">
      <c r="B3" s="476" t="s">
        <v>360</v>
      </c>
      <c r="C3" s="477"/>
      <c r="D3" s="477"/>
      <c r="E3" s="478"/>
    </row>
    <row r="4" spans="2:5" ht="15.75" customHeight="1" x14ac:dyDescent="0.4">
      <c r="B4" s="434" t="s">
        <v>357</v>
      </c>
      <c r="C4" s="435"/>
      <c r="D4" s="435" t="s">
        <v>358</v>
      </c>
      <c r="E4" s="436" t="s">
        <v>359</v>
      </c>
    </row>
    <row r="5" spans="2:5" ht="15.75" customHeight="1" x14ac:dyDescent="0.4">
      <c r="B5" s="422" t="s">
        <v>106</v>
      </c>
      <c r="C5" s="418"/>
      <c r="D5" s="418"/>
      <c r="E5" s="423"/>
    </row>
    <row r="6" spans="2:5" ht="15.75" customHeight="1" x14ac:dyDescent="0.4">
      <c r="B6" s="432" t="s">
        <v>154</v>
      </c>
      <c r="C6" s="418"/>
      <c r="D6" s="424">
        <f>'DCF Valuation'!C17</f>
        <v>103498.70061233861</v>
      </c>
      <c r="E6" s="425">
        <f>'DCF Valuation'!C19</f>
        <v>53092.700612338609</v>
      </c>
    </row>
    <row r="7" spans="2:5" ht="15.75" customHeight="1" x14ac:dyDescent="0.4">
      <c r="B7" s="432"/>
      <c r="C7" s="418"/>
      <c r="D7" s="426"/>
      <c r="E7" s="427"/>
    </row>
    <row r="8" spans="2:5" ht="15.75" customHeight="1" x14ac:dyDescent="0.4">
      <c r="B8" s="432" t="s">
        <v>155</v>
      </c>
      <c r="C8" s="418"/>
      <c r="D8" s="426">
        <f>5098092</f>
        <v>5098092</v>
      </c>
      <c r="E8" s="427">
        <f>459396</f>
        <v>459396</v>
      </c>
    </row>
    <row r="9" spans="2:5" ht="15.75" customHeight="1" x14ac:dyDescent="0.4">
      <c r="B9" s="432"/>
      <c r="C9" s="418"/>
      <c r="D9" s="426"/>
      <c r="E9" s="427"/>
    </row>
    <row r="10" spans="2:5" ht="15.75" customHeight="1" thickBot="1" x14ac:dyDescent="0.45">
      <c r="B10" s="433" t="s">
        <v>156</v>
      </c>
      <c r="C10" s="429"/>
      <c r="D10" s="430">
        <f>43567</f>
        <v>43567</v>
      </c>
      <c r="E10" s="431">
        <f>-6839</f>
        <v>-6839</v>
      </c>
    </row>
  </sheetData>
  <mergeCells count="1">
    <mergeCell ref="B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4"/>
  <sheetViews>
    <sheetView showGridLines="0" topLeftCell="A117" workbookViewId="0">
      <selection activeCell="B2" sqref="B2:G2"/>
    </sheetView>
  </sheetViews>
  <sheetFormatPr defaultColWidth="14.44140625" defaultRowHeight="15.75" customHeight="1" x14ac:dyDescent="0.4"/>
  <cols>
    <col min="1" max="1" width="12.44140625" customWidth="1"/>
    <col min="2" max="2" width="39" customWidth="1"/>
    <col min="3" max="3" width="24.27734375" customWidth="1"/>
    <col min="4" max="4" width="17.27734375" customWidth="1"/>
    <col min="5" max="5" width="20.27734375" customWidth="1"/>
    <col min="13" max="13" width="19.1640625" customWidth="1"/>
    <col min="14" max="14" width="18.71875" bestFit="1" customWidth="1"/>
  </cols>
  <sheetData>
    <row r="1" spans="1:7" s="380" customFormat="1" ht="15.75" customHeight="1" x14ac:dyDescent="0.4"/>
    <row r="2" spans="1:7" s="380" customFormat="1" ht="15.75" customHeight="1" x14ac:dyDescent="0.55000000000000004">
      <c r="B2" s="483" t="s">
        <v>372</v>
      </c>
      <c r="C2" s="483"/>
      <c r="D2" s="483"/>
      <c r="E2" s="483"/>
      <c r="F2" s="483"/>
      <c r="G2" s="483"/>
    </row>
    <row r="3" spans="1:7" ht="15.75" customHeight="1" x14ac:dyDescent="0.4">
      <c r="A3" s="1"/>
      <c r="B3" s="1"/>
      <c r="D3" s="2"/>
      <c r="E3" s="1"/>
    </row>
    <row r="4" spans="1:7" ht="15.75" customHeight="1" x14ac:dyDescent="0.4">
      <c r="B4" s="479" t="s">
        <v>371</v>
      </c>
      <c r="C4" s="480"/>
      <c r="D4" s="480"/>
      <c r="E4" s="480"/>
      <c r="F4" s="480"/>
      <c r="G4" s="481"/>
    </row>
    <row r="5" spans="1:7" ht="15.75" customHeight="1" x14ac:dyDescent="0.4">
      <c r="A5" s="1"/>
      <c r="B5" s="7"/>
      <c r="C5" s="55">
        <v>2012</v>
      </c>
      <c r="D5" s="55">
        <v>2013</v>
      </c>
      <c r="E5" s="55">
        <v>2014</v>
      </c>
      <c r="F5" s="55">
        <v>2015</v>
      </c>
      <c r="G5" s="110">
        <v>2016</v>
      </c>
    </row>
    <row r="6" spans="1:7" ht="15.75" customHeight="1" x14ac:dyDescent="0.4">
      <c r="A6" s="1"/>
      <c r="B6" s="7" t="s">
        <v>2</v>
      </c>
      <c r="E6" s="11">
        <f>74547</f>
        <v>74547</v>
      </c>
      <c r="F6" s="2">
        <f>72113</f>
        <v>72113</v>
      </c>
      <c r="G6" s="14">
        <f>68441</f>
        <v>68441</v>
      </c>
    </row>
    <row r="7" spans="1:7" ht="15.75" customHeight="1" x14ac:dyDescent="0.4">
      <c r="A7" s="1"/>
      <c r="B7" s="7" t="s">
        <v>6</v>
      </c>
      <c r="G7" s="15"/>
    </row>
    <row r="8" spans="1:7" ht="15.75" customHeight="1" x14ac:dyDescent="0.4">
      <c r="A8" s="1"/>
      <c r="B8" s="7" t="s">
        <v>7</v>
      </c>
      <c r="E8" s="17">
        <f>20.6%</f>
        <v>0.20600000000000002</v>
      </c>
      <c r="F8" s="19">
        <v>0.22600000000000001</v>
      </c>
      <c r="G8" s="21">
        <f>24.2%</f>
        <v>0.24199999999999999</v>
      </c>
    </row>
    <row r="9" spans="1:7" ht="15.75" customHeight="1" x14ac:dyDescent="0.4">
      <c r="A9" s="1"/>
      <c r="B9" s="7" t="s">
        <v>9</v>
      </c>
      <c r="E9" s="17">
        <f>0.8%</f>
        <v>8.0000000000000002E-3</v>
      </c>
      <c r="F9" s="19">
        <v>7.0000000000000001E-3</v>
      </c>
      <c r="G9" s="21">
        <f>1.3%</f>
        <v>1.3000000000000001E-2</v>
      </c>
    </row>
    <row r="10" spans="1:7" ht="15.75" customHeight="1" x14ac:dyDescent="0.4">
      <c r="A10" s="1"/>
      <c r="B10" s="7" t="s">
        <v>15</v>
      </c>
      <c r="E10" s="17">
        <f>6.6%</f>
        <v>6.6000000000000003E-2</v>
      </c>
      <c r="F10" s="19">
        <v>4.5999999999999999E-2</v>
      </c>
      <c r="G10" s="21">
        <f>9.8%</f>
        <v>9.8000000000000004E-2</v>
      </c>
    </row>
    <row r="11" spans="1:7" ht="15.75" customHeight="1" x14ac:dyDescent="0.4">
      <c r="A11" s="1"/>
      <c r="B11" s="7" t="s">
        <v>16</v>
      </c>
      <c r="E11" s="17">
        <f>7.4%</f>
        <v>7.400000000000001E-2</v>
      </c>
      <c r="F11" s="19">
        <v>8.8999999999999996E-2</v>
      </c>
      <c r="G11" s="21">
        <f>7.3%</f>
        <v>7.2999999999999995E-2</v>
      </c>
    </row>
    <row r="12" spans="1:7" ht="15.75" customHeight="1" x14ac:dyDescent="0.4">
      <c r="A12" s="1"/>
      <c r="B12" s="7" t="s">
        <v>18</v>
      </c>
      <c r="E12" s="17">
        <f>0.4%</f>
        <v>4.0000000000000001E-3</v>
      </c>
      <c r="F12" s="19">
        <v>4.0000000000000001E-3</v>
      </c>
      <c r="G12" s="21">
        <f>0.5%</f>
        <v>5.0000000000000001E-3</v>
      </c>
    </row>
    <row r="13" spans="1:7" ht="15.75" customHeight="1" x14ac:dyDescent="0.4">
      <c r="A13" s="1"/>
      <c r="B13" s="7" t="s">
        <v>19</v>
      </c>
      <c r="C13" s="9"/>
      <c r="D13" s="9"/>
      <c r="E13" s="27">
        <f t="shared" ref="E13:G13" si="0">SUM(E8:E12)</f>
        <v>0.35800000000000004</v>
      </c>
      <c r="F13" s="27">
        <f t="shared" si="0"/>
        <v>0.372</v>
      </c>
      <c r="G13" s="29">
        <f t="shared" si="0"/>
        <v>0.43099999999999999</v>
      </c>
    </row>
    <row r="14" spans="1:7" ht="15.75" customHeight="1" x14ac:dyDescent="0.4">
      <c r="A14" s="1"/>
      <c r="B14" s="7" t="s">
        <v>21</v>
      </c>
      <c r="G14" s="21"/>
    </row>
    <row r="15" spans="1:7" ht="15.75" customHeight="1" x14ac:dyDescent="0.4">
      <c r="A15" s="1"/>
      <c r="B15" s="7" t="s">
        <v>22</v>
      </c>
      <c r="E15" s="17">
        <f>3.7%</f>
        <v>3.7000000000000005E-2</v>
      </c>
      <c r="F15" s="19">
        <v>0.03</v>
      </c>
      <c r="G15" s="31">
        <f>2.6%</f>
        <v>2.6000000000000002E-2</v>
      </c>
    </row>
    <row r="16" spans="1:7" ht="15.75" customHeight="1" x14ac:dyDescent="0.4">
      <c r="A16" s="1"/>
      <c r="B16" s="7" t="s">
        <v>24</v>
      </c>
      <c r="E16" s="17">
        <f>8.5%</f>
        <v>8.5000000000000006E-2</v>
      </c>
      <c r="F16" s="19">
        <v>6.5000000000000002E-2</v>
      </c>
      <c r="G16" s="21">
        <f>5.1%</f>
        <v>5.0999999999999997E-2</v>
      </c>
    </row>
    <row r="17" spans="1:7" ht="15.75" customHeight="1" x14ac:dyDescent="0.4">
      <c r="A17" s="1"/>
      <c r="B17" s="7" t="s">
        <v>19</v>
      </c>
      <c r="C17" s="9"/>
      <c r="D17" s="9"/>
      <c r="E17" s="27">
        <f t="shared" ref="E17:G17" si="1">SUM(E15:E16)</f>
        <v>0.12200000000000001</v>
      </c>
      <c r="F17" s="27">
        <f t="shared" si="1"/>
        <v>9.5000000000000001E-2</v>
      </c>
      <c r="G17" s="29">
        <f t="shared" si="1"/>
        <v>7.6999999999999999E-2</v>
      </c>
    </row>
    <row r="18" spans="1:7" ht="15.75" customHeight="1" x14ac:dyDescent="0.4">
      <c r="A18" s="1"/>
      <c r="B18" s="7" t="s">
        <v>26</v>
      </c>
      <c r="E18" s="17"/>
      <c r="F18" s="17"/>
      <c r="G18" s="21"/>
    </row>
    <row r="19" spans="1:7" ht="15.75" customHeight="1" x14ac:dyDescent="0.4">
      <c r="A19" s="1"/>
      <c r="B19" s="7" t="s">
        <v>9</v>
      </c>
      <c r="E19" s="17">
        <f>0.1%</f>
        <v>1E-3</v>
      </c>
      <c r="F19" s="19">
        <v>1E-3</v>
      </c>
      <c r="G19" s="21">
        <f>0</f>
        <v>0</v>
      </c>
    </row>
    <row r="20" spans="1:7" ht="15.75" customHeight="1" x14ac:dyDescent="0.4">
      <c r="A20" s="1"/>
      <c r="B20" s="7" t="s">
        <v>15</v>
      </c>
      <c r="E20" s="17">
        <f>0.8%</f>
        <v>8.0000000000000002E-3</v>
      </c>
      <c r="F20" s="19">
        <v>6.0000000000000001E-3</v>
      </c>
      <c r="G20" s="21">
        <f>0.5%</f>
        <v>5.0000000000000001E-3</v>
      </c>
    </row>
    <row r="21" spans="1:7" ht="15.75" customHeight="1" x14ac:dyDescent="0.4">
      <c r="A21" s="1"/>
      <c r="B21" s="7" t="s">
        <v>19</v>
      </c>
      <c r="C21" s="9"/>
      <c r="D21" s="9"/>
      <c r="E21" s="27">
        <f t="shared" ref="E21:F21" si="2">SUM(E19:E20)</f>
        <v>9.0000000000000011E-3</v>
      </c>
      <c r="F21" s="27">
        <f t="shared" si="2"/>
        <v>7.0000000000000001E-3</v>
      </c>
      <c r="G21" s="29">
        <f>G20</f>
        <v>5.0000000000000001E-3</v>
      </c>
    </row>
    <row r="22" spans="1:7" ht="15.75" customHeight="1" x14ac:dyDescent="0.4">
      <c r="A22" s="1"/>
      <c r="B22" s="7" t="s">
        <v>28</v>
      </c>
      <c r="E22" s="17"/>
      <c r="F22" s="17"/>
      <c r="G22" s="21"/>
    </row>
    <row r="23" spans="1:7" ht="15.75" customHeight="1" x14ac:dyDescent="0.4">
      <c r="A23" s="1"/>
      <c r="B23" s="7" t="s">
        <v>22</v>
      </c>
      <c r="E23" s="17">
        <f>22%</f>
        <v>0.22</v>
      </c>
      <c r="F23" s="19">
        <v>0.253</v>
      </c>
      <c r="G23" s="31">
        <v>0.28399999999999997</v>
      </c>
    </row>
    <row r="24" spans="1:7" ht="15.75" customHeight="1" x14ac:dyDescent="0.4">
      <c r="A24" s="1"/>
      <c r="B24" s="7" t="s">
        <v>15</v>
      </c>
      <c r="E24" s="17">
        <f>0.9%</f>
        <v>9.0000000000000011E-3</v>
      </c>
      <c r="F24" s="19">
        <v>7.0000000000000001E-3</v>
      </c>
      <c r="G24" s="21">
        <f>2.1%</f>
        <v>2.1000000000000001E-2</v>
      </c>
    </row>
    <row r="25" spans="1:7" ht="15.75" customHeight="1" x14ac:dyDescent="0.4">
      <c r="A25" s="1"/>
      <c r="B25" s="7" t="s">
        <v>24</v>
      </c>
      <c r="E25" s="17">
        <f>6.6%</f>
        <v>6.6000000000000003E-2</v>
      </c>
      <c r="F25" s="19">
        <v>9.4E-2</v>
      </c>
      <c r="G25" s="31">
        <v>4.8000000000000001E-2</v>
      </c>
    </row>
    <row r="26" spans="1:7" ht="15.75" customHeight="1" x14ac:dyDescent="0.4">
      <c r="A26" s="1"/>
      <c r="B26" s="7" t="s">
        <v>19</v>
      </c>
      <c r="C26" s="9"/>
      <c r="D26" s="9"/>
      <c r="E26" s="27">
        <f t="shared" ref="E26:G26" si="3">SUM(E23:E25)</f>
        <v>0.29500000000000004</v>
      </c>
      <c r="F26" s="27">
        <f t="shared" si="3"/>
        <v>0.35399999999999998</v>
      </c>
      <c r="G26" s="29">
        <f t="shared" si="3"/>
        <v>0.35299999999999998</v>
      </c>
    </row>
    <row r="27" spans="1:7" ht="15.75" customHeight="1" x14ac:dyDescent="0.4">
      <c r="A27" s="1"/>
      <c r="B27" s="7" t="s">
        <v>31</v>
      </c>
      <c r="E27" s="17">
        <f>21.6%</f>
        <v>0.21600000000000003</v>
      </c>
      <c r="F27" s="19">
        <v>0.17199999999999999</v>
      </c>
      <c r="G27" s="21">
        <f>13.4%</f>
        <v>0.13400000000000001</v>
      </c>
    </row>
    <row r="28" spans="1:7" ht="15.75" customHeight="1" x14ac:dyDescent="0.4">
      <c r="A28" s="1"/>
      <c r="B28" s="34" t="s">
        <v>19</v>
      </c>
      <c r="C28" s="38"/>
      <c r="D28" s="38"/>
      <c r="E28" s="39">
        <f t="shared" ref="E28:G28" si="4">E13+E17+E21+E26+E27</f>
        <v>1</v>
      </c>
      <c r="F28" s="39">
        <f t="shared" si="4"/>
        <v>1</v>
      </c>
      <c r="G28" s="40">
        <f t="shared" si="4"/>
        <v>1</v>
      </c>
    </row>
    <row r="29" spans="1:7" ht="15.75" customHeight="1" x14ac:dyDescent="0.4">
      <c r="B29" s="482" t="s">
        <v>370</v>
      </c>
      <c r="C29" s="482"/>
      <c r="D29" s="482"/>
      <c r="E29" s="482"/>
      <c r="F29" s="482"/>
      <c r="G29" s="482"/>
    </row>
    <row r="30" spans="1:7" s="380" customFormat="1" ht="15.75" customHeight="1" x14ac:dyDescent="0.4">
      <c r="B30" s="470"/>
      <c r="C30" s="470"/>
      <c r="D30" s="470"/>
      <c r="E30" s="470"/>
      <c r="F30" s="470"/>
      <c r="G30" s="470"/>
    </row>
    <row r="31" spans="1:7" ht="15.75" customHeight="1" x14ac:dyDescent="0.4">
      <c r="A31" s="1"/>
      <c r="B31" s="488" t="s">
        <v>34</v>
      </c>
      <c r="C31" s="489"/>
      <c r="D31" s="489"/>
      <c r="E31" s="489"/>
      <c r="F31" s="489"/>
      <c r="G31" s="490"/>
    </row>
    <row r="32" spans="1:7" ht="15.75" customHeight="1" x14ac:dyDescent="0.4">
      <c r="A32" s="1"/>
      <c r="B32" s="485" t="s">
        <v>36</v>
      </c>
      <c r="C32" s="486"/>
      <c r="D32" s="486"/>
      <c r="E32" s="486"/>
      <c r="F32" s="486"/>
      <c r="G32" s="487"/>
    </row>
    <row r="33" spans="1:7" ht="15.75" customHeight="1" x14ac:dyDescent="0.4">
      <c r="A33" s="1"/>
      <c r="B33" s="7"/>
      <c r="C33" s="46">
        <f t="shared" ref="C33:F33" si="5">C43</f>
        <v>2012</v>
      </c>
      <c r="D33" s="46">
        <f t="shared" si="5"/>
        <v>2013</v>
      </c>
      <c r="E33" s="46">
        <f t="shared" si="5"/>
        <v>2014</v>
      </c>
      <c r="F33" s="46">
        <f t="shared" si="5"/>
        <v>2015</v>
      </c>
      <c r="G33" s="47">
        <v>2016</v>
      </c>
    </row>
    <row r="34" spans="1:7" ht="15.75" customHeight="1" x14ac:dyDescent="0.4">
      <c r="A34" s="1"/>
      <c r="B34" s="7" t="s">
        <v>38</v>
      </c>
      <c r="C34" s="1"/>
      <c r="G34" s="15"/>
    </row>
    <row r="35" spans="1:7" ht="15.75" customHeight="1" x14ac:dyDescent="0.4">
      <c r="A35" s="1"/>
      <c r="B35" s="7" t="s">
        <v>39</v>
      </c>
      <c r="E35" s="49">
        <v>3458</v>
      </c>
      <c r="F35" s="11">
        <v>3141</v>
      </c>
      <c r="G35" s="14">
        <f>2958</f>
        <v>2958</v>
      </c>
    </row>
    <row r="36" spans="1:7" ht="15.75" customHeight="1" x14ac:dyDescent="0.4">
      <c r="A36" s="1"/>
      <c r="B36" s="7" t="s">
        <v>40</v>
      </c>
      <c r="E36" s="49">
        <v>3867</v>
      </c>
      <c r="F36" s="11">
        <v>3664</v>
      </c>
      <c r="G36" s="14">
        <f>3705</f>
        <v>3705</v>
      </c>
    </row>
    <row r="37" spans="1:7" ht="15.75" customHeight="1" x14ac:dyDescent="0.4">
      <c r="A37" s="1"/>
      <c r="B37" s="7" t="s">
        <v>9</v>
      </c>
      <c r="E37" s="50">
        <v>981</v>
      </c>
      <c r="F37">
        <f>878</f>
        <v>878</v>
      </c>
      <c r="G37" s="14">
        <f>1800</f>
        <v>1800</v>
      </c>
    </row>
    <row r="38" spans="1:7" ht="15.75" customHeight="1" x14ac:dyDescent="0.4">
      <c r="A38" s="1"/>
      <c r="B38" s="7" t="s">
        <v>18</v>
      </c>
      <c r="E38" s="49">
        <v>6478</v>
      </c>
      <c r="F38" s="11">
        <v>8157</v>
      </c>
      <c r="G38" s="14">
        <f>8598</f>
        <v>8598</v>
      </c>
    </row>
    <row r="39" spans="1:7" ht="12.3" x14ac:dyDescent="0.4">
      <c r="A39" s="1"/>
      <c r="B39" s="7" t="s">
        <v>41</v>
      </c>
      <c r="E39" s="49">
        <v>5399</v>
      </c>
      <c r="F39" s="11">
        <v>5451</v>
      </c>
      <c r="G39" s="14">
        <f>5419</f>
        <v>5419</v>
      </c>
    </row>
    <row r="40" spans="1:7" ht="12.3" x14ac:dyDescent="0.4">
      <c r="A40" s="1"/>
      <c r="B40" s="7" t="s">
        <v>19</v>
      </c>
      <c r="C40" s="9"/>
      <c r="D40" s="9"/>
      <c r="E40" s="53">
        <f t="shared" ref="E40:G40" si="6">SUM(E35:E39)</f>
        <v>20183</v>
      </c>
      <c r="F40" s="53">
        <f t="shared" si="6"/>
        <v>21291</v>
      </c>
      <c r="G40" s="54">
        <f t="shared" si="6"/>
        <v>22480</v>
      </c>
    </row>
    <row r="41" spans="1:7" ht="12.3" x14ac:dyDescent="0.4">
      <c r="A41" s="1"/>
      <c r="B41" s="7"/>
      <c r="G41" s="15"/>
    </row>
    <row r="42" spans="1:7" ht="12.3" x14ac:dyDescent="0.4">
      <c r="A42" s="1"/>
      <c r="B42" s="485" t="s">
        <v>42</v>
      </c>
      <c r="C42" s="486"/>
      <c r="D42" s="486"/>
      <c r="E42" s="486"/>
      <c r="F42" s="486"/>
      <c r="G42" s="487"/>
    </row>
    <row r="43" spans="1:7" ht="12.3" x14ac:dyDescent="0.4">
      <c r="A43" s="1"/>
      <c r="B43" s="7" t="s">
        <v>38</v>
      </c>
      <c r="C43" s="46">
        <v>2012</v>
      </c>
      <c r="D43" s="46">
        <v>2013</v>
      </c>
      <c r="E43" s="46">
        <v>2014</v>
      </c>
      <c r="F43" s="55">
        <f>F53</f>
        <v>2015</v>
      </c>
      <c r="G43" s="47">
        <f>2016</f>
        <v>2016</v>
      </c>
    </row>
    <row r="44" spans="1:7" ht="12.3" x14ac:dyDescent="0.4">
      <c r="A44" s="1"/>
      <c r="B44" s="7" t="s">
        <v>39</v>
      </c>
      <c r="C44" s="2"/>
      <c r="E44" s="17">
        <f>4.6%</f>
        <v>4.5999999999999999E-2</v>
      </c>
      <c r="F44" s="19">
        <v>4.3999999999999997E-2</v>
      </c>
      <c r="G44" s="21">
        <f>4.3%</f>
        <v>4.2999999999999997E-2</v>
      </c>
    </row>
    <row r="45" spans="1:7" ht="12.3" x14ac:dyDescent="0.4">
      <c r="A45" s="1"/>
      <c r="B45" s="7" t="s">
        <v>40</v>
      </c>
      <c r="C45" s="2"/>
      <c r="E45" s="17">
        <f>5.2%</f>
        <v>5.2000000000000005E-2</v>
      </c>
      <c r="F45" s="19">
        <v>0.05</v>
      </c>
      <c r="G45" s="21">
        <f>5.4%</f>
        <v>5.4000000000000006E-2</v>
      </c>
    </row>
    <row r="46" spans="1:7" ht="12.3" x14ac:dyDescent="0.4">
      <c r="A46" s="1"/>
      <c r="B46" s="7" t="s">
        <v>9</v>
      </c>
      <c r="C46" s="2"/>
      <c r="E46" s="17">
        <f>1.3%</f>
        <v>1.3000000000000001E-2</v>
      </c>
      <c r="F46" s="19">
        <v>1.2E-2</v>
      </c>
      <c r="G46" s="21">
        <f>2.6%</f>
        <v>2.6000000000000002E-2</v>
      </c>
    </row>
    <row r="47" spans="1:7" ht="12.3" x14ac:dyDescent="0.4">
      <c r="A47" s="1"/>
      <c r="B47" s="7" t="s">
        <v>18</v>
      </c>
      <c r="C47" s="2"/>
      <c r="E47" s="17">
        <f>8.7%</f>
        <v>8.6999999999999994E-2</v>
      </c>
      <c r="F47" s="19">
        <v>0.113</v>
      </c>
      <c r="G47" s="21">
        <f>12.6%</f>
        <v>0.126</v>
      </c>
    </row>
    <row r="48" spans="1:7" ht="12.3" x14ac:dyDescent="0.4">
      <c r="A48" s="1"/>
      <c r="B48" s="7" t="s">
        <v>41</v>
      </c>
      <c r="C48" s="2"/>
      <c r="E48" s="17">
        <f>7.2%</f>
        <v>7.2000000000000008E-2</v>
      </c>
      <c r="F48" s="19">
        <v>7.5999999999999998E-2</v>
      </c>
      <c r="G48" s="21">
        <f>7.9%</f>
        <v>7.9000000000000001E-2</v>
      </c>
    </row>
    <row r="49" spans="1:13" ht="12.3" x14ac:dyDescent="0.4">
      <c r="A49" s="1"/>
      <c r="B49" s="60" t="s">
        <v>19</v>
      </c>
      <c r="C49" s="62"/>
      <c r="D49" s="38"/>
      <c r="E49" s="39">
        <f t="shared" ref="E49:G49" si="7">SUM(E44:E48)</f>
        <v>0.27</v>
      </c>
      <c r="F49" s="39">
        <f t="shared" si="7"/>
        <v>0.29499999999999998</v>
      </c>
      <c r="G49" s="40">
        <f t="shared" si="7"/>
        <v>0.32800000000000001</v>
      </c>
    </row>
    <row r="50" spans="1:13" s="380" customFormat="1" ht="12.3" x14ac:dyDescent="0.4">
      <c r="A50" s="1"/>
      <c r="B50" s="482" t="s">
        <v>370</v>
      </c>
      <c r="C50" s="482"/>
      <c r="D50" s="482"/>
      <c r="E50" s="482"/>
      <c r="F50" s="482"/>
      <c r="G50" s="482"/>
    </row>
    <row r="52" spans="1:13" ht="12.3" x14ac:dyDescent="0.4">
      <c r="A52" s="48"/>
      <c r="B52" s="491" t="s">
        <v>5</v>
      </c>
      <c r="C52" s="492"/>
      <c r="D52" s="492"/>
      <c r="E52" s="492"/>
      <c r="F52" s="492"/>
      <c r="G52" s="493"/>
      <c r="I52" s="497" t="s">
        <v>3</v>
      </c>
      <c r="J52" s="497"/>
      <c r="K52" s="497"/>
      <c r="L52" s="497"/>
    </row>
    <row r="53" spans="1:13" ht="12.3" x14ac:dyDescent="0.4">
      <c r="B53" s="26"/>
      <c r="C53" s="46">
        <v>2012</v>
      </c>
      <c r="D53" s="46">
        <v>2013</v>
      </c>
      <c r="E53" s="46">
        <v>2014</v>
      </c>
      <c r="F53" s="46">
        <v>2015</v>
      </c>
      <c r="G53" s="47">
        <v>2016</v>
      </c>
      <c r="I53" s="457">
        <f t="shared" ref="I53:L53" si="8">D53</f>
        <v>2013</v>
      </c>
      <c r="J53" s="457">
        <f t="shared" si="8"/>
        <v>2014</v>
      </c>
      <c r="K53" s="457">
        <f t="shared" si="8"/>
        <v>2015</v>
      </c>
      <c r="L53" s="457">
        <f t="shared" si="8"/>
        <v>2016</v>
      </c>
      <c r="M53" s="452" t="s">
        <v>366</v>
      </c>
    </row>
    <row r="54" spans="1:13" ht="12.3" x14ac:dyDescent="0.4">
      <c r="A54" s="1"/>
      <c r="B54" s="7" t="s">
        <v>45</v>
      </c>
      <c r="C54" s="49">
        <v>5214170</v>
      </c>
      <c r="D54" s="11">
        <v>5243216</v>
      </c>
      <c r="E54" s="2">
        <f>5276025</f>
        <v>5276025</v>
      </c>
      <c r="F54" s="2">
        <f>5311178</f>
        <v>5311178</v>
      </c>
      <c r="G54" s="14">
        <f>5349691</f>
        <v>5349691</v>
      </c>
      <c r="I54" s="453">
        <f t="shared" ref="I54:L54" si="9">D54/C54-1</f>
        <v>5.5705893747231006E-3</v>
      </c>
      <c r="J54" s="453">
        <f t="shared" si="9"/>
        <v>6.2574191107136468E-3</v>
      </c>
      <c r="K54" s="453">
        <f t="shared" si="9"/>
        <v>6.6627811657451463E-3</v>
      </c>
      <c r="L54" s="453">
        <f t="shared" si="9"/>
        <v>7.2513103496061326E-3</v>
      </c>
      <c r="M54" s="455">
        <f t="shared" ref="M54:M55" si="10">AVERAGE(I54:L54)</f>
        <v>6.4355250001970066E-3</v>
      </c>
    </row>
    <row r="55" spans="1:13" ht="12.3" x14ac:dyDescent="0.4">
      <c r="A55" s="1"/>
      <c r="B55" s="7" t="s">
        <v>47</v>
      </c>
      <c r="C55" s="49">
        <v>86113</v>
      </c>
      <c r="D55" s="11">
        <v>86513</v>
      </c>
      <c r="E55" s="2">
        <f>86303</f>
        <v>86303</v>
      </c>
      <c r="F55" s="2">
        <f>85860</f>
        <v>85860</v>
      </c>
      <c r="G55" s="14">
        <f>83017</f>
        <v>83017</v>
      </c>
      <c r="I55" s="453">
        <f t="shared" ref="I55:L55" si="11">D55/C55-1</f>
        <v>4.6450593986970823E-3</v>
      </c>
      <c r="J55" s="453">
        <f t="shared" si="11"/>
        <v>-2.4273808560563159E-3</v>
      </c>
      <c r="K55" s="453">
        <f t="shared" si="11"/>
        <v>-5.1330776450413396E-3</v>
      </c>
      <c r="L55" s="453">
        <f t="shared" si="11"/>
        <v>-3.3112042860470536E-2</v>
      </c>
      <c r="M55" s="455">
        <f t="shared" si="10"/>
        <v>-9.0068604907177774E-3</v>
      </c>
    </row>
    <row r="56" spans="1:13" ht="12.3" x14ac:dyDescent="0.4">
      <c r="A56" s="1"/>
      <c r="B56" s="7" t="s">
        <v>50</v>
      </c>
      <c r="E56" s="2"/>
      <c r="F56" s="2"/>
      <c r="G56" s="14"/>
      <c r="I56" s="454"/>
      <c r="J56" s="454"/>
      <c r="K56" s="454"/>
      <c r="L56" s="454"/>
      <c r="M56" s="456"/>
    </row>
    <row r="57" spans="1:13" ht="12.3" x14ac:dyDescent="0.4">
      <c r="A57" s="1"/>
      <c r="B57" s="7" t="s">
        <v>20</v>
      </c>
      <c r="C57" s="76">
        <v>4953</v>
      </c>
      <c r="D57" s="78">
        <v>5091</v>
      </c>
      <c r="E57" s="37">
        <f>4784</f>
        <v>4784</v>
      </c>
      <c r="F57" s="37">
        <f>5032</f>
        <v>5032</v>
      </c>
      <c r="G57" s="42">
        <f>5409</f>
        <v>5409</v>
      </c>
      <c r="I57" s="453">
        <f t="shared" ref="I57:L57" si="12">D57/C57-1</f>
        <v>2.7861901877649808E-2</v>
      </c>
      <c r="J57" s="453">
        <f t="shared" si="12"/>
        <v>-6.0302494598310719E-2</v>
      </c>
      <c r="K57" s="453">
        <f t="shared" si="12"/>
        <v>5.183946488294322E-2</v>
      </c>
      <c r="L57" s="453">
        <f t="shared" si="12"/>
        <v>7.4920508744038106E-2</v>
      </c>
      <c r="M57" s="455">
        <f t="shared" ref="M57:M61" si="13">AVERAGE(I57:L57)</f>
        <v>2.3579845226580104E-2</v>
      </c>
    </row>
    <row r="58" spans="1:13" ht="12.3" x14ac:dyDescent="0.4">
      <c r="A58" s="1"/>
      <c r="B58" s="7" t="s">
        <v>23</v>
      </c>
      <c r="C58" s="49">
        <v>4735</v>
      </c>
      <c r="D58" s="11">
        <v>4905</v>
      </c>
      <c r="E58" s="80">
        <f>5141</f>
        <v>5141</v>
      </c>
      <c r="F58" s="80">
        <f>5278</f>
        <v>5278</v>
      </c>
      <c r="G58" s="81">
        <f>5396</f>
        <v>5396</v>
      </c>
      <c r="I58" s="453">
        <f t="shared" ref="I58:L58" si="14">D58/C58-1</f>
        <v>3.5902851108764455E-2</v>
      </c>
      <c r="J58" s="453">
        <f t="shared" si="14"/>
        <v>4.81141692150866E-2</v>
      </c>
      <c r="K58" s="453">
        <f t="shared" si="14"/>
        <v>2.6648511962653165E-2</v>
      </c>
      <c r="L58" s="453">
        <f t="shared" si="14"/>
        <v>2.2356953391436063E-2</v>
      </c>
      <c r="M58" s="455">
        <f t="shared" si="13"/>
        <v>3.3255621419485071E-2</v>
      </c>
    </row>
    <row r="59" spans="1:13" ht="12.3" x14ac:dyDescent="0.4">
      <c r="A59" s="1"/>
      <c r="B59" s="7" t="s">
        <v>25</v>
      </c>
      <c r="C59" s="49">
        <v>1408</v>
      </c>
      <c r="D59" s="11">
        <v>1388</v>
      </c>
      <c r="E59" s="82">
        <f>1543</f>
        <v>1543</v>
      </c>
      <c r="F59" s="80">
        <f>1555</f>
        <v>1555</v>
      </c>
      <c r="G59" s="81">
        <f>1525</f>
        <v>1525</v>
      </c>
      <c r="I59" s="453">
        <f t="shared" ref="I59:L59" si="15">D59/C59-1</f>
        <v>-1.4204545454545414E-2</v>
      </c>
      <c r="J59" s="453">
        <f t="shared" si="15"/>
        <v>0.11167146974063402</v>
      </c>
      <c r="K59" s="453">
        <f t="shared" si="15"/>
        <v>7.7770576798443791E-3</v>
      </c>
      <c r="L59" s="453">
        <f t="shared" si="15"/>
        <v>-1.9292604501607746E-2</v>
      </c>
      <c r="M59" s="455">
        <f t="shared" si="13"/>
        <v>2.148784436608131E-2</v>
      </c>
    </row>
    <row r="60" spans="1:13" ht="12.3" x14ac:dyDescent="0.4">
      <c r="A60" s="1"/>
      <c r="B60" s="7" t="s">
        <v>27</v>
      </c>
      <c r="C60" s="50">
        <v>901</v>
      </c>
      <c r="D60" s="11">
        <v>1021</v>
      </c>
      <c r="E60" s="80">
        <f>1172</f>
        <v>1172</v>
      </c>
      <c r="F60" s="80">
        <f>1233</f>
        <v>1233</v>
      </c>
      <c r="G60" s="81">
        <f>1226</f>
        <v>1226</v>
      </c>
      <c r="I60" s="453">
        <f t="shared" ref="I60:L60" si="16">D60/C60-1</f>
        <v>0.13318534961154271</v>
      </c>
      <c r="J60" s="453">
        <f t="shared" si="16"/>
        <v>0.14789422135161612</v>
      </c>
      <c r="K60" s="453">
        <f t="shared" si="16"/>
        <v>5.2047781569965812E-2</v>
      </c>
      <c r="L60" s="453">
        <f t="shared" si="16"/>
        <v>-5.6772100567721306E-3</v>
      </c>
      <c r="M60" s="455">
        <f t="shared" si="13"/>
        <v>8.1862535619088128E-2</v>
      </c>
    </row>
    <row r="61" spans="1:13" ht="12.3" x14ac:dyDescent="0.4">
      <c r="A61" s="1"/>
      <c r="B61" s="7" t="s">
        <v>29</v>
      </c>
      <c r="C61" s="50">
        <v>79</v>
      </c>
      <c r="D61" s="1">
        <v>75</v>
      </c>
      <c r="E61" s="80">
        <f>79</f>
        <v>79</v>
      </c>
      <c r="F61" s="80">
        <f>83</f>
        <v>83</v>
      </c>
      <c r="G61" s="81">
        <f>80</f>
        <v>80</v>
      </c>
      <c r="I61" s="453">
        <f t="shared" ref="I61:L61" si="17">D61/C61-1</f>
        <v>-5.0632911392405111E-2</v>
      </c>
      <c r="J61" s="453">
        <f t="shared" si="17"/>
        <v>5.3333333333333233E-2</v>
      </c>
      <c r="K61" s="453">
        <f t="shared" si="17"/>
        <v>5.0632911392405111E-2</v>
      </c>
      <c r="L61" s="453">
        <f t="shared" si="17"/>
        <v>-3.6144578313253017E-2</v>
      </c>
      <c r="M61" s="455">
        <f t="shared" si="13"/>
        <v>4.2971887550200538E-3</v>
      </c>
    </row>
    <row r="62" spans="1:13" ht="12.3" x14ac:dyDescent="0.4">
      <c r="A62" s="1"/>
      <c r="B62" s="7" t="s">
        <v>30</v>
      </c>
      <c r="C62" s="92">
        <v>-11</v>
      </c>
      <c r="D62" s="82">
        <v>-128</v>
      </c>
      <c r="E62" s="80">
        <f>-172</f>
        <v>-172</v>
      </c>
      <c r="F62" s="80">
        <f>-84</f>
        <v>-84</v>
      </c>
      <c r="G62" s="81">
        <f>-68</f>
        <v>-68</v>
      </c>
      <c r="I62" s="70"/>
    </row>
    <row r="63" spans="1:13" ht="12.3" x14ac:dyDescent="0.4">
      <c r="A63" s="1"/>
      <c r="B63" s="94" t="s">
        <v>59</v>
      </c>
      <c r="C63" s="96">
        <f t="shared" ref="C63:G63" si="18">SUM(C57:C62)</f>
        <v>12065</v>
      </c>
      <c r="D63" s="96">
        <f t="shared" si="18"/>
        <v>12352</v>
      </c>
      <c r="E63" s="96">
        <f t="shared" si="18"/>
        <v>12547</v>
      </c>
      <c r="F63" s="96">
        <f t="shared" si="18"/>
        <v>13097</v>
      </c>
      <c r="G63" s="97">
        <f t="shared" si="18"/>
        <v>13568</v>
      </c>
    </row>
    <row r="64" spans="1:13" ht="12.3" x14ac:dyDescent="0.4">
      <c r="A64" s="1"/>
      <c r="B64" s="7" t="s">
        <v>62</v>
      </c>
      <c r="C64" s="50">
        <v>-51</v>
      </c>
      <c r="D64" s="1">
        <v>137</v>
      </c>
      <c r="E64" s="80">
        <f>1109</f>
        <v>1109</v>
      </c>
      <c r="F64" s="80">
        <f>560</f>
        <v>560</v>
      </c>
      <c r="G64" s="81">
        <f>297</f>
        <v>297</v>
      </c>
      <c r="I64" s="70"/>
      <c r="J64" s="70"/>
      <c r="K64" s="70"/>
      <c r="L64" s="70"/>
    </row>
    <row r="65" spans="1:13" ht="12.3" x14ac:dyDescent="0.4">
      <c r="A65" s="1"/>
      <c r="B65" s="7" t="s">
        <v>64</v>
      </c>
      <c r="C65" s="37">
        <f t="shared" ref="C65:G65" si="19">SUM(C63:C64)</f>
        <v>12014</v>
      </c>
      <c r="D65" s="37">
        <f t="shared" si="19"/>
        <v>12489</v>
      </c>
      <c r="E65" s="37">
        <f t="shared" si="19"/>
        <v>13656</v>
      </c>
      <c r="F65" s="37">
        <f t="shared" si="19"/>
        <v>13657</v>
      </c>
      <c r="G65" s="42">
        <f t="shared" si="19"/>
        <v>13865</v>
      </c>
    </row>
    <row r="66" spans="1:13" ht="12.3" x14ac:dyDescent="0.4">
      <c r="A66" s="1"/>
      <c r="B66" s="7" t="s">
        <v>65</v>
      </c>
      <c r="E66" s="2"/>
      <c r="F66" s="2"/>
      <c r="G66" s="14"/>
    </row>
    <row r="67" spans="1:13" ht="12.3" x14ac:dyDescent="0.4">
      <c r="A67" s="1"/>
      <c r="B67" s="7" t="s">
        <v>66</v>
      </c>
      <c r="C67" s="49">
        <v>5961</v>
      </c>
      <c r="D67" s="11">
        <v>6752</v>
      </c>
      <c r="E67" s="2">
        <f>6458</f>
        <v>6458</v>
      </c>
      <c r="F67" s="2">
        <f>6294</f>
        <v>6294</v>
      </c>
      <c r="G67" s="14">
        <f>6115</f>
        <v>6115</v>
      </c>
    </row>
    <row r="68" spans="1:13" ht="12.3" x14ac:dyDescent="0.4">
      <c r="A68" s="1"/>
      <c r="B68" s="7" t="s">
        <v>68</v>
      </c>
      <c r="E68" s="100"/>
      <c r="F68" s="100"/>
      <c r="G68" s="101"/>
    </row>
    <row r="69" spans="1:13" ht="12.3" x14ac:dyDescent="0.4">
      <c r="B69" s="26" t="str">
        <f t="shared" ref="B69:B72" si="20">B57</f>
        <v>Residential</v>
      </c>
      <c r="C69" s="103">
        <v>0.15939999999999999</v>
      </c>
      <c r="D69" s="104">
        <v>0.1643</v>
      </c>
      <c r="E69" s="105">
        <f>0.1603</f>
        <v>0.1603</v>
      </c>
      <c r="F69" s="105">
        <f>0.1719</f>
        <v>0.1719</v>
      </c>
      <c r="G69" s="106">
        <f>0.1887</f>
        <v>0.18870000000000001</v>
      </c>
    </row>
    <row r="70" spans="1:13" ht="12.3" x14ac:dyDescent="0.4">
      <c r="B70" s="26" t="str">
        <f t="shared" si="20"/>
        <v>Commercial</v>
      </c>
      <c r="C70" s="50">
        <v>0.1449</v>
      </c>
      <c r="D70" s="1">
        <v>0.14990000000000001</v>
      </c>
      <c r="E70" s="100">
        <f>0.1585</f>
        <v>0.1585</v>
      </c>
      <c r="F70" s="100">
        <f>0.164</f>
        <v>0.16400000000000001</v>
      </c>
      <c r="G70" s="101">
        <f>0.1716</f>
        <v>0.1716</v>
      </c>
    </row>
    <row r="71" spans="1:13" ht="12.3" x14ac:dyDescent="0.4">
      <c r="B71" s="26" t="str">
        <f t="shared" si="20"/>
        <v>Industrial</v>
      </c>
      <c r="C71" s="50">
        <v>0.91700000000000004</v>
      </c>
      <c r="D71" s="1">
        <v>9.2799999999999994E-2</v>
      </c>
      <c r="E71" s="100">
        <f>0.0998</f>
        <v>9.98E-2</v>
      </c>
      <c r="F71" s="100">
        <f>0.0973</f>
        <v>9.7299999999999998E-2</v>
      </c>
      <c r="G71" s="101">
        <f>0.099</f>
        <v>9.9000000000000005E-2</v>
      </c>
    </row>
    <row r="72" spans="1:13" ht="12.3" x14ac:dyDescent="0.4">
      <c r="B72" s="26" t="str">
        <f t="shared" si="20"/>
        <v>Agricultural</v>
      </c>
      <c r="C72" s="50">
        <v>0.14580000000000001</v>
      </c>
      <c r="D72" s="1">
        <v>0.1454</v>
      </c>
      <c r="E72" s="100">
        <f>0.1516</f>
        <v>0.15160000000000001</v>
      </c>
      <c r="F72" s="100">
        <f>0.161</f>
        <v>0.161</v>
      </c>
      <c r="G72" s="101">
        <f>0.1814</f>
        <v>0.18140000000000001</v>
      </c>
    </row>
    <row r="73" spans="1:13" ht="12.3" x14ac:dyDescent="0.4">
      <c r="A73" s="1"/>
      <c r="B73" s="34" t="s">
        <v>71</v>
      </c>
      <c r="C73" s="107">
        <v>4919</v>
      </c>
      <c r="D73" s="108">
        <v>6002</v>
      </c>
      <c r="E73" s="72">
        <f>6339</f>
        <v>6339</v>
      </c>
      <c r="F73" s="72">
        <f>6660</f>
        <v>6660</v>
      </c>
      <c r="G73" s="73">
        <f>7195</f>
        <v>7195</v>
      </c>
    </row>
    <row r="74" spans="1:13" s="380" customFormat="1" ht="12.3" x14ac:dyDescent="0.4">
      <c r="A74" s="1"/>
      <c r="B74" s="482" t="s">
        <v>370</v>
      </c>
      <c r="C74" s="482"/>
      <c r="D74" s="482"/>
      <c r="E74" s="482"/>
      <c r="F74" s="482"/>
      <c r="G74" s="482"/>
    </row>
    <row r="75" spans="1:13" ht="12.3" x14ac:dyDescent="0.4">
      <c r="J75" s="1"/>
    </row>
    <row r="76" spans="1:13" ht="12.3" x14ac:dyDescent="0.4">
      <c r="B76" s="491" t="s">
        <v>77</v>
      </c>
      <c r="C76" s="492"/>
      <c r="D76" s="492"/>
      <c r="E76" s="492"/>
      <c r="F76" s="492"/>
      <c r="G76" s="493"/>
      <c r="I76" s="497" t="s">
        <v>3</v>
      </c>
      <c r="J76" s="497"/>
      <c r="K76" s="497"/>
      <c r="L76" s="497"/>
    </row>
    <row r="77" spans="1:13" ht="12.3" x14ac:dyDescent="0.4">
      <c r="B77" s="26"/>
      <c r="C77" s="46">
        <v>2012</v>
      </c>
      <c r="D77" s="55">
        <f t="shared" ref="D77:G77" si="21">D53</f>
        <v>2013</v>
      </c>
      <c r="E77" s="55">
        <f t="shared" si="21"/>
        <v>2014</v>
      </c>
      <c r="F77" s="55">
        <f t="shared" si="21"/>
        <v>2015</v>
      </c>
      <c r="G77" s="110">
        <f t="shared" si="21"/>
        <v>2016</v>
      </c>
      <c r="I77" s="457">
        <f t="shared" ref="I77:L77" si="22">D53</f>
        <v>2013</v>
      </c>
      <c r="J77" s="457">
        <f t="shared" si="22"/>
        <v>2014</v>
      </c>
      <c r="K77" s="457">
        <f t="shared" si="22"/>
        <v>2015</v>
      </c>
      <c r="L77" s="457">
        <f t="shared" si="22"/>
        <v>2016</v>
      </c>
      <c r="M77" s="452" t="str">
        <f>M53</f>
        <v>Arithmetic Average</v>
      </c>
    </row>
    <row r="78" spans="1:13" ht="12.3" x14ac:dyDescent="0.4">
      <c r="B78" s="26" t="str">
        <f>B54</f>
        <v>Customers (average for the year)</v>
      </c>
      <c r="C78" s="49">
        <v>4353278</v>
      </c>
      <c r="D78" s="49">
        <v>4378797</v>
      </c>
      <c r="E78" s="49">
        <v>4394283</v>
      </c>
      <c r="F78" s="11">
        <v>4415332</v>
      </c>
      <c r="G78" s="113">
        <v>4442379</v>
      </c>
      <c r="I78" s="453">
        <f t="shared" ref="I78:L78" si="23">D78/C78-1</f>
        <v>5.8620193794194364E-3</v>
      </c>
      <c r="J78" s="453">
        <f t="shared" si="23"/>
        <v>3.5365877888378083E-3</v>
      </c>
      <c r="K78" s="453">
        <f t="shared" si="23"/>
        <v>4.7900874841242391E-3</v>
      </c>
      <c r="L78" s="453">
        <f t="shared" si="23"/>
        <v>6.1257001738488359E-3</v>
      </c>
      <c r="M78" s="455">
        <f t="shared" ref="M78:M80" si="24">AVERAGE(I78:L78)</f>
        <v>5.0785987065575799E-3</v>
      </c>
    </row>
    <row r="79" spans="1:13" ht="12.3" x14ac:dyDescent="0.4">
      <c r="B79" s="7" t="s">
        <v>14</v>
      </c>
      <c r="C79" s="49">
        <v>247792</v>
      </c>
      <c r="D79" s="49">
        <v>240414</v>
      </c>
      <c r="E79" s="49">
        <v>202215</v>
      </c>
      <c r="F79" s="11">
        <v>209194</v>
      </c>
      <c r="G79" s="113">
        <v>208260</v>
      </c>
      <c r="I79" s="453">
        <f t="shared" ref="I79:L79" si="25">D79/C79-1</f>
        <v>-2.9774972557628954E-2</v>
      </c>
      <c r="J79" s="453">
        <f t="shared" si="25"/>
        <v>-0.15888841747984728</v>
      </c>
      <c r="K79" s="453">
        <f t="shared" si="25"/>
        <v>3.4512771060504877E-2</v>
      </c>
      <c r="L79" s="453">
        <f t="shared" si="25"/>
        <v>-4.4647552033041382E-3</v>
      </c>
      <c r="M79" s="455">
        <f t="shared" si="24"/>
        <v>-3.9653843545068873E-2</v>
      </c>
    </row>
    <row r="80" spans="1:13" ht="12.3" x14ac:dyDescent="0.4">
      <c r="B80" s="7" t="s">
        <v>85</v>
      </c>
      <c r="C80" s="116">
        <v>2.4500000000000002</v>
      </c>
      <c r="D80" s="116">
        <v>3.29</v>
      </c>
      <c r="E80" s="116">
        <v>4.09</v>
      </c>
      <c r="F80" s="117">
        <v>2.11</v>
      </c>
      <c r="G80" s="118">
        <v>1.83</v>
      </c>
      <c r="I80" s="453">
        <f t="shared" ref="I80:L80" si="26">D80/C80-1</f>
        <v>0.34285714285714275</v>
      </c>
      <c r="J80" s="453">
        <f t="shared" si="26"/>
        <v>0.24316109422492405</v>
      </c>
      <c r="K80" s="453">
        <f t="shared" si="26"/>
        <v>-0.4841075794621027</v>
      </c>
      <c r="L80" s="453">
        <f t="shared" si="26"/>
        <v>-0.13270142180094779</v>
      </c>
      <c r="M80" s="455">
        <f t="shared" si="24"/>
        <v>-7.6976910452459246E-3</v>
      </c>
    </row>
    <row r="81" spans="2:13" ht="12.3" x14ac:dyDescent="0.4">
      <c r="B81" s="7" t="s">
        <v>92</v>
      </c>
      <c r="G81" s="15"/>
      <c r="I81" s="454"/>
      <c r="J81" s="458"/>
      <c r="K81" s="454"/>
      <c r="L81" s="454"/>
      <c r="M81" s="456"/>
    </row>
    <row r="82" spans="2:13" ht="12.3" x14ac:dyDescent="0.4">
      <c r="B82" s="7" t="s">
        <v>20</v>
      </c>
      <c r="C82" s="49">
        <v>185376</v>
      </c>
      <c r="D82" s="49">
        <v>181775</v>
      </c>
      <c r="E82" s="49">
        <v>143514</v>
      </c>
      <c r="F82" s="11">
        <v>144885</v>
      </c>
      <c r="G82" s="113">
        <v>149483</v>
      </c>
      <c r="I82" s="453">
        <f t="shared" ref="I82:L82" si="27">D82/C82-1</f>
        <v>-1.942538408423955E-2</v>
      </c>
      <c r="J82" s="453">
        <f t="shared" si="27"/>
        <v>-0.21048549030394714</v>
      </c>
      <c r="K82" s="453">
        <f t="shared" si="27"/>
        <v>9.5530749613277344E-3</v>
      </c>
      <c r="L82" s="453">
        <f t="shared" si="27"/>
        <v>3.1735514373468554E-2</v>
      </c>
      <c r="M82" s="455">
        <f>(I82+K82+L82)/3</f>
        <v>7.2877350835189132E-3</v>
      </c>
    </row>
    <row r="83" spans="2:13" ht="12.3" x14ac:dyDescent="0.4">
      <c r="B83" s="7" t="s">
        <v>23</v>
      </c>
      <c r="C83" s="49">
        <v>47341</v>
      </c>
      <c r="D83" s="49">
        <v>46668</v>
      </c>
      <c r="E83" s="49">
        <v>42080</v>
      </c>
      <c r="F83" s="11">
        <v>43888</v>
      </c>
      <c r="G83" s="113">
        <v>46507</v>
      </c>
      <c r="I83" s="453">
        <f t="shared" ref="I83:L83" si="28">D83/C83-1</f>
        <v>-1.4216007266428687E-2</v>
      </c>
      <c r="J83" s="453">
        <f t="shared" si="28"/>
        <v>-9.8311476814948118E-2</v>
      </c>
      <c r="K83" s="453">
        <f t="shared" si="28"/>
        <v>4.2965779467680543E-2</v>
      </c>
      <c r="L83" s="453">
        <f t="shared" si="28"/>
        <v>5.9674626321545743E-2</v>
      </c>
      <c r="M83" s="455">
        <f>AVERAGE(I83:L83)</f>
        <v>-2.4717695730376299E-3</v>
      </c>
    </row>
    <row r="84" spans="2:13" ht="12.3" x14ac:dyDescent="0.4">
      <c r="B84" s="94" t="s">
        <v>102</v>
      </c>
      <c r="C84" s="53">
        <f t="shared" ref="C84:G84" si="29">SUM(C82:C83)</f>
        <v>232717</v>
      </c>
      <c r="D84" s="53">
        <f t="shared" si="29"/>
        <v>228443</v>
      </c>
      <c r="E84" s="53">
        <f t="shared" si="29"/>
        <v>185594</v>
      </c>
      <c r="F84" s="53">
        <f t="shared" si="29"/>
        <v>188773</v>
      </c>
      <c r="G84" s="54">
        <f t="shared" si="29"/>
        <v>195990</v>
      </c>
      <c r="I84" s="453"/>
      <c r="J84" s="453"/>
      <c r="K84" s="453"/>
      <c r="L84" s="453"/>
      <c r="M84" s="456"/>
    </row>
    <row r="85" spans="2:13" ht="12.3" x14ac:dyDescent="0.4">
      <c r="B85" s="7" t="s">
        <v>105</v>
      </c>
      <c r="G85" s="15"/>
      <c r="I85" s="454"/>
      <c r="J85" s="458"/>
      <c r="K85" s="454"/>
      <c r="L85" s="454"/>
      <c r="M85" s="456"/>
    </row>
    <row r="86" spans="2:13" ht="12.3" x14ac:dyDescent="0.4">
      <c r="B86" s="7" t="s">
        <v>107</v>
      </c>
      <c r="G86" s="15"/>
      <c r="I86" s="454"/>
      <c r="J86" s="458"/>
      <c r="K86" s="454"/>
      <c r="L86" s="454"/>
      <c r="M86" s="456"/>
    </row>
    <row r="87" spans="2:13" ht="12.3" x14ac:dyDescent="0.4">
      <c r="B87" s="7" t="s">
        <v>20</v>
      </c>
      <c r="C87" s="76">
        <v>1852</v>
      </c>
      <c r="D87" s="76">
        <v>1870</v>
      </c>
      <c r="E87" s="49">
        <v>1683</v>
      </c>
      <c r="F87" s="11">
        <v>1816</v>
      </c>
      <c r="G87" s="113">
        <v>1968</v>
      </c>
      <c r="I87" s="453">
        <f t="shared" ref="I87:L87" si="30">D87/C87-1</f>
        <v>9.7192224622029144E-3</v>
      </c>
      <c r="J87" s="453">
        <f t="shared" si="30"/>
        <v>-9.9999999999999978E-2</v>
      </c>
      <c r="K87" s="453">
        <f t="shared" si="30"/>
        <v>7.9025549613784829E-2</v>
      </c>
      <c r="L87" s="453">
        <f t="shared" si="30"/>
        <v>8.3700440528634346E-2</v>
      </c>
      <c r="M87" s="455">
        <f t="shared" ref="M87:M88" si="31">AVERAGE(I87:L87)</f>
        <v>1.8111303151155528E-2</v>
      </c>
    </row>
    <row r="88" spans="2:13" ht="12.3" x14ac:dyDescent="0.4">
      <c r="B88" s="7" t="s">
        <v>23</v>
      </c>
      <c r="C88" s="50">
        <v>383</v>
      </c>
      <c r="D88" s="50">
        <v>395</v>
      </c>
      <c r="E88" s="50">
        <v>419</v>
      </c>
      <c r="F88" s="1">
        <v>403</v>
      </c>
      <c r="G88" s="43">
        <v>439</v>
      </c>
      <c r="I88" s="453">
        <f t="shared" ref="I88:L88" si="32">D88/C88-1</f>
        <v>3.1331592689294974E-2</v>
      </c>
      <c r="J88" s="453">
        <f t="shared" si="32"/>
        <v>6.0759493670886178E-2</v>
      </c>
      <c r="K88" s="453">
        <f t="shared" si="32"/>
        <v>-3.8186157517899777E-2</v>
      </c>
      <c r="L88" s="453">
        <f t="shared" si="32"/>
        <v>8.9330024813895736E-2</v>
      </c>
      <c r="M88" s="455">
        <f t="shared" si="31"/>
        <v>3.5808738414044278E-2</v>
      </c>
    </row>
    <row r="89" spans="2:13" ht="12.3" x14ac:dyDescent="0.4">
      <c r="B89" s="7" t="s">
        <v>30</v>
      </c>
      <c r="C89" s="50">
        <v>66</v>
      </c>
      <c r="D89" s="50">
        <v>44</v>
      </c>
      <c r="E89" s="50">
        <v>51</v>
      </c>
      <c r="F89" s="1">
        <v>125</v>
      </c>
      <c r="G89" s="43">
        <v>149</v>
      </c>
      <c r="I89" s="453">
        <f t="shared" ref="I89:L89" si="33">D89/C89-1</f>
        <v>-0.33333333333333337</v>
      </c>
      <c r="J89" s="453">
        <f t="shared" si="33"/>
        <v>0.15909090909090917</v>
      </c>
      <c r="K89" s="453">
        <f t="shared" si="33"/>
        <v>1.4509803921568629</v>
      </c>
      <c r="L89" s="453">
        <f t="shared" si="33"/>
        <v>0.19199999999999995</v>
      </c>
      <c r="M89" s="455">
        <f>10%</f>
        <v>0.1</v>
      </c>
    </row>
    <row r="90" spans="2:13" ht="12.3" x14ac:dyDescent="0.4">
      <c r="B90" s="7" t="s">
        <v>111</v>
      </c>
      <c r="C90" s="136">
        <f t="shared" ref="C90:G90" si="34">SUM(C87:C89)</f>
        <v>2301</v>
      </c>
      <c r="D90" s="136">
        <f t="shared" si="34"/>
        <v>2309</v>
      </c>
      <c r="E90" s="53">
        <f t="shared" si="34"/>
        <v>2153</v>
      </c>
      <c r="F90" s="53">
        <f t="shared" si="34"/>
        <v>2344</v>
      </c>
      <c r="G90" s="54">
        <f t="shared" si="34"/>
        <v>2556</v>
      </c>
      <c r="I90" s="454"/>
      <c r="J90" s="458"/>
      <c r="K90" s="454"/>
      <c r="L90" s="454"/>
      <c r="M90" s="456"/>
    </row>
    <row r="91" spans="2:13" ht="12.3" x14ac:dyDescent="0.4">
      <c r="B91" s="7" t="s">
        <v>33</v>
      </c>
      <c r="C91" s="50">
        <v>499</v>
      </c>
      <c r="D91" s="50">
        <v>555</v>
      </c>
      <c r="E91" s="50">
        <v>662</v>
      </c>
      <c r="F91" s="1">
        <v>649</v>
      </c>
      <c r="G91" s="43">
        <v>800</v>
      </c>
      <c r="I91" s="453">
        <f t="shared" ref="I91:L91" si="35">D91/C91-1</f>
        <v>0.11222444889779548</v>
      </c>
      <c r="J91" s="453">
        <f t="shared" si="35"/>
        <v>0.19279279279279282</v>
      </c>
      <c r="K91" s="453">
        <f t="shared" si="35"/>
        <v>-1.963746223564955E-2</v>
      </c>
      <c r="L91" s="453">
        <f t="shared" si="35"/>
        <v>0.23266563944530039</v>
      </c>
      <c r="M91" s="455">
        <f>AVERAGE(I91:L91)</f>
        <v>0.12951135472505979</v>
      </c>
    </row>
    <row r="92" spans="2:13" ht="12.3" x14ac:dyDescent="0.4">
      <c r="B92" s="7" t="s">
        <v>59</v>
      </c>
      <c r="C92" s="37">
        <f>C90+C91</f>
        <v>2800</v>
      </c>
      <c r="D92" s="49">
        <v>2864</v>
      </c>
      <c r="E92" s="49">
        <f t="shared" ref="E92:G92" si="36">SUM(E90:E91)</f>
        <v>2815</v>
      </c>
      <c r="F92" s="49">
        <f t="shared" si="36"/>
        <v>2993</v>
      </c>
      <c r="G92" s="142">
        <f t="shared" si="36"/>
        <v>3356</v>
      </c>
      <c r="J92" s="1"/>
    </row>
    <row r="93" spans="2:13" ht="12.3" x14ac:dyDescent="0.4">
      <c r="B93" s="7" t="s">
        <v>62</v>
      </c>
      <c r="C93" s="50">
        <v>221</v>
      </c>
      <c r="D93" s="50">
        <v>240</v>
      </c>
      <c r="E93" s="50">
        <v>617</v>
      </c>
      <c r="F93" s="1">
        <v>183</v>
      </c>
      <c r="G93" s="43">
        <v>446</v>
      </c>
      <c r="J93" s="1"/>
    </row>
    <row r="94" spans="2:13" ht="12.3" x14ac:dyDescent="0.4">
      <c r="B94" s="7" t="s">
        <v>64</v>
      </c>
      <c r="C94" s="136">
        <f t="shared" ref="C94:G94" si="37">SUM(C92:C93)</f>
        <v>3021</v>
      </c>
      <c r="D94" s="53">
        <f t="shared" si="37"/>
        <v>3104</v>
      </c>
      <c r="E94" s="53">
        <f t="shared" si="37"/>
        <v>3432</v>
      </c>
      <c r="F94" s="53">
        <f t="shared" si="37"/>
        <v>3176</v>
      </c>
      <c r="G94" s="54">
        <f t="shared" si="37"/>
        <v>3802</v>
      </c>
      <c r="J94" s="1"/>
    </row>
    <row r="95" spans="2:13" ht="12.3" x14ac:dyDescent="0.4">
      <c r="B95" s="7" t="s">
        <v>114</v>
      </c>
      <c r="G95" s="15"/>
      <c r="J95" s="1"/>
    </row>
    <row r="96" spans="2:13" ht="12.3" x14ac:dyDescent="0.4">
      <c r="B96" s="7" t="s">
        <v>115</v>
      </c>
      <c r="C96" s="50">
        <v>45</v>
      </c>
      <c r="D96" s="50">
        <v>44</v>
      </c>
      <c r="E96" s="50">
        <v>34</v>
      </c>
      <c r="F96" s="1">
        <v>35</v>
      </c>
      <c r="G96" s="43">
        <v>36</v>
      </c>
      <c r="J96" s="1"/>
    </row>
    <row r="97" spans="1:16" ht="12.3" x14ac:dyDescent="0.4">
      <c r="B97" s="7" t="s">
        <v>116</v>
      </c>
      <c r="G97" s="15"/>
      <c r="J97" s="1"/>
    </row>
    <row r="98" spans="1:16" ht="12.3" x14ac:dyDescent="0.4">
      <c r="B98" s="7" t="s">
        <v>20</v>
      </c>
      <c r="C98" s="116">
        <v>9.99</v>
      </c>
      <c r="D98" s="116">
        <v>10.29</v>
      </c>
      <c r="E98" s="50">
        <v>11.72</v>
      </c>
      <c r="F98" s="1">
        <v>12.53</v>
      </c>
      <c r="G98" s="43">
        <v>13.1</v>
      </c>
      <c r="J98" s="1"/>
    </row>
    <row r="99" spans="1:16" ht="12.3" x14ac:dyDescent="0.4">
      <c r="B99" s="7" t="s">
        <v>23</v>
      </c>
      <c r="C99" s="50">
        <v>8.09</v>
      </c>
      <c r="D99" s="50">
        <v>8.4700000000000006</v>
      </c>
      <c r="E99" s="1">
        <v>9.9600000000000009</v>
      </c>
      <c r="F99" s="1">
        <v>9.18</v>
      </c>
      <c r="G99" s="43">
        <v>9.4499999999999993</v>
      </c>
      <c r="J99" s="1"/>
    </row>
    <row r="100" spans="1:16" ht="12.3" x14ac:dyDescent="0.4">
      <c r="B100" s="34" t="s">
        <v>71</v>
      </c>
      <c r="C100" s="143">
        <v>1696</v>
      </c>
      <c r="D100" s="143">
        <v>2234</v>
      </c>
      <c r="E100" s="107">
        <v>2468</v>
      </c>
      <c r="F100" s="108">
        <v>2573</v>
      </c>
      <c r="G100" s="144">
        <v>2808</v>
      </c>
      <c r="J100" s="1"/>
    </row>
    <row r="101" spans="1:16" s="380" customFormat="1" ht="12.3" x14ac:dyDescent="0.4">
      <c r="B101" s="482" t="s">
        <v>370</v>
      </c>
      <c r="C101" s="482"/>
      <c r="D101" s="482"/>
      <c r="E101" s="482"/>
      <c r="F101" s="482"/>
      <c r="G101" s="482"/>
      <c r="J101" s="1"/>
    </row>
    <row r="102" spans="1:16" ht="12.3" x14ac:dyDescent="0.4">
      <c r="J102" s="1"/>
    </row>
    <row r="103" spans="1:16" ht="12.3" x14ac:dyDescent="0.4">
      <c r="B103" s="488" t="s">
        <v>117</v>
      </c>
      <c r="C103" s="489"/>
      <c r="D103" s="489"/>
      <c r="E103" s="489"/>
      <c r="F103" s="489"/>
      <c r="G103" s="489"/>
      <c r="H103" s="490"/>
      <c r="J103" s="497" t="s">
        <v>367</v>
      </c>
      <c r="K103" s="497"/>
      <c r="L103" s="497"/>
      <c r="M103" s="497"/>
      <c r="N103" s="497"/>
    </row>
    <row r="104" spans="1:16" ht="12.3" x14ac:dyDescent="0.4">
      <c r="A104" s="48"/>
      <c r="B104" s="45"/>
      <c r="C104" s="145" t="s">
        <v>118</v>
      </c>
      <c r="D104" s="145">
        <v>2012</v>
      </c>
      <c r="E104" s="145">
        <v>2013</v>
      </c>
      <c r="F104" s="145">
        <v>2014</v>
      </c>
      <c r="G104" s="145">
        <v>2015</v>
      </c>
      <c r="H104" s="146">
        <v>2016</v>
      </c>
      <c r="J104" s="438">
        <f>2012</f>
        <v>2012</v>
      </c>
      <c r="K104" s="459">
        <v>2013</v>
      </c>
      <c r="L104" s="438">
        <f t="shared" ref="L104:N104" si="38">F104</f>
        <v>2014</v>
      </c>
      <c r="M104" s="438">
        <f t="shared" si="38"/>
        <v>2015</v>
      </c>
      <c r="N104" s="438">
        <f t="shared" si="38"/>
        <v>2016</v>
      </c>
      <c r="O104" s="460" t="str">
        <f>M77</f>
        <v>Arithmetic Average</v>
      </c>
    </row>
    <row r="105" spans="1:16" ht="12.3" x14ac:dyDescent="0.4">
      <c r="A105" s="48"/>
      <c r="B105" s="51" t="s">
        <v>119</v>
      </c>
      <c r="C105" s="3">
        <f>55</f>
        <v>55</v>
      </c>
      <c r="D105" s="11">
        <v>8253</v>
      </c>
      <c r="E105" s="148">
        <v>9116</v>
      </c>
      <c r="F105" s="148">
        <v>9374</v>
      </c>
      <c r="G105" s="149">
        <v>9860</v>
      </c>
      <c r="H105" s="113">
        <v>11308</v>
      </c>
      <c r="J105" s="453">
        <f>D105/$C$176</f>
        <v>0.54873670212765957</v>
      </c>
      <c r="K105" s="453">
        <f>E105/$D$176</f>
        <v>0.58443390178227983</v>
      </c>
      <c r="L105" s="453">
        <f>F105/$E$176</f>
        <v>0.54850789935634869</v>
      </c>
      <c r="M105" s="453">
        <f>G105/$F$176</f>
        <v>0.58575417334996738</v>
      </c>
      <c r="N105" s="453">
        <f>H105/$G$176</f>
        <v>0.64009962640099627</v>
      </c>
      <c r="O105" s="455">
        <f t="shared" ref="O105:O109" si="39">AVERAGE(J105:N105)</f>
        <v>0.58150646060345035</v>
      </c>
      <c r="P105" s="70">
        <f>65%</f>
        <v>0.65</v>
      </c>
    </row>
    <row r="106" spans="1:16" ht="12.3" x14ac:dyDescent="0.4">
      <c r="A106" s="48"/>
      <c r="B106" s="51" t="s">
        <v>122</v>
      </c>
      <c r="C106" s="3">
        <f>35</f>
        <v>35</v>
      </c>
      <c r="D106" s="11">
        <v>23767</v>
      </c>
      <c r="E106" s="148">
        <v>25333</v>
      </c>
      <c r="F106" s="148">
        <v>26633</v>
      </c>
      <c r="G106" s="149">
        <v>28476</v>
      </c>
      <c r="H106" s="113">
        <v>29836</v>
      </c>
      <c r="J106" s="453">
        <f>D106/$C$176</f>
        <v>1.5802526595744681</v>
      </c>
      <c r="K106" s="453">
        <f>E106/$D$176</f>
        <v>1.6241184767277856</v>
      </c>
      <c r="L106" s="453">
        <f>F106/$E$176</f>
        <v>1.5583967232299591</v>
      </c>
      <c r="M106" s="453">
        <f>G106/$F$176</f>
        <v>1.6916770629121369</v>
      </c>
      <c r="N106" s="453">
        <f>H106/$G$176</f>
        <v>1.6888939205253028</v>
      </c>
      <c r="O106" s="455">
        <f t="shared" si="39"/>
        <v>1.6286677685939306</v>
      </c>
      <c r="P106" s="70"/>
    </row>
    <row r="107" spans="1:16" ht="12.3" x14ac:dyDescent="0.4">
      <c r="A107" s="48"/>
      <c r="B107" s="51" t="s">
        <v>123</v>
      </c>
      <c r="C107" s="3">
        <f>45</f>
        <v>45</v>
      </c>
      <c r="D107" s="11">
        <v>7681</v>
      </c>
      <c r="E107" s="148">
        <v>8429</v>
      </c>
      <c r="F107" s="148">
        <v>9155</v>
      </c>
      <c r="G107" s="149">
        <v>10196</v>
      </c>
      <c r="H107" s="113">
        <v>11412</v>
      </c>
      <c r="J107" s="453">
        <f>D107/$C$176</f>
        <v>0.51070478723404256</v>
      </c>
      <c r="K107" s="453">
        <f>E107/$D$176</f>
        <v>0.54038979356327732</v>
      </c>
      <c r="L107" s="453">
        <f>F107/$E$176</f>
        <v>0.53569338794616739</v>
      </c>
      <c r="M107" s="453">
        <f>G107/$F$176</f>
        <v>0.60571496465276542</v>
      </c>
      <c r="N107" s="453">
        <f>H107/$G$176</f>
        <v>0.64598664100532099</v>
      </c>
      <c r="O107" s="455">
        <f t="shared" si="39"/>
        <v>0.56769791488031474</v>
      </c>
      <c r="P107" s="70">
        <f>66%</f>
        <v>0.66</v>
      </c>
    </row>
    <row r="108" spans="1:16" ht="12.3" x14ac:dyDescent="0.4">
      <c r="A108" s="48"/>
      <c r="B108" s="51" t="s">
        <v>125</v>
      </c>
      <c r="C108" s="3">
        <v>35</v>
      </c>
      <c r="D108" s="11">
        <v>8257</v>
      </c>
      <c r="E108" s="148">
        <v>9117</v>
      </c>
      <c r="F108" s="148">
        <v>9741</v>
      </c>
      <c r="G108" s="149">
        <v>10397</v>
      </c>
      <c r="H108" s="113">
        <v>11362</v>
      </c>
      <c r="J108" s="453">
        <f>D108/$C$176</f>
        <v>0.54900265957446803</v>
      </c>
      <c r="K108" s="453">
        <f>E108/$D$176</f>
        <v>0.58449801256571354</v>
      </c>
      <c r="L108" s="453">
        <f>F108/$E$176</f>
        <v>0.56998244587478053</v>
      </c>
      <c r="M108" s="453">
        <f>G108/$F$176</f>
        <v>0.61765579516426072</v>
      </c>
      <c r="N108" s="453">
        <f>H108/$G$176</f>
        <v>0.64315634552247258</v>
      </c>
      <c r="O108" s="455">
        <f t="shared" si="39"/>
        <v>0.59285905174033915</v>
      </c>
      <c r="P108" s="70">
        <f>67%</f>
        <v>0.67</v>
      </c>
    </row>
    <row r="109" spans="1:16" ht="12.3" x14ac:dyDescent="0.4">
      <c r="A109" s="48"/>
      <c r="B109" s="51" t="s">
        <v>126</v>
      </c>
      <c r="C109" s="3">
        <v>37</v>
      </c>
      <c r="D109" s="11">
        <v>4314</v>
      </c>
      <c r="E109" s="148">
        <v>5265</v>
      </c>
      <c r="F109" s="148">
        <v>5937</v>
      </c>
      <c r="G109" s="149">
        <v>6352</v>
      </c>
      <c r="H109" s="113">
        <v>6491</v>
      </c>
      <c r="J109" s="453">
        <f>D109/$C$176</f>
        <v>0.28683510638297871</v>
      </c>
      <c r="K109" s="453">
        <f>E109/$D$176</f>
        <v>0.33754327477881779</v>
      </c>
      <c r="L109" s="453">
        <f>F109/$E$176</f>
        <v>0.34739613809245173</v>
      </c>
      <c r="M109" s="453">
        <f>G109/$F$176</f>
        <v>0.37735400701003979</v>
      </c>
      <c r="N109" s="453">
        <f>H109/$G$176</f>
        <v>0.36742895958338051</v>
      </c>
      <c r="O109" s="455">
        <f t="shared" si="39"/>
        <v>0.34331149716953374</v>
      </c>
      <c r="P109" s="70">
        <f>36%</f>
        <v>0.36</v>
      </c>
    </row>
    <row r="110" spans="1:16" ht="12.3" x14ac:dyDescent="0.4">
      <c r="A110" s="48"/>
      <c r="B110" s="51" t="s">
        <v>127</v>
      </c>
      <c r="C110" s="3">
        <f>25</f>
        <v>25</v>
      </c>
      <c r="D110" s="11">
        <v>1894</v>
      </c>
      <c r="E110" s="148">
        <v>1834</v>
      </c>
      <c r="F110" s="148">
        <v>2220</v>
      </c>
      <c r="G110" s="149">
        <v>2059</v>
      </c>
      <c r="H110" s="113">
        <v>2184</v>
      </c>
      <c r="K110" s="70"/>
      <c r="L110" s="70"/>
      <c r="M110" s="70"/>
      <c r="N110" s="70"/>
    </row>
    <row r="111" spans="1:16" ht="12.3" x14ac:dyDescent="0.4">
      <c r="A111" s="48"/>
      <c r="B111" s="63" t="s">
        <v>129</v>
      </c>
      <c r="C111" s="154"/>
      <c r="D111" s="155">
        <f t="shared" ref="D111:H111" si="40">SUM(D105:D110)</f>
        <v>54166</v>
      </c>
      <c r="E111" s="155">
        <f t="shared" si="40"/>
        <v>59094</v>
      </c>
      <c r="F111" s="155">
        <f t="shared" si="40"/>
        <v>63060</v>
      </c>
      <c r="G111" s="155">
        <f t="shared" si="40"/>
        <v>67340</v>
      </c>
      <c r="H111" s="156">
        <f t="shared" si="40"/>
        <v>72593</v>
      </c>
    </row>
    <row r="112" spans="1:16" s="380" customFormat="1" ht="12.3" x14ac:dyDescent="0.4">
      <c r="A112" s="48"/>
      <c r="B112" s="484" t="s">
        <v>370</v>
      </c>
      <c r="C112" s="484"/>
      <c r="D112" s="484"/>
      <c r="E112" s="484"/>
      <c r="F112" s="484"/>
      <c r="G112" s="484"/>
      <c r="H112" s="484"/>
    </row>
    <row r="113" spans="1:13" ht="12.3" x14ac:dyDescent="0.4">
      <c r="A113" s="48"/>
      <c r="B113" s="48"/>
      <c r="C113" s="48"/>
      <c r="D113" s="48"/>
      <c r="E113" s="48"/>
      <c r="F113" s="48"/>
      <c r="G113" s="48"/>
    </row>
    <row r="114" spans="1:13" ht="12.3" x14ac:dyDescent="0.4">
      <c r="A114" s="48"/>
      <c r="B114" s="491" t="s">
        <v>44</v>
      </c>
      <c r="C114" s="492"/>
      <c r="D114" s="492"/>
      <c r="E114" s="492"/>
      <c r="F114" s="492"/>
      <c r="G114" s="493"/>
      <c r="I114" s="497" t="s">
        <v>3</v>
      </c>
      <c r="J114" s="497"/>
      <c r="K114" s="497"/>
      <c r="L114" s="497"/>
    </row>
    <row r="115" spans="1:13" ht="12.3" x14ac:dyDescent="0.4">
      <c r="A115" s="48"/>
      <c r="B115" s="51" t="s">
        <v>106</v>
      </c>
      <c r="C115" s="145">
        <f>D104</f>
        <v>2012</v>
      </c>
      <c r="D115" s="145">
        <f>E104</f>
        <v>2013</v>
      </c>
      <c r="E115" s="145">
        <f>F104</f>
        <v>2014</v>
      </c>
      <c r="F115" s="145">
        <f>G104</f>
        <v>2015</v>
      </c>
      <c r="G115" s="146">
        <f>H104</f>
        <v>2016</v>
      </c>
      <c r="H115" s="48"/>
      <c r="I115" s="461">
        <v>2013</v>
      </c>
      <c r="J115" s="461">
        <v>2014</v>
      </c>
      <c r="K115" s="461">
        <v>2015</v>
      </c>
      <c r="L115" s="461">
        <v>2016</v>
      </c>
      <c r="M115" s="462" t="str">
        <f>O104</f>
        <v>Arithmetic Average</v>
      </c>
    </row>
    <row r="116" spans="1:13" ht="12.3" x14ac:dyDescent="0.4">
      <c r="A116" s="48"/>
      <c r="B116" s="51" t="s">
        <v>132</v>
      </c>
      <c r="C116" s="160">
        <v>3873</v>
      </c>
      <c r="D116" s="160">
        <v>4696</v>
      </c>
      <c r="E116" s="160">
        <v>5266</v>
      </c>
      <c r="F116" s="160">
        <v>4805</v>
      </c>
      <c r="G116" s="162">
        <v>4510</v>
      </c>
      <c r="I116" s="453">
        <f t="shared" ref="I116:L116" si="41">D116/C116-1</f>
        <v>0.21249677252775623</v>
      </c>
      <c r="J116" s="453">
        <f t="shared" si="41"/>
        <v>0.1213798977853493</v>
      </c>
      <c r="K116" s="453">
        <f t="shared" si="41"/>
        <v>-8.7542726927459125E-2</v>
      </c>
      <c r="L116" s="453">
        <f t="shared" si="41"/>
        <v>-6.1394380853277863E-2</v>
      </c>
      <c r="M116" s="455">
        <f t="shared" ref="M116:M117" si="42">AVERAGE(I116:L116)</f>
        <v>4.6234890633092135E-2</v>
      </c>
    </row>
    <row r="117" spans="1:13" ht="12.3" x14ac:dyDescent="0.4">
      <c r="A117" s="48"/>
      <c r="B117" s="51" t="s">
        <v>136</v>
      </c>
      <c r="C117" s="160">
        <v>289</v>
      </c>
      <c r="D117" s="160">
        <v>320</v>
      </c>
      <c r="E117" s="160">
        <v>349</v>
      </c>
      <c r="F117" s="160">
        <v>294</v>
      </c>
      <c r="G117" s="162">
        <v>255</v>
      </c>
      <c r="I117" s="453">
        <f t="shared" ref="I117:L117" si="43">D117/C117-1</f>
        <v>0.10726643598615926</v>
      </c>
      <c r="J117" s="453">
        <f t="shared" si="43"/>
        <v>9.0624999999999956E-2</v>
      </c>
      <c r="K117" s="453">
        <f t="shared" si="43"/>
        <v>-0.15759312320916907</v>
      </c>
      <c r="L117" s="453">
        <f t="shared" si="43"/>
        <v>-0.13265306122448983</v>
      </c>
      <c r="M117" s="455">
        <f t="shared" si="42"/>
        <v>-2.3088687111874923E-2</v>
      </c>
    </row>
    <row r="118" spans="1:13" ht="12.3" x14ac:dyDescent="0.4">
      <c r="A118" s="48"/>
      <c r="B118" s="51" t="s">
        <v>138</v>
      </c>
      <c r="C118" s="160">
        <f t="shared" ref="C118:G118" si="44">SUM(C116:C117)</f>
        <v>4162</v>
      </c>
      <c r="D118" s="160">
        <f t="shared" si="44"/>
        <v>5016</v>
      </c>
      <c r="E118" s="160">
        <f t="shared" si="44"/>
        <v>5615</v>
      </c>
      <c r="F118" s="160">
        <f t="shared" si="44"/>
        <v>5099</v>
      </c>
      <c r="G118" s="162">
        <f t="shared" si="44"/>
        <v>4765</v>
      </c>
      <c r="I118" s="454"/>
      <c r="J118" s="454"/>
      <c r="K118" s="454"/>
      <c r="L118" s="454"/>
      <c r="M118" s="456"/>
    </row>
    <row r="119" spans="1:13" ht="12.3" x14ac:dyDescent="0.4">
      <c r="A119" s="48"/>
      <c r="B119" s="51" t="s">
        <v>140</v>
      </c>
      <c r="C119" s="167">
        <v>7.9000000000000001E-2</v>
      </c>
      <c r="D119" s="167">
        <v>9.4E-2</v>
      </c>
      <c r="E119" s="167">
        <v>0.10100000000000001</v>
      </c>
      <c r="F119" s="167">
        <v>0.1</v>
      </c>
      <c r="G119" s="169">
        <v>0.109</v>
      </c>
      <c r="I119" s="453">
        <f t="shared" ref="I119:L119" si="45">D119/C119-1</f>
        <v>0.18987341772151889</v>
      </c>
      <c r="J119" s="453">
        <f t="shared" si="45"/>
        <v>7.4468085106383031E-2</v>
      </c>
      <c r="K119" s="453">
        <f t="shared" si="45"/>
        <v>-9.9009900990099098E-3</v>
      </c>
      <c r="L119" s="453">
        <f t="shared" si="45"/>
        <v>8.9999999999999858E-2</v>
      </c>
      <c r="M119" s="456">
        <f>1%</f>
        <v>0.01</v>
      </c>
    </row>
    <row r="120" spans="1:13" ht="12.3" x14ac:dyDescent="0.4">
      <c r="A120" s="48"/>
      <c r="B120" s="63" t="s">
        <v>141</v>
      </c>
      <c r="C120" s="173">
        <f>48933</f>
        <v>48933</v>
      </c>
      <c r="D120" s="173">
        <v>49941</v>
      </c>
      <c r="E120" s="173">
        <v>52008</v>
      </c>
      <c r="F120" s="173">
        <v>48175</v>
      </c>
      <c r="G120" s="175">
        <v>41324</v>
      </c>
      <c r="I120" s="453">
        <f t="shared" ref="I120:L120" si="46">D120/C120-1</f>
        <v>2.0599595365091039E-2</v>
      </c>
      <c r="J120" s="453">
        <f t="shared" si="46"/>
        <v>4.1388838829819141E-2</v>
      </c>
      <c r="K120" s="453">
        <f t="shared" si="46"/>
        <v>-7.3700199969235491E-2</v>
      </c>
      <c r="L120" s="453">
        <f t="shared" si="46"/>
        <v>-0.14221069019200827</v>
      </c>
      <c r="M120" s="455">
        <f>AVERAGE(I120:L120)</f>
        <v>-3.8480613991583396E-2</v>
      </c>
    </row>
    <row r="121" spans="1:13" s="380" customFormat="1" ht="12.3" x14ac:dyDescent="0.4">
      <c r="A121" s="48"/>
      <c r="B121" s="482" t="s">
        <v>370</v>
      </c>
      <c r="C121" s="482"/>
      <c r="D121" s="482"/>
      <c r="E121" s="482"/>
      <c r="F121" s="482"/>
      <c r="G121" s="482"/>
      <c r="I121" s="453"/>
      <c r="J121" s="453"/>
      <c r="K121" s="453"/>
      <c r="L121" s="453"/>
      <c r="M121" s="455"/>
    </row>
    <row r="122" spans="1:13" ht="12.3" x14ac:dyDescent="0.4">
      <c r="A122" s="48"/>
      <c r="B122" s="48"/>
      <c r="C122" s="48"/>
      <c r="D122" s="48"/>
      <c r="E122" s="48"/>
      <c r="F122" s="48"/>
      <c r="G122" s="48"/>
      <c r="I122" s="454"/>
      <c r="J122" s="454"/>
      <c r="K122" s="454"/>
      <c r="L122" s="454"/>
      <c r="M122" s="456"/>
    </row>
    <row r="123" spans="1:13" ht="12.3" x14ac:dyDescent="0.4">
      <c r="A123" s="48"/>
      <c r="B123" s="491" t="s">
        <v>51</v>
      </c>
      <c r="C123" s="492"/>
      <c r="D123" s="492"/>
      <c r="E123" s="492"/>
      <c r="F123" s="492"/>
      <c r="G123" s="493"/>
      <c r="I123" s="454"/>
      <c r="J123" s="454"/>
      <c r="K123" s="454"/>
      <c r="L123" s="454"/>
      <c r="M123" s="456"/>
    </row>
    <row r="124" spans="1:13" ht="12.3" x14ac:dyDescent="0.4">
      <c r="A124" s="48"/>
      <c r="B124" s="51" t="s">
        <v>106</v>
      </c>
      <c r="C124" s="179">
        <f t="shared" ref="C124:G124" si="47">C115</f>
        <v>2012</v>
      </c>
      <c r="D124" s="179">
        <f t="shared" si="47"/>
        <v>2013</v>
      </c>
      <c r="E124" s="179">
        <f t="shared" si="47"/>
        <v>2014</v>
      </c>
      <c r="F124" s="179">
        <f t="shared" si="47"/>
        <v>2015</v>
      </c>
      <c r="G124" s="181">
        <f t="shared" si="47"/>
        <v>2016</v>
      </c>
      <c r="I124" s="454"/>
      <c r="J124" s="454"/>
      <c r="K124" s="454"/>
      <c r="L124" s="454"/>
      <c r="M124" s="456"/>
    </row>
    <row r="125" spans="1:13" ht="12.3" x14ac:dyDescent="0.4">
      <c r="A125" s="48"/>
      <c r="B125" s="51" t="s">
        <v>145</v>
      </c>
      <c r="C125" s="78">
        <v>676</v>
      </c>
      <c r="D125" s="78">
        <v>807</v>
      </c>
      <c r="E125" s="160">
        <v>813</v>
      </c>
      <c r="F125" s="160">
        <v>518</v>
      </c>
      <c r="G125" s="162">
        <v>481</v>
      </c>
      <c r="I125" s="453">
        <f t="shared" ref="I125:L125" si="48">D125/C125-1</f>
        <v>0.19378698224852076</v>
      </c>
      <c r="J125" s="453">
        <f t="shared" si="48"/>
        <v>7.4349442379182396E-3</v>
      </c>
      <c r="K125" s="453">
        <f t="shared" si="48"/>
        <v>-0.36285362853628533</v>
      </c>
      <c r="L125" s="453">
        <f t="shared" si="48"/>
        <v>-7.1428571428571397E-2</v>
      </c>
      <c r="M125" s="455">
        <f t="shared" ref="M125:M126" si="49">AVERAGE(I125:L125)</f>
        <v>-5.8265068369604434E-2</v>
      </c>
    </row>
    <row r="126" spans="1:13" ht="12.3" x14ac:dyDescent="0.4">
      <c r="A126" s="48"/>
      <c r="B126" s="51" t="s">
        <v>148</v>
      </c>
      <c r="C126" s="78">
        <v>185</v>
      </c>
      <c r="D126" s="78">
        <v>161</v>
      </c>
      <c r="E126" s="160">
        <v>141</v>
      </c>
      <c r="F126" s="160">
        <v>145</v>
      </c>
      <c r="G126" s="162">
        <v>134</v>
      </c>
      <c r="I126" s="453">
        <f t="shared" ref="I126:L126" si="50">D126/C126-1</f>
        <v>-0.12972972972972974</v>
      </c>
      <c r="J126" s="453">
        <f t="shared" si="50"/>
        <v>-0.12422360248447206</v>
      </c>
      <c r="K126" s="453">
        <f t="shared" si="50"/>
        <v>2.8368794326241176E-2</v>
      </c>
      <c r="L126" s="453">
        <f t="shared" si="50"/>
        <v>-7.5862068965517282E-2</v>
      </c>
      <c r="M126" s="455">
        <f t="shared" si="49"/>
        <v>-7.5361651713369476E-2</v>
      </c>
    </row>
    <row r="127" spans="1:13" ht="12.3" x14ac:dyDescent="0.4">
      <c r="A127" s="48"/>
      <c r="B127" s="51" t="s">
        <v>150</v>
      </c>
      <c r="C127" s="160">
        <f t="shared" ref="C127:G127" si="51">SUM(C125:C126)</f>
        <v>861</v>
      </c>
      <c r="D127" s="160">
        <f t="shared" si="51"/>
        <v>968</v>
      </c>
      <c r="E127" s="160">
        <f t="shared" si="51"/>
        <v>954</v>
      </c>
      <c r="F127" s="160">
        <f t="shared" si="51"/>
        <v>663</v>
      </c>
      <c r="G127" s="162">
        <f t="shared" si="51"/>
        <v>615</v>
      </c>
      <c r="I127" s="454"/>
      <c r="J127" s="454"/>
      <c r="K127" s="454"/>
      <c r="L127" s="454"/>
      <c r="M127" s="456"/>
    </row>
    <row r="128" spans="1:13" ht="12.3" x14ac:dyDescent="0.4">
      <c r="A128" s="48"/>
      <c r="B128" s="51" t="s">
        <v>151</v>
      </c>
      <c r="C128" s="188">
        <v>2.91</v>
      </c>
      <c r="D128" s="188">
        <v>3.54</v>
      </c>
      <c r="E128" s="190">
        <v>4.37</v>
      </c>
      <c r="F128" s="190">
        <v>2.74</v>
      </c>
      <c r="G128" s="191">
        <v>2.4500000000000002</v>
      </c>
      <c r="I128" s="453">
        <f t="shared" ref="I128:L128" si="52">D128/C128-1</f>
        <v>0.21649484536082464</v>
      </c>
      <c r="J128" s="453">
        <f t="shared" si="52"/>
        <v>0.23446327683615831</v>
      </c>
      <c r="K128" s="453">
        <f t="shared" si="52"/>
        <v>-0.37299771167048057</v>
      </c>
      <c r="L128" s="453">
        <f t="shared" si="52"/>
        <v>-0.1058394160583942</v>
      </c>
      <c r="M128" s="455">
        <f t="shared" ref="M128:M129" si="53">AVERAGE(I128:L128)</f>
        <v>-6.9697513829729552E-3</v>
      </c>
    </row>
    <row r="129" spans="1:13" ht="12.3" x14ac:dyDescent="0.4">
      <c r="A129" s="48"/>
      <c r="B129" s="63" t="s">
        <v>153</v>
      </c>
      <c r="C129" s="193">
        <v>232</v>
      </c>
      <c r="D129" s="193">
        <v>228</v>
      </c>
      <c r="E129" s="195">
        <v>186</v>
      </c>
      <c r="F129" s="195">
        <v>189</v>
      </c>
      <c r="G129" s="196">
        <v>196</v>
      </c>
      <c r="I129" s="453">
        <f t="shared" ref="I129:L129" si="54">D129/C129-1</f>
        <v>-1.7241379310344862E-2</v>
      </c>
      <c r="J129" s="453">
        <f t="shared" si="54"/>
        <v>-0.18421052631578949</v>
      </c>
      <c r="K129" s="453">
        <f t="shared" si="54"/>
        <v>1.6129032258064502E-2</v>
      </c>
      <c r="L129" s="453">
        <f t="shared" si="54"/>
        <v>3.7037037037036979E-2</v>
      </c>
      <c r="M129" s="455">
        <f t="shared" si="53"/>
        <v>-3.7071459082758218E-2</v>
      </c>
    </row>
    <row r="130" spans="1:13" s="380" customFormat="1" ht="12.3" x14ac:dyDescent="0.4">
      <c r="A130" s="48"/>
      <c r="B130" s="482" t="s">
        <v>370</v>
      </c>
      <c r="C130" s="482"/>
      <c r="D130" s="482"/>
      <c r="E130" s="482"/>
      <c r="F130" s="482"/>
      <c r="G130" s="482"/>
      <c r="I130" s="453"/>
      <c r="J130" s="453"/>
      <c r="K130" s="453"/>
      <c r="L130" s="453"/>
      <c r="M130" s="455"/>
    </row>
    <row r="131" spans="1:13" ht="12.3" x14ac:dyDescent="0.4">
      <c r="A131" s="48"/>
      <c r="B131" s="48"/>
      <c r="C131" s="48"/>
      <c r="D131" s="48"/>
      <c r="E131" s="48"/>
      <c r="F131" s="48"/>
      <c r="G131" s="48"/>
      <c r="I131" s="454"/>
      <c r="J131" s="454"/>
      <c r="K131" s="454"/>
      <c r="L131" s="454"/>
      <c r="M131" s="456"/>
    </row>
    <row r="132" spans="1:13" ht="12.3" x14ac:dyDescent="0.4">
      <c r="A132" s="48"/>
      <c r="B132" s="491" t="s">
        <v>157</v>
      </c>
      <c r="C132" s="492"/>
      <c r="D132" s="492"/>
      <c r="E132" s="492"/>
      <c r="F132" s="492"/>
      <c r="G132" s="493"/>
    </row>
    <row r="133" spans="1:13" ht="12.3" x14ac:dyDescent="0.4">
      <c r="A133" s="48"/>
      <c r="B133" s="51" t="s">
        <v>106</v>
      </c>
      <c r="C133" s="48"/>
      <c r="D133" s="48"/>
      <c r="E133" s="179">
        <f t="shared" ref="E133:G133" si="55">E124</f>
        <v>2014</v>
      </c>
      <c r="F133" s="179">
        <f t="shared" si="55"/>
        <v>2015</v>
      </c>
      <c r="G133" s="181">
        <f t="shared" si="55"/>
        <v>2016</v>
      </c>
    </row>
    <row r="134" spans="1:13" ht="12.3" x14ac:dyDescent="0.4">
      <c r="A134" s="48"/>
      <c r="B134" s="51" t="s">
        <v>159</v>
      </c>
      <c r="C134" s="48"/>
      <c r="D134" s="48"/>
      <c r="E134" s="202" t="s">
        <v>160</v>
      </c>
      <c r="F134" s="202" t="s">
        <v>160</v>
      </c>
      <c r="G134" s="203" t="s">
        <v>160</v>
      </c>
    </row>
    <row r="135" spans="1:13" ht="12.3" x14ac:dyDescent="0.4">
      <c r="A135" s="48"/>
      <c r="B135" s="51" t="s">
        <v>162</v>
      </c>
      <c r="C135" s="48"/>
      <c r="D135" s="48"/>
      <c r="E135" s="48"/>
      <c r="F135" s="48"/>
      <c r="G135" s="204"/>
    </row>
    <row r="136" spans="1:13" ht="12.3" x14ac:dyDescent="0.4">
      <c r="A136" s="48"/>
      <c r="B136" s="51" t="s">
        <v>163</v>
      </c>
      <c r="C136" s="48"/>
      <c r="D136" s="48"/>
      <c r="E136" s="202">
        <v>1.6</v>
      </c>
      <c r="F136" s="202">
        <v>-4.8</v>
      </c>
      <c r="G136" s="203">
        <v>-2.2000000000000002</v>
      </c>
    </row>
    <row r="137" spans="1:13" ht="12.3" x14ac:dyDescent="0.4">
      <c r="A137" s="48"/>
      <c r="B137" s="51" t="s">
        <v>164</v>
      </c>
      <c r="C137" s="48"/>
      <c r="D137" s="48"/>
      <c r="E137" s="202">
        <v>-14.7</v>
      </c>
      <c r="F137" s="202">
        <v>-33.700000000000003</v>
      </c>
      <c r="G137" s="203">
        <v>-23.4</v>
      </c>
    </row>
    <row r="138" spans="1:13" ht="12.3" x14ac:dyDescent="0.4">
      <c r="A138" s="48"/>
      <c r="B138" s="51" t="s">
        <v>165</v>
      </c>
      <c r="C138" s="48"/>
      <c r="D138" s="48"/>
      <c r="E138" s="202">
        <v>-0.8</v>
      </c>
      <c r="F138" s="202">
        <v>-1.3</v>
      </c>
      <c r="G138" s="203">
        <v>-0.8</v>
      </c>
    </row>
    <row r="139" spans="1:13" ht="12.3" x14ac:dyDescent="0.4">
      <c r="A139" s="48"/>
      <c r="B139" s="51" t="s">
        <v>166</v>
      </c>
      <c r="C139" s="48"/>
      <c r="D139" s="48"/>
      <c r="E139" s="202">
        <v>-0.8</v>
      </c>
      <c r="F139" s="202">
        <v>-1.5</v>
      </c>
      <c r="G139" s="203">
        <v>-1.1000000000000001</v>
      </c>
    </row>
    <row r="140" spans="1:13" ht="12.3" x14ac:dyDescent="0.4">
      <c r="A140" s="48"/>
      <c r="B140" s="51" t="s">
        <v>167</v>
      </c>
      <c r="C140" s="48"/>
      <c r="D140" s="48"/>
      <c r="E140" s="202">
        <v>0.3</v>
      </c>
      <c r="F140" s="202">
        <v>4.3</v>
      </c>
      <c r="G140" s="203">
        <v>0.8</v>
      </c>
    </row>
    <row r="141" spans="1:13" ht="12.3" x14ac:dyDescent="0.4">
      <c r="A141" s="48"/>
      <c r="B141" s="51" t="s">
        <v>168</v>
      </c>
      <c r="C141" s="48"/>
      <c r="D141" s="48"/>
      <c r="E141" s="202">
        <v>0.4</v>
      </c>
      <c r="F141" s="202">
        <v>-0.2</v>
      </c>
      <c r="G141" s="203">
        <v>-3.5</v>
      </c>
    </row>
    <row r="142" spans="1:13" ht="12.3" x14ac:dyDescent="0.4">
      <c r="A142" s="48"/>
      <c r="B142" s="205" t="s">
        <v>169</v>
      </c>
      <c r="C142" s="206"/>
      <c r="D142" s="206"/>
      <c r="E142" s="18" t="s">
        <v>170</v>
      </c>
      <c r="F142" s="207">
        <v>-2.1999999999999999E-2</v>
      </c>
      <c r="G142" s="23" t="s">
        <v>171</v>
      </c>
    </row>
    <row r="143" spans="1:13" s="380" customFormat="1" ht="12.3" x14ac:dyDescent="0.4">
      <c r="A143" s="48"/>
      <c r="B143" s="482" t="s">
        <v>370</v>
      </c>
      <c r="C143" s="482"/>
      <c r="D143" s="482"/>
      <c r="E143" s="482"/>
      <c r="F143" s="482"/>
      <c r="G143" s="482"/>
    </row>
    <row r="144" spans="1:13" ht="12.3" x14ac:dyDescent="0.4">
      <c r="A144" s="48"/>
      <c r="B144" s="48"/>
      <c r="C144" s="48"/>
      <c r="D144" s="48"/>
      <c r="E144" s="48"/>
      <c r="F144" s="48"/>
      <c r="G144" s="48"/>
    </row>
    <row r="145" spans="1:14" ht="12.3" x14ac:dyDescent="0.4">
      <c r="A145" s="48"/>
      <c r="B145" s="488" t="s">
        <v>172</v>
      </c>
      <c r="C145" s="489"/>
      <c r="D145" s="489"/>
      <c r="E145" s="489"/>
      <c r="F145" s="489"/>
      <c r="G145" s="490"/>
    </row>
    <row r="146" spans="1:14" ht="12.3" x14ac:dyDescent="0.4">
      <c r="A146" s="48"/>
      <c r="B146" s="51" t="s">
        <v>106</v>
      </c>
      <c r="C146" s="145">
        <v>2012</v>
      </c>
      <c r="D146" s="145">
        <v>2013</v>
      </c>
      <c r="E146" s="145">
        <v>2014</v>
      </c>
      <c r="F146" s="145">
        <v>2015</v>
      </c>
      <c r="G146" s="146">
        <v>2016</v>
      </c>
      <c r="I146" s="497" t="s">
        <v>368</v>
      </c>
      <c r="J146" s="497"/>
      <c r="K146" s="497"/>
      <c r="L146" s="497"/>
      <c r="M146" s="497"/>
    </row>
    <row r="147" spans="1:14" ht="12.3" x14ac:dyDescent="0.4">
      <c r="A147" s="48"/>
      <c r="B147" s="51" t="s">
        <v>173</v>
      </c>
      <c r="C147" s="48"/>
      <c r="D147" s="48"/>
      <c r="E147" s="48"/>
      <c r="F147" s="48"/>
      <c r="G147" s="204"/>
      <c r="I147" s="438">
        <f>J104</f>
        <v>2012</v>
      </c>
      <c r="J147" s="438">
        <f t="shared" ref="J147:N147" si="56">K104</f>
        <v>2013</v>
      </c>
      <c r="K147" s="438">
        <f t="shared" si="56"/>
        <v>2014</v>
      </c>
      <c r="L147" s="438">
        <f t="shared" si="56"/>
        <v>2015</v>
      </c>
      <c r="M147" s="438">
        <f t="shared" si="56"/>
        <v>2016</v>
      </c>
      <c r="N147" s="460" t="str">
        <f t="shared" si="56"/>
        <v>Arithmetic Average</v>
      </c>
    </row>
    <row r="148" spans="1:14" ht="12.3" x14ac:dyDescent="0.4">
      <c r="A148" s="48"/>
      <c r="B148" s="51" t="s">
        <v>174</v>
      </c>
      <c r="C148" s="208">
        <v>-74</v>
      </c>
      <c r="D148" s="208">
        <v>-218</v>
      </c>
      <c r="E148" s="208">
        <v>-84</v>
      </c>
      <c r="F148" s="208">
        <v>-89</v>
      </c>
      <c r="G148" s="209">
        <v>-105</v>
      </c>
      <c r="I148" s="453">
        <f>C148/$C$187</f>
        <v>-6.9353327085285854E-2</v>
      </c>
      <c r="J148" s="453">
        <f>D148/$D$187</f>
        <v>-0.1989051094890511</v>
      </c>
      <c r="K148" s="453">
        <f>E148/$E$187</f>
        <v>-4.6796657381615599E-2</v>
      </c>
      <c r="L148" s="453">
        <f>F148/$F$187</f>
        <v>-0.10336817653890824</v>
      </c>
      <c r="M148" s="453">
        <f>G148/$G$187</f>
        <v>-7.1819425444596449E-2</v>
      </c>
      <c r="N148" s="455">
        <f t="shared" ref="N148:N149" si="57">AVERAGE(I148:M148)</f>
        <v>-9.8048539187891443E-2</v>
      </c>
    </row>
    <row r="149" spans="1:14" ht="12.3" x14ac:dyDescent="0.4">
      <c r="A149" s="48"/>
      <c r="B149" s="51" t="s">
        <v>176</v>
      </c>
      <c r="C149" s="208">
        <v>33</v>
      </c>
      <c r="D149" s="208">
        <v>-26</v>
      </c>
      <c r="E149" s="208">
        <v>-41</v>
      </c>
      <c r="F149" s="208">
        <v>11</v>
      </c>
      <c r="G149" s="209">
        <v>-70</v>
      </c>
      <c r="I149" s="453">
        <f>C149/$C$187</f>
        <v>3.0927835051546393E-2</v>
      </c>
      <c r="J149" s="453">
        <f>D149/$D$187</f>
        <v>-2.3722627737226276E-2</v>
      </c>
      <c r="K149" s="453">
        <f>E149/$E$187</f>
        <v>-2.2841225626740947E-2</v>
      </c>
      <c r="L149" s="453">
        <f>F149/$F$187</f>
        <v>1.2775842044134728E-2</v>
      </c>
      <c r="M149" s="453">
        <f>G149/$G$187</f>
        <v>-4.7879616963064295E-2</v>
      </c>
      <c r="N149" s="455">
        <f t="shared" si="57"/>
        <v>-1.0147958646270079E-2</v>
      </c>
    </row>
    <row r="150" spans="1:14" ht="12.3" x14ac:dyDescent="0.4">
      <c r="A150" s="48"/>
      <c r="B150" s="51" t="s">
        <v>177</v>
      </c>
      <c r="C150" s="208"/>
      <c r="D150" s="208"/>
      <c r="E150" s="208"/>
      <c r="F150" s="208"/>
      <c r="G150" s="209"/>
      <c r="I150" s="453"/>
      <c r="J150" s="453"/>
      <c r="K150" s="453"/>
      <c r="L150" s="453"/>
      <c r="M150" s="453"/>
      <c r="N150" s="456"/>
    </row>
    <row r="151" spans="1:14" ht="12.3" x14ac:dyDescent="0.4">
      <c r="A151" s="48"/>
      <c r="B151" s="51" t="s">
        <v>174</v>
      </c>
      <c r="C151" s="208">
        <v>374</v>
      </c>
      <c r="D151" s="208">
        <v>552</v>
      </c>
      <c r="E151" s="208">
        <v>396</v>
      </c>
      <c r="F151" s="208">
        <v>131</v>
      </c>
      <c r="G151" s="209">
        <v>218</v>
      </c>
      <c r="I151" s="453">
        <f>C151/$C$187</f>
        <v>0.35051546391752575</v>
      </c>
      <c r="J151" s="453">
        <f>D151/$D$187</f>
        <v>0.5036496350364964</v>
      </c>
      <c r="K151" s="453">
        <f>E151/$E$187</f>
        <v>0.22061281337047353</v>
      </c>
      <c r="L151" s="453">
        <f>F151/$F$187</f>
        <v>0.15214866434378629</v>
      </c>
      <c r="M151" s="453">
        <f>G151/$G$187</f>
        <v>0.1491108071135431</v>
      </c>
      <c r="N151" s="455">
        <f t="shared" ref="N151:N152" si="58">AVERAGE(I151:M151)</f>
        <v>0.27520747675636503</v>
      </c>
    </row>
    <row r="152" spans="1:14" ht="12.3" x14ac:dyDescent="0.4">
      <c r="A152" s="48"/>
      <c r="B152" s="51" t="s">
        <v>176</v>
      </c>
      <c r="C152" s="208">
        <v>-92</v>
      </c>
      <c r="D152" s="208">
        <v>-35</v>
      </c>
      <c r="E152" s="208">
        <v>78</v>
      </c>
      <c r="F152" s="208">
        <v>-76</v>
      </c>
      <c r="G152" s="209">
        <v>16</v>
      </c>
      <c r="I152" s="453">
        <f>C152/$C$187</f>
        <v>-8.6223055295220244E-2</v>
      </c>
      <c r="J152" s="453">
        <f>D152/$D$187</f>
        <v>-3.1934306569343068E-2</v>
      </c>
      <c r="K152" s="453">
        <f>E152/$E$187</f>
        <v>4.3454038997214485E-2</v>
      </c>
      <c r="L152" s="453">
        <f>F152/$F$187</f>
        <v>-8.8269454123112656E-2</v>
      </c>
      <c r="M152" s="453">
        <f>G152/$G$187</f>
        <v>1.094391244870041E-2</v>
      </c>
      <c r="N152" s="455">
        <f t="shared" si="58"/>
        <v>-3.0405772908352214E-2</v>
      </c>
    </row>
    <row r="153" spans="1:14" ht="12.3" x14ac:dyDescent="0.4">
      <c r="A153" s="48"/>
      <c r="B153" s="51" t="s">
        <v>165</v>
      </c>
      <c r="C153" s="208">
        <v>-4</v>
      </c>
      <c r="D153" s="208">
        <v>-5</v>
      </c>
      <c r="E153" s="208">
        <v>-4</v>
      </c>
      <c r="F153" s="208">
        <v>-4</v>
      </c>
      <c r="G153" s="209">
        <v>-4</v>
      </c>
      <c r="H153" s="70"/>
      <c r="I153" s="70"/>
      <c r="J153" s="70"/>
      <c r="K153" s="70"/>
      <c r="L153" s="70"/>
    </row>
    <row r="154" spans="1:14" ht="12.3" x14ac:dyDescent="0.4">
      <c r="A154" s="48"/>
      <c r="B154" s="215" t="s">
        <v>178</v>
      </c>
      <c r="C154" s="216">
        <f t="shared" ref="C154:G154" si="59">SUM(C148:C153)</f>
        <v>237</v>
      </c>
      <c r="D154" s="216">
        <f t="shared" si="59"/>
        <v>268</v>
      </c>
      <c r="E154" s="216">
        <f t="shared" si="59"/>
        <v>345</v>
      </c>
      <c r="F154" s="216">
        <f t="shared" si="59"/>
        <v>-27</v>
      </c>
      <c r="G154" s="217">
        <f t="shared" si="59"/>
        <v>55</v>
      </c>
    </row>
    <row r="155" spans="1:14" s="380" customFormat="1" ht="12.3" x14ac:dyDescent="0.4">
      <c r="A155" s="48"/>
      <c r="B155" s="482" t="s">
        <v>370</v>
      </c>
      <c r="C155" s="482"/>
      <c r="D155" s="482"/>
      <c r="E155" s="482"/>
      <c r="F155" s="482"/>
      <c r="G155" s="482"/>
    </row>
    <row r="156" spans="1:14" ht="12.3" x14ac:dyDescent="0.4">
      <c r="A156" s="48"/>
      <c r="B156" s="48"/>
      <c r="C156" s="48"/>
      <c r="D156" s="48"/>
      <c r="E156" s="48"/>
      <c r="F156" s="48"/>
      <c r="G156" s="48"/>
    </row>
    <row r="157" spans="1:14" ht="12.3" x14ac:dyDescent="0.4">
      <c r="A157" s="48"/>
      <c r="B157" s="488" t="s">
        <v>179</v>
      </c>
      <c r="C157" s="489"/>
      <c r="D157" s="489"/>
      <c r="E157" s="489"/>
      <c r="F157" s="489"/>
      <c r="G157" s="490"/>
    </row>
    <row r="158" spans="1:14" ht="12.3" x14ac:dyDescent="0.4">
      <c r="A158" s="48"/>
      <c r="B158" s="51" t="s">
        <v>106</v>
      </c>
      <c r="C158" s="145">
        <f t="shared" ref="C158:G158" si="60">C146</f>
        <v>2012</v>
      </c>
      <c r="D158" s="145">
        <f t="shared" si="60"/>
        <v>2013</v>
      </c>
      <c r="E158" s="145">
        <f t="shared" si="60"/>
        <v>2014</v>
      </c>
      <c r="F158" s="145">
        <f t="shared" si="60"/>
        <v>2015</v>
      </c>
      <c r="G158" s="146">
        <f t="shared" si="60"/>
        <v>2016</v>
      </c>
    </row>
    <row r="159" spans="1:14" ht="12.3" x14ac:dyDescent="0.4">
      <c r="A159" s="48"/>
      <c r="B159" s="51" t="s">
        <v>180</v>
      </c>
      <c r="C159" s="1">
        <v>938</v>
      </c>
      <c r="D159" s="50">
        <v>890</v>
      </c>
      <c r="E159" s="49">
        <v>1177</v>
      </c>
      <c r="F159" s="11">
        <v>1703</v>
      </c>
      <c r="G159" s="218">
        <v>1851</v>
      </c>
      <c r="I159" s="70"/>
      <c r="J159" s="70"/>
      <c r="K159" s="70"/>
      <c r="L159" s="70"/>
    </row>
    <row r="160" spans="1:14" ht="12.3" x14ac:dyDescent="0.4">
      <c r="A160" s="48"/>
      <c r="B160" s="51" t="s">
        <v>30</v>
      </c>
      <c r="C160" s="202">
        <f>230+34+229+97+175+101</f>
        <v>866</v>
      </c>
      <c r="D160" s="202">
        <f>90+161+152+167+108+135</f>
        <v>813</v>
      </c>
      <c r="E160" s="202">
        <f>88+137+111+107+56+74</f>
        <v>573</v>
      </c>
      <c r="F160" s="1">
        <v>757</v>
      </c>
      <c r="G160" s="203">
        <v>463</v>
      </c>
      <c r="I160" s="70"/>
      <c r="J160" s="70"/>
      <c r="K160" s="70"/>
      <c r="L160" s="70"/>
    </row>
    <row r="161" spans="1:13" ht="12.3" x14ac:dyDescent="0.4">
      <c r="A161" s="48"/>
      <c r="B161" s="51" t="s">
        <v>181</v>
      </c>
      <c r="C161" s="220">
        <f t="shared" ref="C161:G161" si="61">SUM(C159:C160)</f>
        <v>1804</v>
      </c>
      <c r="D161" s="220">
        <f t="shared" si="61"/>
        <v>1703</v>
      </c>
      <c r="E161" s="221">
        <f t="shared" si="61"/>
        <v>1750</v>
      </c>
      <c r="F161" s="221">
        <f t="shared" si="61"/>
        <v>2460</v>
      </c>
      <c r="G161" s="222">
        <f t="shared" si="61"/>
        <v>2314</v>
      </c>
    </row>
    <row r="162" spans="1:13" ht="12.3" x14ac:dyDescent="0.4">
      <c r="A162" s="48"/>
      <c r="B162" s="51" t="s">
        <v>183</v>
      </c>
      <c r="C162" s="202"/>
      <c r="D162" s="48"/>
      <c r="E162" s="48"/>
      <c r="F162" s="48"/>
      <c r="G162" s="203"/>
    </row>
    <row r="163" spans="1:13" ht="12.3" x14ac:dyDescent="0.4">
      <c r="A163" s="48"/>
      <c r="B163" s="51" t="s">
        <v>184</v>
      </c>
      <c r="C163" s="149">
        <v>7449</v>
      </c>
      <c r="D163" s="148">
        <v>8048</v>
      </c>
      <c r="E163" s="148">
        <v>8683</v>
      </c>
      <c r="F163" s="11">
        <v>9656</v>
      </c>
      <c r="G163" s="218">
        <v>10429</v>
      </c>
    </row>
    <row r="164" spans="1:13" ht="12.3" x14ac:dyDescent="0.4">
      <c r="A164" s="48"/>
      <c r="B164" s="51" t="s">
        <v>185</v>
      </c>
      <c r="C164" s="202">
        <f>663</f>
        <v>663</v>
      </c>
      <c r="D164" s="223">
        <f>748</f>
        <v>748</v>
      </c>
      <c r="E164" s="223">
        <f>974</f>
        <v>974</v>
      </c>
      <c r="F164" s="11">
        <v>1244</v>
      </c>
      <c r="G164" s="218">
        <v>1572</v>
      </c>
    </row>
    <row r="165" spans="1:13" ht="12.3" x14ac:dyDescent="0.4">
      <c r="A165" s="48"/>
      <c r="B165" s="51" t="s">
        <v>30</v>
      </c>
      <c r="C165" s="202">
        <f>173+256</f>
        <v>429</v>
      </c>
      <c r="D165" s="202">
        <f>151+261</f>
        <v>412</v>
      </c>
      <c r="E165" s="202">
        <f>512+88</f>
        <v>600</v>
      </c>
      <c r="F165" s="1">
        <v>766</v>
      </c>
      <c r="G165" s="203">
        <v>526</v>
      </c>
      <c r="I165" s="497" t="s">
        <v>3</v>
      </c>
      <c r="J165" s="497"/>
      <c r="K165" s="497"/>
      <c r="L165" s="497"/>
    </row>
    <row r="166" spans="1:13" ht="12.3" x14ac:dyDescent="0.4">
      <c r="A166" s="48"/>
      <c r="B166" s="51" t="s">
        <v>186</v>
      </c>
      <c r="C166" s="221">
        <f t="shared" ref="C166:G166" si="62">SUM(C163:C165)</f>
        <v>8541</v>
      </c>
      <c r="D166" s="221">
        <f t="shared" si="62"/>
        <v>9208</v>
      </c>
      <c r="E166" s="221">
        <f t="shared" si="62"/>
        <v>10257</v>
      </c>
      <c r="F166" s="221">
        <f t="shared" si="62"/>
        <v>11666</v>
      </c>
      <c r="G166" s="222">
        <f t="shared" si="62"/>
        <v>12527</v>
      </c>
      <c r="I166" s="463">
        <f>J147</f>
        <v>2013</v>
      </c>
      <c r="J166" s="463">
        <f t="shared" ref="J166:M166" si="63">K147</f>
        <v>2014</v>
      </c>
      <c r="K166" s="463">
        <f t="shared" si="63"/>
        <v>2015</v>
      </c>
      <c r="L166" s="463">
        <f t="shared" si="63"/>
        <v>2016</v>
      </c>
      <c r="M166" s="464" t="str">
        <f t="shared" si="63"/>
        <v>Arithmetic Average</v>
      </c>
    </row>
    <row r="167" spans="1:13" ht="12.3" x14ac:dyDescent="0.4">
      <c r="A167" s="48"/>
      <c r="B167" s="63" t="s">
        <v>187</v>
      </c>
      <c r="C167" s="173">
        <f t="shared" ref="C167:G167" si="64">C166-C161</f>
        <v>6737</v>
      </c>
      <c r="D167" s="173">
        <f t="shared" si="64"/>
        <v>7505</v>
      </c>
      <c r="E167" s="173">
        <f t="shared" si="64"/>
        <v>8507</v>
      </c>
      <c r="F167" s="173">
        <f t="shared" si="64"/>
        <v>9206</v>
      </c>
      <c r="G167" s="175">
        <f t="shared" si="64"/>
        <v>10213</v>
      </c>
      <c r="I167" s="453">
        <f t="shared" ref="I167:L167" si="65">D167/C167-1</f>
        <v>0.11399732818762054</v>
      </c>
      <c r="J167" s="453">
        <f t="shared" si="65"/>
        <v>0.13351099267155231</v>
      </c>
      <c r="K167" s="453">
        <f t="shared" si="65"/>
        <v>8.2167626660397231E-2</v>
      </c>
      <c r="L167" s="453">
        <f t="shared" si="65"/>
        <v>0.10938518357592875</v>
      </c>
      <c r="M167" s="455">
        <f>AVERAGE(I167:L167)</f>
        <v>0.10976528277387471</v>
      </c>
    </row>
    <row r="168" spans="1:13" ht="12.3" x14ac:dyDescent="0.4">
      <c r="A168" s="48"/>
      <c r="B168" s="482" t="s">
        <v>370</v>
      </c>
      <c r="C168" s="482"/>
      <c r="D168" s="482"/>
      <c r="E168" s="482"/>
      <c r="F168" s="482"/>
      <c r="G168" s="482"/>
    </row>
    <row r="169" spans="1:13" s="380" customFormat="1" ht="12.3" x14ac:dyDescent="0.4">
      <c r="A169" s="48"/>
      <c r="B169" s="470"/>
      <c r="C169" s="470"/>
      <c r="D169" s="470"/>
      <c r="E169" s="470"/>
      <c r="F169" s="470"/>
      <c r="G169" s="470"/>
    </row>
    <row r="170" spans="1:13" ht="12.3" x14ac:dyDescent="0.4">
      <c r="A170" s="48"/>
      <c r="B170" s="488" t="s">
        <v>188</v>
      </c>
      <c r="C170" s="489"/>
      <c r="D170" s="489"/>
      <c r="E170" s="489"/>
      <c r="F170" s="489"/>
      <c r="G170" s="490"/>
    </row>
    <row r="171" spans="1:13" ht="12.3" x14ac:dyDescent="0.4">
      <c r="A171" s="3"/>
      <c r="B171" s="499" t="s">
        <v>189</v>
      </c>
      <c r="C171" s="492"/>
      <c r="D171" s="492"/>
      <c r="E171" s="492"/>
      <c r="F171" s="492"/>
      <c r="G171" s="493"/>
    </row>
    <row r="172" spans="1:13" ht="12.3" x14ac:dyDescent="0.4">
      <c r="B172" s="26"/>
      <c r="C172" s="55">
        <f t="shared" ref="C172:G172" si="66">C53</f>
        <v>2012</v>
      </c>
      <c r="D172" s="55">
        <f t="shared" si="66"/>
        <v>2013</v>
      </c>
      <c r="E172" s="55">
        <f t="shared" si="66"/>
        <v>2014</v>
      </c>
      <c r="F172" s="55">
        <f t="shared" si="66"/>
        <v>2015</v>
      </c>
      <c r="G172" s="110">
        <f t="shared" si="66"/>
        <v>2016</v>
      </c>
      <c r="H172" s="1"/>
    </row>
    <row r="173" spans="1:13" ht="12.3" x14ac:dyDescent="0.4">
      <c r="A173" s="89"/>
      <c r="B173" s="99" t="s">
        <v>190</v>
      </c>
      <c r="G173" s="15"/>
    </row>
    <row r="174" spans="1:13" ht="12.3" x14ac:dyDescent="0.4">
      <c r="A174" s="89"/>
      <c r="B174" s="99" t="s">
        <v>191</v>
      </c>
      <c r="C174" s="225">
        <v>12019</v>
      </c>
      <c r="D174" s="78">
        <v>12494</v>
      </c>
      <c r="E174" s="226">
        <v>13658</v>
      </c>
      <c r="F174" s="226">
        <v>13657</v>
      </c>
      <c r="G174" s="227">
        <v>13864</v>
      </c>
    </row>
    <row r="175" spans="1:13" ht="12.3" x14ac:dyDescent="0.4">
      <c r="A175" s="89"/>
      <c r="B175" s="99" t="s">
        <v>192</v>
      </c>
      <c r="C175" s="148">
        <v>3021</v>
      </c>
      <c r="D175" s="11">
        <v>3104</v>
      </c>
      <c r="E175" s="228">
        <v>3432</v>
      </c>
      <c r="F175" s="228">
        <v>3176</v>
      </c>
      <c r="G175" s="229">
        <v>3802</v>
      </c>
    </row>
    <row r="176" spans="1:13" ht="12.3" x14ac:dyDescent="0.4">
      <c r="A176" s="89"/>
      <c r="B176" s="99" t="s">
        <v>64</v>
      </c>
      <c r="C176" s="230">
        <f t="shared" ref="C176:D176" si="67">SUM(C174:C175)</f>
        <v>15040</v>
      </c>
      <c r="D176" s="231">
        <f t="shared" si="67"/>
        <v>15598</v>
      </c>
      <c r="E176" s="231">
        <v>17090</v>
      </c>
      <c r="F176" s="231">
        <v>16833</v>
      </c>
      <c r="G176" s="232">
        <v>17666</v>
      </c>
      <c r="I176" s="497" t="s">
        <v>3</v>
      </c>
      <c r="J176" s="497"/>
      <c r="K176" s="497"/>
      <c r="L176" s="497"/>
    </row>
    <row r="177" spans="1:13" ht="12.3" x14ac:dyDescent="0.4">
      <c r="A177" s="89"/>
      <c r="B177" s="99" t="s">
        <v>193</v>
      </c>
      <c r="E177" s="233"/>
      <c r="F177" s="233"/>
      <c r="G177" s="234"/>
      <c r="H177" s="17"/>
      <c r="I177" s="465">
        <v>2013</v>
      </c>
      <c r="J177" s="465">
        <v>2014</v>
      </c>
      <c r="K177" s="465">
        <v>2015</v>
      </c>
      <c r="L177" s="465">
        <v>2016</v>
      </c>
      <c r="M177" s="452" t="str">
        <f>M166</f>
        <v>Arithmetic Average</v>
      </c>
    </row>
    <row r="178" spans="1:13" ht="12.3" x14ac:dyDescent="0.4">
      <c r="A178" s="89"/>
      <c r="B178" s="99" t="s">
        <v>194</v>
      </c>
      <c r="C178" s="11">
        <v>4162</v>
      </c>
      <c r="D178" s="11">
        <v>5016</v>
      </c>
      <c r="E178" s="228">
        <v>5615</v>
      </c>
      <c r="F178" s="228">
        <v>5099</v>
      </c>
      <c r="G178" s="229">
        <v>4765</v>
      </c>
      <c r="H178" s="17"/>
      <c r="I178" s="467">
        <f t="shared" ref="I178:L178" si="68">D178/C178-1</f>
        <v>0.20518981259010083</v>
      </c>
      <c r="J178" s="467">
        <f t="shared" si="68"/>
        <v>0.11941786283891553</v>
      </c>
      <c r="K178" s="467">
        <f t="shared" si="68"/>
        <v>-9.1896705253784461E-2</v>
      </c>
      <c r="L178" s="467">
        <f t="shared" si="68"/>
        <v>-6.5503039811727781E-2</v>
      </c>
      <c r="M178" s="466">
        <f t="shared" ref="M178:M180" si="69">(I178+J178+K178+L178)/4</f>
        <v>4.180198259087603E-2</v>
      </c>
    </row>
    <row r="179" spans="1:13" ht="12.3" x14ac:dyDescent="0.4">
      <c r="A179" s="89"/>
      <c r="B179" s="99" t="s">
        <v>195</v>
      </c>
      <c r="C179" s="1">
        <v>861</v>
      </c>
      <c r="D179" s="1">
        <v>968</v>
      </c>
      <c r="E179" s="89">
        <v>954</v>
      </c>
      <c r="F179" s="89">
        <v>663</v>
      </c>
      <c r="G179" s="235">
        <v>615</v>
      </c>
      <c r="H179" s="17"/>
      <c r="I179" s="467">
        <f t="shared" ref="I179:L179" si="70">D179/C179-1</f>
        <v>0.12427409988385607</v>
      </c>
      <c r="J179" s="467">
        <f t="shared" si="70"/>
        <v>-1.4462809917355379E-2</v>
      </c>
      <c r="K179" s="467">
        <f t="shared" si="70"/>
        <v>-0.30503144654088055</v>
      </c>
      <c r="L179" s="467">
        <f t="shared" si="70"/>
        <v>-7.2398190045248834E-2</v>
      </c>
      <c r="M179" s="466">
        <f t="shared" si="69"/>
        <v>-6.6904586654907172E-2</v>
      </c>
    </row>
    <row r="180" spans="1:13" ht="12.3" x14ac:dyDescent="0.4">
      <c r="A180" s="89"/>
      <c r="B180" s="99" t="s">
        <v>54</v>
      </c>
      <c r="C180" s="148">
        <v>6052</v>
      </c>
      <c r="D180" s="11">
        <v>5775</v>
      </c>
      <c r="E180" s="228">
        <v>5638</v>
      </c>
      <c r="F180" s="228">
        <v>6951</v>
      </c>
      <c r="G180" s="229">
        <v>7354</v>
      </c>
      <c r="H180" s="17"/>
      <c r="I180" s="467">
        <f t="shared" ref="I180:L180" si="71">D180/C180-1</f>
        <v>-4.5769993390614716E-2</v>
      </c>
      <c r="J180" s="467">
        <f t="shared" si="71"/>
        <v>-2.3722943722943701E-2</v>
      </c>
      <c r="K180" s="467">
        <f t="shared" si="71"/>
        <v>0.23288400141894283</v>
      </c>
      <c r="L180" s="467">
        <f t="shared" si="71"/>
        <v>5.797726945763193E-2</v>
      </c>
      <c r="M180" s="466">
        <f t="shared" si="69"/>
        <v>5.5342083440754086E-2</v>
      </c>
    </row>
    <row r="181" spans="1:13" ht="12.3" x14ac:dyDescent="0.4">
      <c r="A181" s="89"/>
      <c r="B181" s="99" t="s">
        <v>196</v>
      </c>
      <c r="C181" s="148">
        <v>2272</v>
      </c>
      <c r="D181" s="11">
        <v>2077</v>
      </c>
      <c r="E181" s="228">
        <v>2433</v>
      </c>
      <c r="F181" s="228">
        <v>2612</v>
      </c>
      <c r="G181" s="229">
        <v>2755</v>
      </c>
      <c r="H181" s="17"/>
      <c r="I181" s="17"/>
      <c r="J181" s="17"/>
      <c r="K181" s="17"/>
      <c r="L181" s="17"/>
      <c r="M181" s="17"/>
    </row>
    <row r="182" spans="1:13" ht="12.3" x14ac:dyDescent="0.4">
      <c r="A182" s="89"/>
      <c r="B182" s="99" t="s">
        <v>197</v>
      </c>
      <c r="C182" s="53">
        <f t="shared" ref="C182:D182" si="72">SUM(C178:C181)</f>
        <v>13347</v>
      </c>
      <c r="D182" s="53">
        <f t="shared" si="72"/>
        <v>13836</v>
      </c>
      <c r="E182" s="236">
        <v>14640</v>
      </c>
      <c r="F182" s="236">
        <v>15325</v>
      </c>
      <c r="G182" s="237">
        <v>15489</v>
      </c>
    </row>
    <row r="183" spans="1:13" ht="12.3" x14ac:dyDescent="0.4">
      <c r="A183" s="89"/>
      <c r="B183" s="99" t="s">
        <v>198</v>
      </c>
      <c r="C183" s="148">
        <v>1693</v>
      </c>
      <c r="D183" s="11">
        <v>1762</v>
      </c>
      <c r="E183" s="228">
        <v>2450</v>
      </c>
      <c r="F183" s="228">
        <v>1508</v>
      </c>
      <c r="G183" s="229">
        <v>2177</v>
      </c>
    </row>
    <row r="184" spans="1:13" ht="12.3" x14ac:dyDescent="0.4">
      <c r="A184" s="89"/>
      <c r="B184" s="99" t="s">
        <v>199</v>
      </c>
      <c r="C184" s="223">
        <v>7</v>
      </c>
      <c r="D184" s="1">
        <v>9</v>
      </c>
      <c r="E184" s="89">
        <v>9</v>
      </c>
      <c r="F184" s="89">
        <v>9</v>
      </c>
      <c r="G184" s="235">
        <v>23</v>
      </c>
    </row>
    <row r="185" spans="1:13" ht="12.3" x14ac:dyDescent="0.4">
      <c r="A185" s="89"/>
      <c r="B185" s="99" t="s">
        <v>200</v>
      </c>
      <c r="C185" s="1">
        <v>-703</v>
      </c>
      <c r="D185" s="1">
        <v>-715</v>
      </c>
      <c r="E185" s="226">
        <v>-734</v>
      </c>
      <c r="F185" s="226">
        <v>-773</v>
      </c>
      <c r="G185" s="227">
        <v>-829</v>
      </c>
    </row>
    <row r="186" spans="1:13" ht="12.3" x14ac:dyDescent="0.4">
      <c r="A186" s="89"/>
      <c r="B186" s="99" t="s">
        <v>201</v>
      </c>
      <c r="C186" s="223">
        <v>70</v>
      </c>
      <c r="D186" s="1">
        <v>40</v>
      </c>
      <c r="E186" s="89">
        <v>70</v>
      </c>
      <c r="F186" s="89">
        <v>117</v>
      </c>
      <c r="G186" s="235">
        <v>91</v>
      </c>
    </row>
    <row r="187" spans="1:13" ht="12.3" x14ac:dyDescent="0.4">
      <c r="A187" s="89"/>
      <c r="B187" s="99" t="s">
        <v>202</v>
      </c>
      <c r="C187" s="53">
        <f t="shared" ref="C187:D187" si="73">SUM(C183:C186)</f>
        <v>1067</v>
      </c>
      <c r="D187" s="53">
        <f t="shared" si="73"/>
        <v>1096</v>
      </c>
      <c r="E187" s="236">
        <v>1795</v>
      </c>
      <c r="F187" s="238">
        <v>861</v>
      </c>
      <c r="G187" s="237">
        <v>1462</v>
      </c>
    </row>
    <row r="188" spans="1:13" ht="12.3" x14ac:dyDescent="0.4">
      <c r="A188" s="89"/>
      <c r="B188" s="99" t="s">
        <v>203</v>
      </c>
      <c r="C188" s="1">
        <v>237</v>
      </c>
      <c r="D188">
        <f>268</f>
        <v>268</v>
      </c>
      <c r="E188" s="89">
        <v>345</v>
      </c>
      <c r="F188" s="226">
        <v>-27</v>
      </c>
      <c r="G188" s="235">
        <v>55</v>
      </c>
    </row>
    <row r="189" spans="1:13" ht="12.3" x14ac:dyDescent="0.4">
      <c r="A189" s="89"/>
      <c r="B189" s="99" t="s">
        <v>124</v>
      </c>
      <c r="C189" s="240">
        <f t="shared" ref="C189:D189" si="74">C187-C188</f>
        <v>830</v>
      </c>
      <c r="D189" s="240">
        <f t="shared" si="74"/>
        <v>828</v>
      </c>
      <c r="E189" s="231">
        <v>1450</v>
      </c>
      <c r="F189" s="241">
        <v>888</v>
      </c>
      <c r="G189" s="232">
        <v>1407</v>
      </c>
    </row>
    <row r="190" spans="1:13" ht="12.3" x14ac:dyDescent="0.4">
      <c r="A190" s="89"/>
      <c r="B190" s="99" t="s">
        <v>204</v>
      </c>
      <c r="C190" s="223">
        <v>14</v>
      </c>
      <c r="D190">
        <f>14</f>
        <v>14</v>
      </c>
      <c r="E190" s="89">
        <v>14</v>
      </c>
      <c r="F190" s="89">
        <v>14</v>
      </c>
      <c r="G190" s="235">
        <v>14</v>
      </c>
    </row>
    <row r="191" spans="1:13" ht="12.3" x14ac:dyDescent="0.4">
      <c r="A191" s="89"/>
      <c r="B191" s="99" t="s">
        <v>205</v>
      </c>
      <c r="C191" s="2">
        <f t="shared" ref="C191:D191" si="75">C189-C190</f>
        <v>816</v>
      </c>
      <c r="D191" s="2">
        <f t="shared" si="75"/>
        <v>814</v>
      </c>
      <c r="E191" s="226">
        <v>1436</v>
      </c>
      <c r="F191" s="226">
        <v>874</v>
      </c>
      <c r="G191" s="227">
        <v>1393</v>
      </c>
    </row>
    <row r="192" spans="1:13" ht="12.3" x14ac:dyDescent="0.4">
      <c r="A192" s="89"/>
      <c r="B192" s="99" t="s">
        <v>206</v>
      </c>
      <c r="C192">
        <f>424</f>
        <v>424</v>
      </c>
      <c r="D192" s="1">
        <v>444</v>
      </c>
      <c r="E192" s="89">
        <v>468</v>
      </c>
      <c r="F192" s="89">
        <v>484</v>
      </c>
      <c r="G192" s="235">
        <v>499</v>
      </c>
    </row>
    <row r="193" spans="1:14" ht="12.3" x14ac:dyDescent="0.4">
      <c r="A193" s="89"/>
      <c r="B193" s="99" t="s">
        <v>207</v>
      </c>
      <c r="C193">
        <f>425</f>
        <v>425</v>
      </c>
      <c r="D193" s="1">
        <v>445</v>
      </c>
      <c r="E193" s="89">
        <v>470</v>
      </c>
      <c r="F193" s="89">
        <v>487</v>
      </c>
      <c r="G193" s="235">
        <v>501</v>
      </c>
    </row>
    <row r="194" spans="1:14" ht="12.3" x14ac:dyDescent="0.4">
      <c r="A194" s="89"/>
      <c r="B194" s="99" t="s">
        <v>208</v>
      </c>
      <c r="C194">
        <f t="shared" ref="C194:C195" si="76">1.92</f>
        <v>1.92</v>
      </c>
      <c r="D194" s="1">
        <v>1.83</v>
      </c>
      <c r="E194" s="242">
        <v>3.07</v>
      </c>
      <c r="F194" s="242">
        <v>1.81</v>
      </c>
      <c r="G194" s="243">
        <v>2.79</v>
      </c>
    </row>
    <row r="195" spans="1:14" ht="12.3" x14ac:dyDescent="0.4">
      <c r="A195" s="89"/>
      <c r="B195" s="87" t="s">
        <v>209</v>
      </c>
      <c r="C195" s="67">
        <f t="shared" si="76"/>
        <v>1.92</v>
      </c>
      <c r="D195" s="193">
        <v>1.83</v>
      </c>
      <c r="E195" s="244">
        <v>3.06</v>
      </c>
      <c r="F195" s="244">
        <v>1.79</v>
      </c>
      <c r="G195" s="245">
        <v>2.78</v>
      </c>
    </row>
    <row r="196" spans="1:14" ht="12.3" x14ac:dyDescent="0.4">
      <c r="B196" s="482" t="s">
        <v>370</v>
      </c>
      <c r="C196" s="482"/>
      <c r="D196" s="482"/>
      <c r="E196" s="482"/>
      <c r="F196" s="482"/>
      <c r="G196" s="482"/>
    </row>
    <row r="197" spans="1:14" s="380" customFormat="1" ht="12.3" x14ac:dyDescent="0.4">
      <c r="B197" s="470"/>
      <c r="C197" s="470"/>
      <c r="D197" s="470"/>
      <c r="E197" s="470"/>
      <c r="F197" s="470"/>
      <c r="G197" s="470"/>
    </row>
    <row r="198" spans="1:14" ht="12.3" x14ac:dyDescent="0.4">
      <c r="A198" s="3"/>
      <c r="B198" s="488" t="s">
        <v>210</v>
      </c>
      <c r="C198" s="489"/>
      <c r="D198" s="489"/>
      <c r="E198" s="489"/>
      <c r="F198" s="489"/>
      <c r="G198" s="490"/>
    </row>
    <row r="199" spans="1:14" ht="12.3" x14ac:dyDescent="0.4">
      <c r="A199" s="3"/>
      <c r="B199" s="498" t="s">
        <v>106</v>
      </c>
      <c r="C199" s="489"/>
      <c r="D199" s="489"/>
      <c r="E199" s="489"/>
      <c r="F199" s="489"/>
      <c r="G199" s="490"/>
      <c r="H199" s="1"/>
    </row>
    <row r="200" spans="1:14" ht="12.3" x14ac:dyDescent="0.4">
      <c r="B200" s="26"/>
      <c r="C200" s="55">
        <f t="shared" ref="C200:G200" si="77">C172</f>
        <v>2012</v>
      </c>
      <c r="D200" s="55">
        <f t="shared" si="77"/>
        <v>2013</v>
      </c>
      <c r="E200" s="55">
        <f t="shared" si="77"/>
        <v>2014</v>
      </c>
      <c r="F200" s="55">
        <f t="shared" si="77"/>
        <v>2015</v>
      </c>
      <c r="G200" s="110">
        <f t="shared" si="77"/>
        <v>2016</v>
      </c>
    </row>
    <row r="201" spans="1:14" ht="12.3" x14ac:dyDescent="0.4">
      <c r="A201" s="89"/>
      <c r="B201" s="247" t="s">
        <v>211</v>
      </c>
      <c r="G201" s="15"/>
    </row>
    <row r="202" spans="1:14" ht="12.3" x14ac:dyDescent="0.4">
      <c r="A202" s="89"/>
      <c r="B202" s="99" t="s">
        <v>212</v>
      </c>
      <c r="G202" s="15"/>
    </row>
    <row r="203" spans="1:14" ht="12.3" x14ac:dyDescent="0.4">
      <c r="A203" s="89"/>
      <c r="B203" s="99" t="s">
        <v>213</v>
      </c>
      <c r="C203" s="1">
        <v>401</v>
      </c>
      <c r="D203" s="223">
        <v>296</v>
      </c>
      <c r="E203" s="78">
        <v>151</v>
      </c>
      <c r="F203" s="226">
        <v>123</v>
      </c>
      <c r="G203" s="227">
        <v>177</v>
      </c>
    </row>
    <row r="204" spans="1:14" ht="12.3" x14ac:dyDescent="0.4">
      <c r="A204" s="89"/>
      <c r="B204" s="99" t="s">
        <v>214</v>
      </c>
      <c r="C204" s="1">
        <v>330</v>
      </c>
      <c r="D204" s="223">
        <v>301</v>
      </c>
      <c r="E204" s="1">
        <v>298</v>
      </c>
      <c r="F204" s="89">
        <v>234</v>
      </c>
      <c r="G204" s="235">
        <v>7</v>
      </c>
    </row>
    <row r="205" spans="1:14" ht="12.3" x14ac:dyDescent="0.4">
      <c r="A205" s="89"/>
      <c r="B205" s="99" t="s">
        <v>215</v>
      </c>
      <c r="F205" s="233"/>
      <c r="G205" s="234"/>
      <c r="I205" s="497" t="s">
        <v>367</v>
      </c>
      <c r="J205" s="497"/>
      <c r="K205" s="497"/>
      <c r="L205" s="497"/>
      <c r="M205" s="497"/>
    </row>
    <row r="206" spans="1:14" ht="12.3" x14ac:dyDescent="0.4">
      <c r="A206" s="89"/>
      <c r="B206" s="99" t="s">
        <v>216</v>
      </c>
      <c r="F206" s="233"/>
      <c r="G206" s="234"/>
      <c r="I206" s="461">
        <v>2012</v>
      </c>
      <c r="J206" s="461">
        <v>2013</v>
      </c>
      <c r="K206" s="461">
        <v>2014</v>
      </c>
      <c r="L206" s="461">
        <v>2015</v>
      </c>
      <c r="M206" s="461">
        <v>2016</v>
      </c>
      <c r="N206" s="462" t="str">
        <f>M177</f>
        <v>Arithmetic Average</v>
      </c>
    </row>
    <row r="207" spans="1:14" ht="12.3" x14ac:dyDescent="0.4">
      <c r="A207" s="89"/>
      <c r="B207" s="99" t="s">
        <v>218</v>
      </c>
      <c r="C207" s="1">
        <v>937</v>
      </c>
      <c r="D207" s="148">
        <v>1091</v>
      </c>
      <c r="E207" s="1">
        <v>960</v>
      </c>
      <c r="F207" s="228">
        <v>1106</v>
      </c>
      <c r="G207" s="229">
        <v>1252</v>
      </c>
      <c r="I207" s="467">
        <f>C207/$C$176</f>
        <v>6.2300531914893618E-2</v>
      </c>
      <c r="J207" s="467">
        <f>D207/$D$176</f>
        <v>6.9944864726246961E-2</v>
      </c>
      <c r="K207" s="467">
        <f>E207/$E$176</f>
        <v>5.6173200702165006E-2</v>
      </c>
      <c r="L207" s="467">
        <f>F207/$F$176</f>
        <v>6.5704271371710338E-2</v>
      </c>
      <c r="M207" s="453">
        <f>G207/$G$176</f>
        <v>7.0870598890524175E-2</v>
      </c>
      <c r="N207" s="466">
        <f t="shared" ref="N207:N211" si="78">AVERAGE(I207:M207)</f>
        <v>6.4998693521108014E-2</v>
      </c>
    </row>
    <row r="208" spans="1:14" ht="12.3" x14ac:dyDescent="0.4">
      <c r="A208" s="89"/>
      <c r="B208" s="99" t="s">
        <v>220</v>
      </c>
      <c r="C208" s="1">
        <v>761</v>
      </c>
      <c r="D208" s="223">
        <v>766</v>
      </c>
      <c r="E208" s="1">
        <v>776</v>
      </c>
      <c r="F208" s="89">
        <v>855</v>
      </c>
      <c r="G208" s="229">
        <v>1098</v>
      </c>
      <c r="I208" s="467">
        <f>C208/$C$176</f>
        <v>5.0598404255319147E-2</v>
      </c>
      <c r="J208" s="467">
        <f>D208/$D$176</f>
        <v>4.9108860110270547E-2</v>
      </c>
      <c r="K208" s="467">
        <f>E208/$E$176</f>
        <v>4.5406670567583379E-2</v>
      </c>
      <c r="L208" s="467">
        <f>F208/$F$176</f>
        <v>5.0793085011584388E-2</v>
      </c>
      <c r="M208" s="453">
        <f>G208/$G$176</f>
        <v>6.2153288803351067E-2</v>
      </c>
      <c r="N208" s="466">
        <f t="shared" si="78"/>
        <v>5.1612061749621706E-2</v>
      </c>
    </row>
    <row r="209" spans="1:14" ht="12.3" x14ac:dyDescent="0.4">
      <c r="A209" s="89"/>
      <c r="B209" s="99" t="s">
        <v>62</v>
      </c>
      <c r="C209" s="1">
        <v>936</v>
      </c>
      <c r="D209" s="148">
        <v>1124</v>
      </c>
      <c r="E209" s="11">
        <v>2266</v>
      </c>
      <c r="F209" s="228">
        <v>1760</v>
      </c>
      <c r="G209" s="229">
        <v>1500</v>
      </c>
      <c r="I209" s="467">
        <f>C209/$C$176</f>
        <v>6.2234042553191489E-2</v>
      </c>
      <c r="J209" s="467">
        <f>D209/$D$176</f>
        <v>7.2060520579561485E-2</v>
      </c>
      <c r="K209" s="467">
        <f>E209/$E$176</f>
        <v>0.132592159157402</v>
      </c>
      <c r="L209" s="467">
        <f>F209/$F$176</f>
        <v>0.10455652587179944</v>
      </c>
      <c r="M209" s="453">
        <f>G209/$G$176</f>
        <v>8.4908864485452276E-2</v>
      </c>
      <c r="N209" s="466">
        <f t="shared" si="78"/>
        <v>9.1270422529481338E-2</v>
      </c>
    </row>
    <row r="210" spans="1:14" ht="12.3" x14ac:dyDescent="0.4">
      <c r="A210" s="89"/>
      <c r="B210" s="99" t="s">
        <v>30</v>
      </c>
      <c r="C210" s="1">
        <v>365</v>
      </c>
      <c r="D210" s="223">
        <v>312</v>
      </c>
      <c r="E210" s="1">
        <v>377</v>
      </c>
      <c r="F210" s="89">
        <v>286</v>
      </c>
      <c r="G210" s="235">
        <v>801</v>
      </c>
      <c r="I210" s="467">
        <f>C210/$C$176</f>
        <v>2.4268617021276594E-2</v>
      </c>
      <c r="J210" s="467">
        <f>D210/$D$176</f>
        <v>2.0002564431337352E-2</v>
      </c>
      <c r="K210" s="467">
        <f>E210/$E$176</f>
        <v>2.2059684025746051E-2</v>
      </c>
      <c r="L210" s="467">
        <f>F210/$F$176</f>
        <v>1.699043545416741E-2</v>
      </c>
      <c r="M210" s="453">
        <f>G210/$G$176</f>
        <v>4.5341333635231518E-2</v>
      </c>
      <c r="N210" s="466">
        <f t="shared" si="78"/>
        <v>2.5732526913551785E-2</v>
      </c>
    </row>
    <row r="211" spans="1:14" ht="12.3" x14ac:dyDescent="0.4">
      <c r="A211" s="89"/>
      <c r="B211" s="99" t="s">
        <v>221</v>
      </c>
      <c r="C211" s="1">
        <v>564</v>
      </c>
      <c r="D211" s="223">
        <v>448</v>
      </c>
      <c r="E211" s="1">
        <v>444</v>
      </c>
      <c r="F211" s="89">
        <v>517</v>
      </c>
      <c r="G211" s="235">
        <v>423</v>
      </c>
      <c r="I211" s="467">
        <f>C211/C176</f>
        <v>3.7499999999999999E-2</v>
      </c>
      <c r="J211" s="467">
        <f>D211/D176</f>
        <v>2.8721630978330557E-2</v>
      </c>
      <c r="K211" s="467">
        <f>E211/E176</f>
        <v>2.5980105324751316E-2</v>
      </c>
      <c r="L211" s="467">
        <f>F211/F176</f>
        <v>3.0713479474841085E-2</v>
      </c>
      <c r="M211" s="467">
        <f>G211/G176</f>
        <v>2.3944299784897545E-2</v>
      </c>
      <c r="N211" s="466">
        <f t="shared" si="78"/>
        <v>2.9371903112564102E-2</v>
      </c>
    </row>
    <row r="212" spans="1:14" ht="12.3" x14ac:dyDescent="0.4">
      <c r="A212" s="89"/>
      <c r="B212" s="99" t="s">
        <v>222</v>
      </c>
      <c r="F212" s="233"/>
      <c r="G212" s="234"/>
      <c r="I212" s="467"/>
      <c r="J212" s="467"/>
      <c r="K212" s="467"/>
      <c r="L212" s="467"/>
      <c r="M212" s="454"/>
      <c r="N212" s="456"/>
    </row>
    <row r="213" spans="1:14" ht="12.3" x14ac:dyDescent="0.4">
      <c r="A213" s="89"/>
      <c r="B213" s="99" t="s">
        <v>223</v>
      </c>
      <c r="C213" s="1">
        <v>135</v>
      </c>
      <c r="D213" s="223">
        <v>137</v>
      </c>
      <c r="E213" s="1">
        <v>172</v>
      </c>
      <c r="F213" s="89">
        <v>126</v>
      </c>
      <c r="G213" s="235">
        <v>117</v>
      </c>
      <c r="I213" s="453">
        <f>C213/$C$176</f>
        <v>8.9760638297872349E-3</v>
      </c>
      <c r="J213" s="453">
        <f>D213/$D$176</f>
        <v>8.7831773304269771E-3</v>
      </c>
      <c r="K213" s="453">
        <f>E213/$E$176</f>
        <v>1.0064365125804563E-2</v>
      </c>
      <c r="L213" s="453">
        <f>F213/$F$176</f>
        <v>7.4852967385492779E-3</v>
      </c>
      <c r="M213" s="453">
        <f>G213/$G$176</f>
        <v>6.6228914298652776E-3</v>
      </c>
      <c r="N213" s="455">
        <f t="shared" ref="N213:N214" si="79">AVERAGE(I213:M213)</f>
        <v>8.3863588908866665E-3</v>
      </c>
    </row>
    <row r="214" spans="1:14" ht="12.3" x14ac:dyDescent="0.4">
      <c r="A214" s="89"/>
      <c r="B214" s="99" t="s">
        <v>224</v>
      </c>
      <c r="C214" s="1">
        <v>309</v>
      </c>
      <c r="D214" s="223">
        <v>317</v>
      </c>
      <c r="E214" s="1">
        <v>304</v>
      </c>
      <c r="F214" s="89">
        <v>313</v>
      </c>
      <c r="G214" s="235">
        <v>346</v>
      </c>
      <c r="I214" s="467">
        <f>C214/$C$176</f>
        <v>2.0545212765957447E-2</v>
      </c>
      <c r="J214" s="467">
        <f>D214/$D$176</f>
        <v>2.0323118348506218E-2</v>
      </c>
      <c r="K214" s="453">
        <f>E214/$E$176</f>
        <v>1.7788180222352252E-2</v>
      </c>
      <c r="L214" s="453">
        <f>F214/$F$176</f>
        <v>1.859442761242797E-2</v>
      </c>
      <c r="M214" s="453">
        <f>G214/$G$176</f>
        <v>1.9585644741310995E-2</v>
      </c>
      <c r="N214" s="466">
        <f t="shared" si="79"/>
        <v>1.9367316738110978E-2</v>
      </c>
    </row>
    <row r="215" spans="1:14" ht="12.3" x14ac:dyDescent="0.4">
      <c r="A215" s="89"/>
      <c r="B215" s="99" t="s">
        <v>225</v>
      </c>
      <c r="C215" s="1">
        <v>211</v>
      </c>
      <c r="D215" s="223">
        <v>574</v>
      </c>
      <c r="E215" s="1">
        <v>198</v>
      </c>
      <c r="F215" s="89">
        <v>155</v>
      </c>
      <c r="G215" s="235">
        <v>160</v>
      </c>
      <c r="H215" s="17"/>
      <c r="I215" s="467"/>
      <c r="J215" s="467"/>
      <c r="K215" s="467"/>
      <c r="L215" s="454"/>
      <c r="M215" s="454"/>
      <c r="N215" s="456"/>
    </row>
    <row r="216" spans="1:14" ht="12.3" x14ac:dyDescent="0.4">
      <c r="A216" s="89"/>
      <c r="B216" s="89" t="s">
        <v>30</v>
      </c>
      <c r="C216" s="1">
        <v>172</v>
      </c>
      <c r="D216" s="223">
        <v>611</v>
      </c>
      <c r="E216" s="1">
        <v>443</v>
      </c>
      <c r="F216" s="89">
        <v>338</v>
      </c>
      <c r="G216" s="235">
        <v>283</v>
      </c>
      <c r="H216" s="17"/>
      <c r="I216" s="467"/>
      <c r="J216" s="467"/>
      <c r="K216" s="467"/>
      <c r="L216" s="454"/>
      <c r="M216" s="454"/>
      <c r="N216" s="456"/>
    </row>
    <row r="217" spans="1:14" ht="12.3" x14ac:dyDescent="0.4">
      <c r="A217" s="89"/>
      <c r="B217" s="247" t="s">
        <v>226</v>
      </c>
      <c r="C217" s="9">
        <f t="shared" ref="C217:E217" si="80">SUM(C203:C216)</f>
        <v>5121</v>
      </c>
      <c r="D217" s="9">
        <f t="shared" si="80"/>
        <v>5977</v>
      </c>
      <c r="E217" s="136">
        <f t="shared" si="80"/>
        <v>6389</v>
      </c>
      <c r="F217" s="236">
        <v>5813</v>
      </c>
      <c r="G217" s="237">
        <v>6164</v>
      </c>
      <c r="I217" s="454"/>
      <c r="J217" s="454"/>
      <c r="K217" s="454"/>
      <c r="L217" s="454"/>
      <c r="M217" s="454"/>
      <c r="N217" s="456"/>
    </row>
    <row r="218" spans="1:14" ht="12.3" x14ac:dyDescent="0.4">
      <c r="A218" s="89"/>
      <c r="B218" s="99" t="s">
        <v>117</v>
      </c>
      <c r="F218" s="233"/>
      <c r="G218" s="234"/>
      <c r="I218" s="454"/>
      <c r="J218" s="454"/>
      <c r="K218" s="454"/>
      <c r="L218" s="454"/>
      <c r="M218" s="454"/>
      <c r="N218" s="456"/>
    </row>
    <row r="219" spans="1:14" ht="12.3" x14ac:dyDescent="0.4">
      <c r="A219" s="89"/>
      <c r="B219" s="99" t="s">
        <v>191</v>
      </c>
      <c r="C219" s="11">
        <v>39701</v>
      </c>
      <c r="D219" s="148">
        <v>42881</v>
      </c>
      <c r="E219" s="11">
        <v>45162</v>
      </c>
      <c r="F219" s="228">
        <v>48532</v>
      </c>
      <c r="G219" s="229">
        <v>52556</v>
      </c>
      <c r="I219" s="454"/>
      <c r="J219" s="454"/>
      <c r="K219" s="454"/>
      <c r="L219" s="454"/>
      <c r="M219" s="454"/>
      <c r="N219" s="456"/>
    </row>
    <row r="220" spans="1:14" ht="12.3" x14ac:dyDescent="0.4">
      <c r="A220" s="89"/>
      <c r="B220" s="99" t="s">
        <v>227</v>
      </c>
      <c r="C220" s="11">
        <v>12571</v>
      </c>
      <c r="D220" s="148">
        <v>14379</v>
      </c>
      <c r="E220" s="11">
        <v>15678</v>
      </c>
      <c r="F220" s="228">
        <v>16749</v>
      </c>
      <c r="G220" s="229">
        <v>17853</v>
      </c>
      <c r="I220" s="454"/>
      <c r="J220" s="454"/>
      <c r="K220" s="454"/>
      <c r="L220" s="454"/>
      <c r="M220" s="454"/>
      <c r="N220" s="456"/>
    </row>
    <row r="221" spans="1:14" ht="12.3" x14ac:dyDescent="0.4">
      <c r="A221" s="89"/>
      <c r="B221" s="99" t="s">
        <v>127</v>
      </c>
      <c r="C221" s="11">
        <v>1894</v>
      </c>
      <c r="D221" s="148">
        <v>1834</v>
      </c>
      <c r="E221" s="11">
        <v>2220</v>
      </c>
      <c r="F221" s="228">
        <v>2059</v>
      </c>
      <c r="G221" s="229">
        <v>2184</v>
      </c>
      <c r="I221" s="454"/>
      <c r="J221" s="454"/>
      <c r="K221" s="454"/>
      <c r="L221" s="454"/>
      <c r="M221" s="454"/>
      <c r="N221" s="456"/>
    </row>
    <row r="222" spans="1:14" ht="12.3" x14ac:dyDescent="0.4">
      <c r="A222" s="89"/>
      <c r="B222" s="99" t="s">
        <v>30</v>
      </c>
      <c r="C222">
        <f>1</f>
        <v>1</v>
      </c>
      <c r="D222">
        <f>2</f>
        <v>2</v>
      </c>
      <c r="E222" s="1">
        <v>2</v>
      </c>
      <c r="F222" s="89">
        <v>2</v>
      </c>
      <c r="G222" s="235">
        <v>2</v>
      </c>
      <c r="I222" s="454"/>
      <c r="J222" s="454"/>
      <c r="K222" s="454"/>
      <c r="L222" s="454"/>
      <c r="M222" s="454"/>
      <c r="N222" s="456"/>
    </row>
    <row r="223" spans="1:14" ht="12.3" x14ac:dyDescent="0.4">
      <c r="A223" s="89"/>
      <c r="B223" s="99" t="s">
        <v>129</v>
      </c>
      <c r="C223" s="2">
        <f t="shared" ref="C223:E223" si="81">SUM(C219:C222)</f>
        <v>54167</v>
      </c>
      <c r="D223" s="2">
        <f t="shared" si="81"/>
        <v>59096</v>
      </c>
      <c r="E223" s="2">
        <f t="shared" si="81"/>
        <v>63062</v>
      </c>
      <c r="F223" s="228">
        <v>67342</v>
      </c>
      <c r="G223" s="229">
        <v>72595</v>
      </c>
      <c r="I223" s="454"/>
      <c r="J223" s="454"/>
      <c r="K223" s="454"/>
      <c r="L223" s="454"/>
      <c r="M223" s="454"/>
      <c r="N223" s="456"/>
    </row>
    <row r="224" spans="1:14" ht="12.3" x14ac:dyDescent="0.4">
      <c r="A224" s="89"/>
      <c r="B224" s="99" t="s">
        <v>228</v>
      </c>
      <c r="C224" s="11">
        <v>-16644</v>
      </c>
      <c r="D224" s="148">
        <v>-17844</v>
      </c>
      <c r="E224" s="11">
        <v>-19121</v>
      </c>
      <c r="F224" s="226">
        <v>-20619</v>
      </c>
      <c r="G224" s="227">
        <v>-22014</v>
      </c>
      <c r="I224" s="454"/>
      <c r="J224" s="454"/>
      <c r="K224" s="454"/>
      <c r="L224" s="454"/>
      <c r="M224" s="454"/>
      <c r="N224" s="456"/>
    </row>
    <row r="225" spans="1:15" ht="12.3" x14ac:dyDescent="0.4">
      <c r="A225" s="89"/>
      <c r="B225" s="99" t="s">
        <v>229</v>
      </c>
      <c r="C225" s="53">
        <f t="shared" ref="C225:E225" si="82">C223+C224</f>
        <v>37523</v>
      </c>
      <c r="D225" s="53">
        <f t="shared" si="82"/>
        <v>41252</v>
      </c>
      <c r="E225" s="53">
        <f t="shared" si="82"/>
        <v>43941</v>
      </c>
      <c r="F225" s="236">
        <v>46723</v>
      </c>
      <c r="G225" s="237">
        <v>50581</v>
      </c>
      <c r="I225" s="454"/>
      <c r="J225" s="454"/>
      <c r="K225" s="454"/>
      <c r="L225" s="454"/>
      <c r="M225" s="454"/>
      <c r="N225" s="456"/>
    </row>
    <row r="226" spans="1:15" ht="12.3" x14ac:dyDescent="0.4">
      <c r="A226" s="89"/>
      <c r="B226" s="99" t="s">
        <v>230</v>
      </c>
      <c r="F226" s="233"/>
      <c r="G226" s="234"/>
      <c r="I226" s="454"/>
      <c r="J226" s="454"/>
      <c r="K226" s="454"/>
      <c r="L226" s="454"/>
      <c r="M226" s="454"/>
      <c r="N226" s="456"/>
    </row>
    <row r="227" spans="1:15" ht="12.3" x14ac:dyDescent="0.4">
      <c r="A227" s="89"/>
      <c r="B227" s="99" t="s">
        <v>221</v>
      </c>
      <c r="C227" s="11">
        <v>6809</v>
      </c>
      <c r="D227" s="148">
        <v>4913</v>
      </c>
      <c r="E227" s="11">
        <v>6322</v>
      </c>
      <c r="F227" s="228">
        <v>7029</v>
      </c>
      <c r="G227" s="229">
        <v>7951</v>
      </c>
      <c r="I227" s="453">
        <f>C227/$C$176</f>
        <v>0.45272606382978725</v>
      </c>
      <c r="J227" s="453">
        <f>D227/$D$176</f>
        <v>0.31497627901012948</v>
      </c>
      <c r="K227" s="453">
        <f>E227/$E$176</f>
        <v>0.36992393212404917</v>
      </c>
      <c r="L227" s="453">
        <f>F228/$F$176</f>
        <v>0.14673557892235489</v>
      </c>
      <c r="M227" s="453">
        <f>G227/$G$176</f>
        <v>0.45007358768255407</v>
      </c>
      <c r="N227" s="455">
        <f t="shared" ref="N227:N230" si="83">AVERAGE(I227:M227)</f>
        <v>0.34688708831377502</v>
      </c>
      <c r="O227" s="456"/>
    </row>
    <row r="228" spans="1:15" ht="12.3" x14ac:dyDescent="0.4">
      <c r="A228" s="89"/>
      <c r="B228" s="99" t="s">
        <v>231</v>
      </c>
      <c r="C228" s="11">
        <v>2161</v>
      </c>
      <c r="D228" s="148">
        <v>2342</v>
      </c>
      <c r="E228" s="11">
        <v>2421</v>
      </c>
      <c r="F228" s="228">
        <v>2470</v>
      </c>
      <c r="G228" s="229">
        <v>2606</v>
      </c>
      <c r="I228" s="453">
        <f>C228/$C$176</f>
        <v>0.14368351063829787</v>
      </c>
      <c r="J228" s="453">
        <f>D228/$D$176</f>
        <v>0.15014745480189767</v>
      </c>
      <c r="K228" s="453">
        <f>E228/$E$176</f>
        <v>0.14166179052077238</v>
      </c>
      <c r="L228" s="453">
        <f>G228/G176</f>
        <v>0.1475150005660591</v>
      </c>
      <c r="M228" s="453">
        <f>G228/$G$176</f>
        <v>0.1475150005660591</v>
      </c>
      <c r="N228" s="455">
        <f t="shared" si="83"/>
        <v>0.14610455141861722</v>
      </c>
      <c r="O228" s="456"/>
    </row>
    <row r="229" spans="1:15" ht="12.3" x14ac:dyDescent="0.4">
      <c r="A229" s="89"/>
      <c r="B229" s="99" t="s">
        <v>225</v>
      </c>
      <c r="C229" s="1">
        <v>176</v>
      </c>
      <c r="D229" s="223">
        <v>85</v>
      </c>
      <c r="E229" s="1">
        <v>91</v>
      </c>
      <c r="F229" s="89">
        <v>135</v>
      </c>
      <c r="G229" s="235">
        <v>70</v>
      </c>
      <c r="I229" s="453">
        <f>C229/$C$176</f>
        <v>1.1702127659574468E-2</v>
      </c>
      <c r="J229" s="453">
        <f>D229/$D$176</f>
        <v>5.4494165918707524E-3</v>
      </c>
      <c r="K229" s="453">
        <f>E229/$E$176</f>
        <v>5.3247513165593915E-3</v>
      </c>
      <c r="L229" s="453">
        <f>F229/$F$176</f>
        <v>8.0199607913027989E-3</v>
      </c>
      <c r="M229" s="453">
        <f>G229/$G$176</f>
        <v>3.9624136759877733E-3</v>
      </c>
      <c r="N229" s="455">
        <f t="shared" si="83"/>
        <v>6.8917340070590357E-3</v>
      </c>
      <c r="O229" s="456"/>
    </row>
    <row r="230" spans="1:15" ht="12.3" x14ac:dyDescent="0.4">
      <c r="A230" s="89"/>
      <c r="B230" s="99" t="s">
        <v>30</v>
      </c>
      <c r="C230" s="1">
        <v>659</v>
      </c>
      <c r="D230" s="148">
        <v>1036</v>
      </c>
      <c r="E230" s="1">
        <v>963</v>
      </c>
      <c r="F230" s="228">
        <v>1064</v>
      </c>
      <c r="G230" s="229">
        <v>1226</v>
      </c>
      <c r="I230" s="453">
        <f>C230/$C$176</f>
        <v>4.3816489361702127E-2</v>
      </c>
      <c r="J230" s="453">
        <f>D230/$D$176</f>
        <v>6.6418771637389407E-2</v>
      </c>
      <c r="K230" s="453">
        <f>E230/$E$176</f>
        <v>5.6348741954359273E-2</v>
      </c>
      <c r="L230" s="453">
        <f>F230/$F$176</f>
        <v>6.3209172458860569E-2</v>
      </c>
      <c r="M230" s="453">
        <f>G230/$G$176</f>
        <v>6.9398845239442994E-2</v>
      </c>
      <c r="N230" s="455">
        <f t="shared" si="83"/>
        <v>5.9838404130350874E-2</v>
      </c>
      <c r="O230" s="456"/>
    </row>
    <row r="231" spans="1:15" ht="12.3" x14ac:dyDescent="0.4">
      <c r="A231" s="89"/>
      <c r="B231" s="247" t="s">
        <v>232</v>
      </c>
      <c r="C231" s="53">
        <f t="shared" ref="C231:E231" si="84">SUM(C227:C230)</f>
        <v>9805</v>
      </c>
      <c r="D231" s="53">
        <f t="shared" si="84"/>
        <v>8376</v>
      </c>
      <c r="E231" s="53">
        <f t="shared" si="84"/>
        <v>9797</v>
      </c>
      <c r="F231" s="236">
        <v>10698</v>
      </c>
      <c r="G231" s="237">
        <v>11853</v>
      </c>
      <c r="I231" s="453"/>
      <c r="J231" s="453"/>
      <c r="K231" s="453"/>
      <c r="L231" s="453"/>
      <c r="M231" s="453"/>
      <c r="N231" s="456"/>
      <c r="O231" s="456"/>
    </row>
    <row r="232" spans="1:15" ht="12.3" x14ac:dyDescent="0.4">
      <c r="A232" s="89"/>
      <c r="B232" s="247" t="s">
        <v>233</v>
      </c>
      <c r="C232" s="53">
        <f t="shared" ref="C232:E232" si="85">C217+C225+C231</f>
        <v>52449</v>
      </c>
      <c r="D232" s="53">
        <f t="shared" si="85"/>
        <v>55605</v>
      </c>
      <c r="E232" s="53">
        <f t="shared" si="85"/>
        <v>60127</v>
      </c>
      <c r="F232" s="236">
        <v>63234</v>
      </c>
      <c r="G232" s="237">
        <v>68598</v>
      </c>
      <c r="I232" s="453"/>
      <c r="J232" s="453"/>
      <c r="K232" s="453"/>
      <c r="L232" s="453"/>
      <c r="M232" s="453"/>
      <c r="N232" s="456"/>
      <c r="O232" s="456"/>
    </row>
    <row r="233" spans="1:15" ht="12.3" x14ac:dyDescent="0.4">
      <c r="B233" s="26"/>
      <c r="G233" s="15"/>
      <c r="I233" s="454"/>
      <c r="J233" s="454"/>
      <c r="K233" s="454"/>
      <c r="L233" s="454"/>
      <c r="M233" s="454"/>
      <c r="N233" s="456"/>
      <c r="O233" s="456"/>
    </row>
    <row r="234" spans="1:15" ht="12.3" x14ac:dyDescent="0.4">
      <c r="A234" s="89"/>
      <c r="B234" s="247" t="s">
        <v>234</v>
      </c>
      <c r="G234" s="15"/>
      <c r="I234" s="454"/>
      <c r="J234" s="454"/>
      <c r="K234" s="454"/>
      <c r="L234" s="454"/>
      <c r="M234" s="454"/>
      <c r="N234" s="456"/>
      <c r="O234" s="456"/>
    </row>
    <row r="235" spans="1:15" ht="12.3" x14ac:dyDescent="0.4">
      <c r="A235" s="89"/>
      <c r="B235" s="99" t="s">
        <v>235</v>
      </c>
      <c r="G235" s="15"/>
      <c r="I235" s="467"/>
      <c r="J235" s="454"/>
      <c r="K235" s="454"/>
      <c r="L235" s="454"/>
      <c r="M235" s="454"/>
      <c r="N235" s="456"/>
      <c r="O235" s="456"/>
    </row>
    <row r="236" spans="1:15" ht="12.3" x14ac:dyDescent="0.4">
      <c r="A236" s="89"/>
      <c r="B236" s="99" t="s">
        <v>236</v>
      </c>
      <c r="C236" s="1">
        <v>492</v>
      </c>
      <c r="D236" s="148">
        <v>1174</v>
      </c>
      <c r="E236" s="78">
        <v>633</v>
      </c>
      <c r="F236" s="226">
        <v>1019</v>
      </c>
      <c r="G236" s="227">
        <v>1516</v>
      </c>
      <c r="I236" s="467">
        <f>C236/C176</f>
        <v>3.2712765957446807E-2</v>
      </c>
      <c r="J236" s="467">
        <f>D236/D176</f>
        <v>7.5266059751250156E-2</v>
      </c>
      <c r="K236" s="467">
        <f>E236/E176</f>
        <v>3.7039204212990055E-2</v>
      </c>
      <c r="L236" s="467">
        <f>F236/F176</f>
        <v>6.0535852195092971E-2</v>
      </c>
      <c r="M236" s="467">
        <f>G236/G176</f>
        <v>8.5814559039963767E-2</v>
      </c>
      <c r="N236" s="466">
        <f t="shared" ref="N236:N237" si="86">AVERAGE(I236:M236)</f>
        <v>5.827368823134875E-2</v>
      </c>
      <c r="O236" s="456"/>
    </row>
    <row r="237" spans="1:15" ht="12.3" x14ac:dyDescent="0.4">
      <c r="A237" s="89"/>
      <c r="B237" s="99" t="s">
        <v>237</v>
      </c>
      <c r="C237" s="1">
        <v>400</v>
      </c>
      <c r="D237" s="223">
        <v>889</v>
      </c>
      <c r="F237" s="226">
        <v>160</v>
      </c>
      <c r="G237" s="227">
        <v>700</v>
      </c>
      <c r="I237" s="467">
        <f>C237/C247</f>
        <v>3.195653910681473E-2</v>
      </c>
      <c r="J237" s="467">
        <f>D237/D247</f>
        <v>6.9906424471180312E-2</v>
      </c>
      <c r="K237" s="467">
        <f>E237/E247</f>
        <v>0</v>
      </c>
      <c r="L237" s="467">
        <f>F237/F247</f>
        <v>1.0047095761381476E-2</v>
      </c>
      <c r="M237" s="467">
        <f>G237/G247</f>
        <v>4.3156596794081382E-2</v>
      </c>
      <c r="N237" s="466">
        <f t="shared" si="86"/>
        <v>3.101333122669158E-2</v>
      </c>
      <c r="O237" s="456"/>
    </row>
    <row r="238" spans="1:15" ht="12.3" x14ac:dyDescent="0.4">
      <c r="A238" s="89"/>
      <c r="B238" s="99" t="s">
        <v>238</v>
      </c>
      <c r="F238" s="261"/>
      <c r="G238" s="262"/>
      <c r="I238" s="467"/>
      <c r="J238" s="467"/>
      <c r="K238" s="467"/>
      <c r="L238" s="467"/>
      <c r="M238" s="454"/>
      <c r="N238" s="456"/>
      <c r="O238" s="456"/>
    </row>
    <row r="239" spans="1:15" ht="12.3" x14ac:dyDescent="0.4">
      <c r="A239" s="89"/>
      <c r="B239" s="99" t="s">
        <v>239</v>
      </c>
      <c r="C239" s="11">
        <v>1241</v>
      </c>
      <c r="D239" s="148">
        <v>1293</v>
      </c>
      <c r="E239" s="11">
        <v>1244</v>
      </c>
      <c r="F239" s="226">
        <v>1414</v>
      </c>
      <c r="G239" s="227">
        <v>1495</v>
      </c>
      <c r="I239" s="467">
        <f>C239/$C$176</f>
        <v>8.2513297872340421E-2</v>
      </c>
      <c r="J239" s="467">
        <f>D239/$D$176</f>
        <v>8.2895242979869208E-2</v>
      </c>
      <c r="K239" s="467">
        <f>E239/$E$176</f>
        <v>7.2791105909888826E-2</v>
      </c>
      <c r="L239" s="467">
        <f>F239/$F$176</f>
        <v>8.4001663399275228E-2</v>
      </c>
      <c r="M239" s="453">
        <f>G239/$G$176</f>
        <v>8.4625834937167438E-2</v>
      </c>
      <c r="N239" s="466">
        <f t="shared" ref="N239:N241" si="87">AVERAGE(I239:M239)</f>
        <v>8.1365429019708224E-2</v>
      </c>
      <c r="O239" s="456"/>
    </row>
    <row r="240" spans="1:15" ht="12.3" x14ac:dyDescent="0.4">
      <c r="A240" s="89"/>
      <c r="B240" s="99" t="s">
        <v>62</v>
      </c>
      <c r="C240" s="1">
        <v>157</v>
      </c>
      <c r="D240" s="148">
        <v>1008</v>
      </c>
      <c r="E240" s="11">
        <v>1090</v>
      </c>
      <c r="F240" s="226">
        <v>715</v>
      </c>
      <c r="G240" s="227">
        <v>645</v>
      </c>
      <c r="I240" s="467">
        <f>C240/$C$176</f>
        <v>1.0438829787234042E-2</v>
      </c>
      <c r="J240" s="467">
        <f>D240/$D$176</f>
        <v>6.4623669701243752E-2</v>
      </c>
      <c r="K240" s="467">
        <f>E240/$E$176</f>
        <v>6.3779988297249859E-2</v>
      </c>
      <c r="L240" s="467">
        <f>F240/$F$176</f>
        <v>4.2476088635418525E-2</v>
      </c>
      <c r="M240" s="453">
        <f>G240/$G$176</f>
        <v>3.6510811728744479E-2</v>
      </c>
      <c r="N240" s="466">
        <f t="shared" si="87"/>
        <v>4.3565877629978135E-2</v>
      </c>
      <c r="O240" s="456"/>
    </row>
    <row r="241" spans="1:15" ht="12.3" x14ac:dyDescent="0.4">
      <c r="A241" s="89"/>
      <c r="B241" s="99" t="s">
        <v>30</v>
      </c>
      <c r="C241" s="1">
        <v>634</v>
      </c>
      <c r="D241" s="223">
        <v>471</v>
      </c>
      <c r="E241" s="1">
        <v>476</v>
      </c>
      <c r="F241" s="226">
        <v>398</v>
      </c>
      <c r="G241" s="227">
        <v>433</v>
      </c>
      <c r="I241" s="467">
        <f>C241/$C$176</f>
        <v>4.2154255319148938E-2</v>
      </c>
      <c r="J241" s="467">
        <f>D241/$D$176</f>
        <v>3.0196178997307348E-2</v>
      </c>
      <c r="K241" s="467">
        <f>E241/$E$176</f>
        <v>2.7852545348156815E-2</v>
      </c>
      <c r="L241" s="467">
        <f>F241/$F$176</f>
        <v>2.36440325551001E-2</v>
      </c>
      <c r="M241" s="453">
        <f>G241/$G$176</f>
        <v>2.4510358881467225E-2</v>
      </c>
      <c r="N241" s="466">
        <f t="shared" si="87"/>
        <v>2.9671474220236083E-2</v>
      </c>
      <c r="O241" s="456"/>
    </row>
    <row r="242" spans="1:15" ht="12.3" x14ac:dyDescent="0.4">
      <c r="A242" s="89"/>
      <c r="B242" s="99" t="s">
        <v>240</v>
      </c>
      <c r="C242" s="1">
        <v>444</v>
      </c>
      <c r="D242" s="223">
        <v>154</v>
      </c>
      <c r="E242" s="1">
        <v>434</v>
      </c>
      <c r="F242" s="226">
        <v>454</v>
      </c>
      <c r="G242" s="227">
        <v>236</v>
      </c>
      <c r="I242" s="467"/>
      <c r="J242" s="467"/>
      <c r="K242" s="467"/>
      <c r="L242" s="467"/>
      <c r="M242" s="453"/>
      <c r="N242" s="456"/>
      <c r="O242" s="456"/>
    </row>
    <row r="243" spans="1:15" ht="12.3" x14ac:dyDescent="0.4">
      <c r="A243" s="89"/>
      <c r="B243" s="99" t="s">
        <v>241</v>
      </c>
      <c r="C243" s="1">
        <v>870</v>
      </c>
      <c r="D243" s="223">
        <v>892</v>
      </c>
      <c r="E243" s="1">
        <v>197</v>
      </c>
      <c r="F243" s="226">
        <v>206</v>
      </c>
      <c r="G243" s="227">
        <v>216</v>
      </c>
      <c r="I243" s="467"/>
      <c r="J243" s="467"/>
      <c r="K243" s="467"/>
      <c r="L243" s="467"/>
      <c r="M243" s="454"/>
      <c r="N243" s="456"/>
      <c r="O243" s="456"/>
    </row>
    <row r="244" spans="1:15" ht="12.3" x14ac:dyDescent="0.4">
      <c r="A244" s="89"/>
      <c r="B244" s="99" t="s">
        <v>30</v>
      </c>
      <c r="C244" s="11">
        <v>2018</v>
      </c>
      <c r="D244" s="148">
        <v>1612</v>
      </c>
      <c r="E244" s="11">
        <v>1846</v>
      </c>
      <c r="F244" s="226">
        <v>1997</v>
      </c>
      <c r="G244" s="227">
        <v>2323</v>
      </c>
      <c r="I244" s="467"/>
      <c r="J244" s="467"/>
      <c r="K244" s="467"/>
      <c r="L244" s="467"/>
      <c r="M244" s="454"/>
      <c r="N244" s="456"/>
      <c r="O244" s="456"/>
    </row>
    <row r="245" spans="1:15" ht="12.3" x14ac:dyDescent="0.4">
      <c r="A245" s="89"/>
      <c r="B245" s="247" t="s">
        <v>242</v>
      </c>
      <c r="C245" s="9">
        <f t="shared" ref="C245:E245" si="88">SUM(C236:C244)</f>
        <v>6256</v>
      </c>
      <c r="D245" s="53">
        <f t="shared" si="88"/>
        <v>7493</v>
      </c>
      <c r="E245" s="136">
        <f t="shared" si="88"/>
        <v>5920</v>
      </c>
      <c r="F245" s="265">
        <v>6363</v>
      </c>
      <c r="G245" s="267">
        <v>7564</v>
      </c>
      <c r="I245" s="467"/>
      <c r="J245" s="467"/>
      <c r="K245" s="467"/>
      <c r="L245" s="467"/>
      <c r="M245" s="454"/>
      <c r="N245" s="456"/>
      <c r="O245" s="456"/>
    </row>
    <row r="246" spans="1:15" ht="12.3" x14ac:dyDescent="0.4">
      <c r="A246" s="89"/>
      <c r="B246" s="99" t="s">
        <v>243</v>
      </c>
      <c r="F246" s="261"/>
      <c r="G246" s="262"/>
      <c r="I246" s="467"/>
      <c r="J246" s="467"/>
      <c r="K246" s="467"/>
      <c r="L246" s="467"/>
      <c r="M246" s="454"/>
      <c r="N246" s="456"/>
      <c r="O246" s="456"/>
    </row>
    <row r="247" spans="1:15" ht="12.3" x14ac:dyDescent="0.4">
      <c r="A247" s="89"/>
      <c r="B247" s="99" t="s">
        <v>244</v>
      </c>
      <c r="C247" s="11">
        <v>12517</v>
      </c>
      <c r="D247" s="148">
        <v>12717</v>
      </c>
      <c r="E247" s="11">
        <v>15050</v>
      </c>
      <c r="F247" s="226">
        <v>15925</v>
      </c>
      <c r="G247" s="227">
        <v>16220</v>
      </c>
      <c r="I247" s="467"/>
      <c r="J247" s="467">
        <f>D247/C247-1</f>
        <v>1.597826955340742E-2</v>
      </c>
      <c r="K247" s="467">
        <f>E247/D247-1</f>
        <v>0.18345521742549353</v>
      </c>
      <c r="L247" s="467">
        <f>F247/E247-1</f>
        <v>5.8139534883721034E-2</v>
      </c>
      <c r="M247" s="467">
        <f>G247/F247-1</f>
        <v>1.8524332810047062E-2</v>
      </c>
      <c r="N247" s="468">
        <f>AVERAGE(D247:G247)</f>
        <v>14978</v>
      </c>
      <c r="O247" s="466">
        <f>AVERAGE(I247:M247)</f>
        <v>6.9024338668167262E-2</v>
      </c>
    </row>
    <row r="248" spans="1:15" ht="12.3" x14ac:dyDescent="0.4">
      <c r="A248" s="89"/>
      <c r="B248" s="99" t="s">
        <v>245</v>
      </c>
      <c r="C248" s="11">
        <v>5088</v>
      </c>
      <c r="D248" s="148">
        <v>5660</v>
      </c>
      <c r="E248" s="11">
        <v>6290</v>
      </c>
      <c r="F248" s="226">
        <v>6321</v>
      </c>
      <c r="G248" s="227">
        <v>6805</v>
      </c>
      <c r="I248" s="467">
        <f>D248/$D$176</f>
        <v>0.36286703423515837</v>
      </c>
      <c r="J248" s="467">
        <f>E248/$E$176</f>
        <v>0.36805149210064364</v>
      </c>
      <c r="K248" s="467">
        <f>F248/$F$176</f>
        <v>0.37551238638388879</v>
      </c>
      <c r="L248" s="467">
        <f>G248/$G$176</f>
        <v>0.38520321521566853</v>
      </c>
      <c r="M248" s="467">
        <f t="shared" ref="M248:M252" si="89">AVERAGE(I248:L248)</f>
        <v>0.37290853198383983</v>
      </c>
      <c r="N248" s="456"/>
      <c r="O248" s="456"/>
    </row>
    <row r="249" spans="1:15" ht="12.3" x14ac:dyDescent="0.4">
      <c r="A249" s="89"/>
      <c r="B249" s="99" t="s">
        <v>247</v>
      </c>
      <c r="C249" s="11">
        <v>3575</v>
      </c>
      <c r="D249" s="148">
        <v>1601</v>
      </c>
      <c r="E249" s="11">
        <v>2561</v>
      </c>
      <c r="F249" s="226">
        <v>2622</v>
      </c>
      <c r="G249" s="227">
        <v>2641</v>
      </c>
      <c r="I249" s="467">
        <f>D249/$D$176</f>
        <v>0.10264136427747148</v>
      </c>
      <c r="J249" s="467">
        <f>E249/$E$176</f>
        <v>0.14985371562317146</v>
      </c>
      <c r="K249" s="467">
        <f>F249/$F$176</f>
        <v>0.15576546070219213</v>
      </c>
      <c r="L249" s="467">
        <f>G249/$G$176</f>
        <v>0.14949620740405298</v>
      </c>
      <c r="M249" s="467">
        <f t="shared" si="89"/>
        <v>0.139439187001722</v>
      </c>
      <c r="N249" s="456"/>
      <c r="O249" s="456"/>
    </row>
    <row r="250" spans="1:15" ht="12.3" x14ac:dyDescent="0.4">
      <c r="A250" s="89"/>
      <c r="B250" s="99" t="s">
        <v>248</v>
      </c>
      <c r="C250" s="11">
        <v>2919</v>
      </c>
      <c r="D250" s="148">
        <v>3539</v>
      </c>
      <c r="E250" s="11">
        <v>3575</v>
      </c>
      <c r="F250" s="226">
        <v>3643</v>
      </c>
      <c r="G250" s="227">
        <v>4684</v>
      </c>
      <c r="I250" s="467">
        <f>D250/$D$176</f>
        <v>0.22688806257212463</v>
      </c>
      <c r="J250" s="467">
        <f>E250/$E$176</f>
        <v>0.20918665886483323</v>
      </c>
      <c r="K250" s="467">
        <f>F250/$F$176</f>
        <v>0.21642012713123032</v>
      </c>
      <c r="L250" s="467">
        <f>G250/$G$176</f>
        <v>0.26514208083323898</v>
      </c>
      <c r="M250" s="467">
        <f t="shared" si="89"/>
        <v>0.22940923235035679</v>
      </c>
      <c r="N250" s="456"/>
      <c r="O250" s="456"/>
    </row>
    <row r="251" spans="1:15" ht="12.3" x14ac:dyDescent="0.4">
      <c r="A251" s="89"/>
      <c r="B251" s="99" t="s">
        <v>249</v>
      </c>
      <c r="C251" s="11">
        <v>6748</v>
      </c>
      <c r="D251" s="148">
        <v>7823</v>
      </c>
      <c r="E251" s="11">
        <v>8513</v>
      </c>
      <c r="F251" s="226">
        <v>9206</v>
      </c>
      <c r="G251" s="227">
        <v>10213</v>
      </c>
      <c r="I251" s="467">
        <f>D251/$D$176</f>
        <v>0.50153865880241055</v>
      </c>
      <c r="J251" s="467">
        <f>E251/$E$176</f>
        <v>0.49812755997659453</v>
      </c>
      <c r="K251" s="467">
        <f>F251/$F$176</f>
        <v>0.54690191884987827</v>
      </c>
      <c r="L251" s="467">
        <f>G251/$G$176</f>
        <v>0.57811615532661609</v>
      </c>
      <c r="M251" s="467">
        <f t="shared" si="89"/>
        <v>0.5311710732388748</v>
      </c>
      <c r="N251" s="456"/>
      <c r="O251" s="456"/>
    </row>
    <row r="252" spans="1:15" ht="12.3" x14ac:dyDescent="0.4">
      <c r="A252" s="89"/>
      <c r="B252" s="99" t="s">
        <v>30</v>
      </c>
      <c r="C252" s="11">
        <v>2020</v>
      </c>
      <c r="D252" s="148">
        <v>2178</v>
      </c>
      <c r="E252" s="11">
        <v>2218</v>
      </c>
      <c r="F252" s="226">
        <v>2326</v>
      </c>
      <c r="G252" s="227">
        <v>2279</v>
      </c>
      <c r="I252" s="467">
        <f>D252/$D$176</f>
        <v>0.13963328631875882</v>
      </c>
      <c r="J252" s="467">
        <f>E252/$E$176</f>
        <v>0.12978349912229373</v>
      </c>
      <c r="K252" s="467">
        <f>F252/$F$176</f>
        <v>0.13818095407829858</v>
      </c>
      <c r="L252" s="467">
        <f>G252/$G$176</f>
        <v>0.1290048681082305</v>
      </c>
      <c r="M252" s="467">
        <f t="shared" si="89"/>
        <v>0.1341506519068954</v>
      </c>
      <c r="N252" s="456"/>
      <c r="O252" s="456"/>
    </row>
    <row r="253" spans="1:15" ht="12.3" x14ac:dyDescent="0.4">
      <c r="A253" s="89"/>
      <c r="B253" s="247" t="s">
        <v>250</v>
      </c>
      <c r="C253" s="53">
        <f t="shared" ref="C253:E253" si="90">SUM(C247:C252)</f>
        <v>32867</v>
      </c>
      <c r="D253" s="53">
        <f t="shared" si="90"/>
        <v>33518</v>
      </c>
      <c r="E253" s="53">
        <f t="shared" si="90"/>
        <v>38207</v>
      </c>
      <c r="F253" s="265">
        <v>40043</v>
      </c>
      <c r="G253" s="267">
        <v>42842</v>
      </c>
    </row>
    <row r="254" spans="1:15" ht="12.3" x14ac:dyDescent="0.4">
      <c r="B254" s="26"/>
      <c r="F254" s="261"/>
      <c r="G254" s="262"/>
    </row>
    <row r="255" spans="1:15" ht="12.3" x14ac:dyDescent="0.4">
      <c r="A255" s="89"/>
      <c r="B255" s="99" t="s">
        <v>251</v>
      </c>
      <c r="F255" s="261"/>
      <c r="G255" s="281"/>
    </row>
    <row r="256" spans="1:15" ht="12.3" x14ac:dyDescent="0.4">
      <c r="A256" s="89"/>
      <c r="B256" s="247" t="s">
        <v>101</v>
      </c>
      <c r="F256" s="261"/>
      <c r="G256" s="262"/>
    </row>
    <row r="257" spans="1:7" ht="12.3" x14ac:dyDescent="0.4">
      <c r="A257" s="89"/>
      <c r="B257" s="99" t="s">
        <v>252</v>
      </c>
      <c r="C257" s="11">
        <v>8428</v>
      </c>
      <c r="D257" s="148">
        <v>9550</v>
      </c>
      <c r="E257" s="11">
        <v>10421</v>
      </c>
      <c r="F257" s="226">
        <v>11282</v>
      </c>
      <c r="G257" s="227">
        <v>12198</v>
      </c>
    </row>
    <row r="258" spans="1:7" ht="12.3" x14ac:dyDescent="0.4">
      <c r="A258" s="89"/>
      <c r="B258" s="99" t="s">
        <v>253</v>
      </c>
      <c r="C258" s="11">
        <v>4747</v>
      </c>
      <c r="D258" s="148">
        <v>4742</v>
      </c>
      <c r="E258" s="11">
        <v>5316</v>
      </c>
      <c r="F258" s="226">
        <v>5301</v>
      </c>
      <c r="G258" s="227">
        <v>5751</v>
      </c>
    </row>
    <row r="259" spans="1:7" ht="12.3" x14ac:dyDescent="0.4">
      <c r="A259" s="89"/>
      <c r="B259" s="99" t="s">
        <v>254</v>
      </c>
      <c r="C259" s="1">
        <v>-101</v>
      </c>
      <c r="D259" s="223">
        <v>50</v>
      </c>
      <c r="E259" s="1">
        <v>11</v>
      </c>
      <c r="F259" s="226">
        <v>-7</v>
      </c>
      <c r="G259" s="227">
        <v>-9</v>
      </c>
    </row>
    <row r="260" spans="1:7" ht="12.3" x14ac:dyDescent="0.4">
      <c r="A260" s="89"/>
      <c r="B260" s="99" t="s">
        <v>255</v>
      </c>
      <c r="C260" s="2">
        <f t="shared" ref="C260:E260" si="91">SUM(C257:C259)</f>
        <v>13074</v>
      </c>
      <c r="D260" s="2">
        <f t="shared" si="91"/>
        <v>14342</v>
      </c>
      <c r="E260" s="2">
        <f t="shared" si="91"/>
        <v>15748</v>
      </c>
      <c r="F260" s="226">
        <v>16576</v>
      </c>
      <c r="G260" s="227">
        <v>17940</v>
      </c>
    </row>
    <row r="261" spans="1:7" ht="12.3" x14ac:dyDescent="0.4">
      <c r="A261" s="89"/>
      <c r="B261" s="99" t="s">
        <v>256</v>
      </c>
      <c r="C261" s="1">
        <v>252</v>
      </c>
      <c r="D261" s="223">
        <v>252</v>
      </c>
      <c r="E261" s="1">
        <v>252</v>
      </c>
      <c r="F261" s="226">
        <v>252</v>
      </c>
      <c r="G261" s="227">
        <v>252</v>
      </c>
    </row>
    <row r="262" spans="1:7" ht="12.3" x14ac:dyDescent="0.4">
      <c r="A262" s="89"/>
      <c r="B262" s="247" t="s">
        <v>257</v>
      </c>
      <c r="C262" s="62">
        <f t="shared" ref="C262:D262" si="92">C260+C261</f>
        <v>13326</v>
      </c>
      <c r="D262" s="62">
        <f t="shared" si="92"/>
        <v>14594</v>
      </c>
      <c r="E262" s="285">
        <v>16000</v>
      </c>
      <c r="F262" s="286">
        <v>16828</v>
      </c>
      <c r="G262" s="287">
        <v>18192</v>
      </c>
    </row>
    <row r="263" spans="1:7" ht="12.3" x14ac:dyDescent="0.4">
      <c r="A263" s="89"/>
      <c r="B263" s="288" t="s">
        <v>258</v>
      </c>
      <c r="C263" s="62">
        <f t="shared" ref="C263:E263" si="93">C262+C253+C245</f>
        <v>52449</v>
      </c>
      <c r="D263" s="62">
        <f t="shared" si="93"/>
        <v>55605</v>
      </c>
      <c r="E263" s="62">
        <f t="shared" si="93"/>
        <v>60127</v>
      </c>
      <c r="F263" s="286">
        <v>63234</v>
      </c>
      <c r="G263" s="287">
        <v>68598</v>
      </c>
    </row>
    <row r="264" spans="1:7" ht="12.3" x14ac:dyDescent="0.4">
      <c r="A264" s="1"/>
      <c r="B264" s="482" t="s">
        <v>370</v>
      </c>
      <c r="C264" s="482"/>
      <c r="D264" s="482"/>
      <c r="E264" s="482"/>
      <c r="F264" s="482"/>
      <c r="G264" s="482"/>
    </row>
    <row r="265" spans="1:7" ht="12.3" x14ac:dyDescent="0.4">
      <c r="A265" s="1"/>
      <c r="B265" s="1"/>
    </row>
    <row r="266" spans="1:7" ht="12.3" x14ac:dyDescent="0.4">
      <c r="A266" s="3"/>
      <c r="B266" s="488" t="s">
        <v>259</v>
      </c>
      <c r="C266" s="489"/>
      <c r="D266" s="489"/>
      <c r="E266" s="489"/>
      <c r="F266" s="489"/>
      <c r="G266" s="490"/>
    </row>
    <row r="267" spans="1:7" ht="12.3" x14ac:dyDescent="0.4">
      <c r="A267" s="290"/>
      <c r="B267" s="501" t="s">
        <v>106</v>
      </c>
      <c r="C267" s="489"/>
      <c r="D267" s="489"/>
      <c r="E267" s="489"/>
      <c r="F267" s="489"/>
      <c r="G267" s="490"/>
    </row>
    <row r="268" spans="1:7" ht="12.3" x14ac:dyDescent="0.4">
      <c r="A268" s="89"/>
      <c r="B268" s="293"/>
      <c r="C268" s="55">
        <f t="shared" ref="C268:G268" si="94">C200</f>
        <v>2012</v>
      </c>
      <c r="D268" s="55">
        <f t="shared" si="94"/>
        <v>2013</v>
      </c>
      <c r="E268" s="55">
        <f t="shared" si="94"/>
        <v>2014</v>
      </c>
      <c r="F268" s="55">
        <f t="shared" si="94"/>
        <v>2015</v>
      </c>
      <c r="G268" s="110">
        <f t="shared" si="94"/>
        <v>2016</v>
      </c>
    </row>
    <row r="269" spans="1:7" ht="12.3" x14ac:dyDescent="0.4">
      <c r="A269" s="89"/>
      <c r="B269" s="99" t="s">
        <v>260</v>
      </c>
      <c r="G269" s="15"/>
    </row>
    <row r="270" spans="1:7" ht="12.3" x14ac:dyDescent="0.4">
      <c r="A270" s="89"/>
      <c r="B270" s="99" t="s">
        <v>261</v>
      </c>
      <c r="C270" s="223">
        <v>830</v>
      </c>
      <c r="D270" s="78">
        <v>828</v>
      </c>
      <c r="E270" s="242">
        <v>1450</v>
      </c>
      <c r="F270" s="242">
        <v>888</v>
      </c>
      <c r="G270" s="243">
        <v>1407</v>
      </c>
    </row>
    <row r="271" spans="1:7" ht="12.3" x14ac:dyDescent="0.4">
      <c r="A271" s="89"/>
      <c r="B271" s="99" t="s">
        <v>262</v>
      </c>
      <c r="E271" s="233"/>
      <c r="F271" s="233"/>
      <c r="G271" s="234"/>
    </row>
    <row r="272" spans="1:7" ht="12.3" x14ac:dyDescent="0.4">
      <c r="A272" s="89"/>
      <c r="B272" s="99" t="s">
        <v>263</v>
      </c>
      <c r="E272" s="233"/>
      <c r="F272" s="233"/>
      <c r="G272" s="234"/>
    </row>
    <row r="273" spans="1:7" ht="12.3" x14ac:dyDescent="0.4">
      <c r="A273" s="89"/>
      <c r="B273" s="99" t="s">
        <v>264</v>
      </c>
      <c r="C273" s="148">
        <v>2272</v>
      </c>
      <c r="D273" s="11">
        <v>2077</v>
      </c>
      <c r="E273" s="228">
        <v>2433</v>
      </c>
      <c r="F273" s="228">
        <v>2612</v>
      </c>
      <c r="G273" s="229">
        <v>2755</v>
      </c>
    </row>
    <row r="274" spans="1:7" ht="12.3" x14ac:dyDescent="0.4">
      <c r="A274" s="89"/>
      <c r="B274" s="99" t="s">
        <v>265</v>
      </c>
      <c r="C274" s="223">
        <v>-107</v>
      </c>
      <c r="D274" s="1">
        <v>-101</v>
      </c>
      <c r="E274" s="242">
        <v>-100</v>
      </c>
      <c r="F274" s="242">
        <v>-107</v>
      </c>
      <c r="G274" s="243">
        <v>-112</v>
      </c>
    </row>
    <row r="275" spans="1:7" ht="12.3" x14ac:dyDescent="0.4">
      <c r="A275" s="89"/>
      <c r="B275" s="99" t="s">
        <v>266</v>
      </c>
      <c r="C275" s="223">
        <v>648</v>
      </c>
      <c r="D275" s="11">
        <v>1075</v>
      </c>
      <c r="E275" s="89">
        <v>690</v>
      </c>
      <c r="F275" s="89">
        <v>693</v>
      </c>
      <c r="G275" s="229">
        <v>1030</v>
      </c>
    </row>
    <row r="276" spans="1:7" ht="12.3" x14ac:dyDescent="0.4">
      <c r="A276" s="89"/>
      <c r="B276" s="99" t="s">
        <v>267</v>
      </c>
      <c r="C276" s="223">
        <v>353</v>
      </c>
      <c r="D276" s="1">
        <v>196</v>
      </c>
      <c r="E276" s="89">
        <v>116</v>
      </c>
      <c r="F276" s="89">
        <v>407</v>
      </c>
      <c r="G276" s="235">
        <v>507</v>
      </c>
    </row>
    <row r="277" spans="1:7" ht="12.3" x14ac:dyDescent="0.4">
      <c r="A277" s="89"/>
      <c r="B277" s="99" t="s">
        <v>30</v>
      </c>
      <c r="C277" s="223">
        <v>290</v>
      </c>
      <c r="D277" s="1">
        <v>355</v>
      </c>
      <c r="E277" s="89">
        <v>286</v>
      </c>
      <c r="F277" s="89">
        <v>326</v>
      </c>
      <c r="G277" s="235">
        <v>379</v>
      </c>
    </row>
    <row r="278" spans="1:7" ht="12.3" x14ac:dyDescent="0.4">
      <c r="A278" s="89"/>
      <c r="B278" s="99" t="s">
        <v>268</v>
      </c>
      <c r="E278" s="233"/>
      <c r="F278" s="233"/>
      <c r="G278" s="234"/>
    </row>
    <row r="279" spans="1:7" ht="12.3" x14ac:dyDescent="0.4">
      <c r="A279" s="89"/>
      <c r="B279" s="99" t="s">
        <v>215</v>
      </c>
      <c r="C279" s="223">
        <v>-40</v>
      </c>
      <c r="D279" s="1">
        <v>-152</v>
      </c>
      <c r="E279" s="89">
        <v>13</v>
      </c>
      <c r="F279" s="242">
        <v>-177</v>
      </c>
      <c r="G279" s="243">
        <v>-473</v>
      </c>
    </row>
    <row r="280" spans="1:7" ht="12.3" x14ac:dyDescent="0.4">
      <c r="A280" s="89"/>
      <c r="B280" s="99" t="s">
        <v>269</v>
      </c>
      <c r="E280" s="89" t="s">
        <v>270</v>
      </c>
      <c r="F280" s="89" t="s">
        <v>270</v>
      </c>
      <c r="G280" s="243">
        <v>-575</v>
      </c>
    </row>
    <row r="281" spans="1:7" ht="12.3" x14ac:dyDescent="0.4">
      <c r="A281" s="89"/>
      <c r="B281" s="99" t="s">
        <v>222</v>
      </c>
      <c r="C281" s="223">
        <v>-24</v>
      </c>
      <c r="D281" s="1">
        <v>-10</v>
      </c>
      <c r="E281" s="242">
        <v>-22</v>
      </c>
      <c r="F281" s="89">
        <v>37</v>
      </c>
      <c r="G281" s="243">
        <v>-24</v>
      </c>
    </row>
    <row r="282" spans="1:7" ht="12.3" x14ac:dyDescent="0.4">
      <c r="A282" s="89"/>
      <c r="B282" s="99" t="s">
        <v>238</v>
      </c>
      <c r="C282" s="223">
        <v>-4</v>
      </c>
      <c r="D282" s="1">
        <v>113</v>
      </c>
      <c r="E282" s="242">
        <v>-61</v>
      </c>
      <c r="F282" s="242">
        <v>-55</v>
      </c>
      <c r="G282" s="235">
        <v>180</v>
      </c>
    </row>
    <row r="283" spans="1:7" ht="12.3" x14ac:dyDescent="0.4">
      <c r="A283" s="89"/>
      <c r="B283" s="99" t="s">
        <v>271</v>
      </c>
      <c r="E283" s="89" t="s">
        <v>270</v>
      </c>
      <c r="F283" s="89" t="s">
        <v>270</v>
      </c>
      <c r="G283" s="235">
        <v>690</v>
      </c>
    </row>
    <row r="284" spans="1:7" ht="12.3" x14ac:dyDescent="0.4">
      <c r="A284" s="89"/>
      <c r="B284" s="99" t="s">
        <v>272</v>
      </c>
      <c r="C284" s="223">
        <v>-132</v>
      </c>
      <c r="D284" s="1">
        <v>-363</v>
      </c>
      <c r="E284" s="89">
        <v>376</v>
      </c>
      <c r="F284" s="89">
        <v>43</v>
      </c>
      <c r="G284" s="243">
        <v>-5</v>
      </c>
    </row>
    <row r="285" spans="1:7" ht="12.3" x14ac:dyDescent="0.4">
      <c r="A285" s="89"/>
      <c r="B285" s="99" t="s">
        <v>273</v>
      </c>
      <c r="C285" s="223">
        <v>262</v>
      </c>
      <c r="D285" s="1">
        <v>-469</v>
      </c>
      <c r="E285" s="89">
        <v>218</v>
      </c>
      <c r="F285" s="242">
        <v>-288</v>
      </c>
      <c r="G285" s="235">
        <v>83</v>
      </c>
    </row>
    <row r="286" spans="1:7" ht="12.3" x14ac:dyDescent="0.4">
      <c r="A286" s="89"/>
      <c r="B286" s="99" t="s">
        <v>274</v>
      </c>
      <c r="C286" s="223">
        <v>291</v>
      </c>
      <c r="D286" s="1">
        <v>-202</v>
      </c>
      <c r="E286" s="242">
        <v>-1642</v>
      </c>
      <c r="F286" s="242">
        <v>-244</v>
      </c>
      <c r="G286" s="243">
        <v>-1214</v>
      </c>
    </row>
    <row r="287" spans="1:7" ht="12.3" x14ac:dyDescent="0.4">
      <c r="A287" s="89"/>
      <c r="B287" s="99" t="s">
        <v>275</v>
      </c>
      <c r="C287" s="223">
        <v>243</v>
      </c>
      <c r="D287" s="1">
        <v>80</v>
      </c>
      <c r="E287" s="242">
        <v>-67</v>
      </c>
      <c r="F287" s="242">
        <v>-355</v>
      </c>
      <c r="G287" s="243">
        <v>-219</v>
      </c>
    </row>
    <row r="288" spans="1:7" ht="12.3" x14ac:dyDescent="0.4">
      <c r="A288" s="89"/>
      <c r="B288" s="99" t="s">
        <v>276</v>
      </c>
      <c r="C288">
        <f t="shared" ref="C288:D288" si="95">SUM(C270:C287)</f>
        <v>4882</v>
      </c>
      <c r="D288" s="37">
        <f t="shared" si="95"/>
        <v>3427</v>
      </c>
      <c r="E288" s="228">
        <v>3690</v>
      </c>
      <c r="F288" s="228">
        <v>3780</v>
      </c>
      <c r="G288" s="229">
        <v>4409</v>
      </c>
    </row>
    <row r="289" spans="1:7" ht="12.3" x14ac:dyDescent="0.4">
      <c r="A289" s="89"/>
      <c r="B289" s="99" t="s">
        <v>278</v>
      </c>
      <c r="E289" s="233"/>
      <c r="F289" s="233"/>
      <c r="G289" s="234"/>
    </row>
    <row r="290" spans="1:7" ht="12.3" x14ac:dyDescent="0.4">
      <c r="A290" s="89"/>
      <c r="B290" s="99" t="s">
        <v>279</v>
      </c>
      <c r="C290" s="148">
        <v>-4624</v>
      </c>
      <c r="D290" s="11">
        <v>-5207</v>
      </c>
      <c r="E290" s="242">
        <v>-4833</v>
      </c>
      <c r="F290" s="242">
        <v>-5173</v>
      </c>
      <c r="G290" s="243">
        <v>-5709</v>
      </c>
    </row>
    <row r="291" spans="1:7" ht="12.3" x14ac:dyDescent="0.4">
      <c r="A291" s="89"/>
      <c r="B291" s="99" t="s">
        <v>280</v>
      </c>
      <c r="C291" s="223">
        <v>50</v>
      </c>
      <c r="D291" s="1">
        <v>29</v>
      </c>
      <c r="E291" s="89">
        <v>3</v>
      </c>
      <c r="F291" s="89">
        <v>64</v>
      </c>
      <c r="G291" s="235">
        <v>227</v>
      </c>
    </row>
    <row r="292" spans="1:7" ht="12.3" x14ac:dyDescent="0.4">
      <c r="A292" s="89"/>
      <c r="B292" s="99" t="s">
        <v>281</v>
      </c>
      <c r="E292" s="233"/>
      <c r="F292" s="233"/>
      <c r="G292" s="234"/>
    </row>
    <row r="293" spans="1:7" ht="12.3" x14ac:dyDescent="0.4">
      <c r="A293" s="89"/>
      <c r="B293" s="99" t="s">
        <v>282</v>
      </c>
      <c r="C293" s="148">
        <v>1133</v>
      </c>
      <c r="D293" s="11">
        <v>1619</v>
      </c>
      <c r="E293" s="228">
        <v>1336</v>
      </c>
      <c r="F293" s="228">
        <v>1268</v>
      </c>
      <c r="G293" s="229">
        <v>1295</v>
      </c>
    </row>
    <row r="294" spans="1:7" ht="12.3" x14ac:dyDescent="0.4">
      <c r="A294" s="89"/>
      <c r="B294" s="99" t="s">
        <v>284</v>
      </c>
      <c r="C294" s="148">
        <v>-1189</v>
      </c>
      <c r="D294" s="11">
        <v>-1604</v>
      </c>
      <c r="E294" s="242">
        <v>-1334</v>
      </c>
      <c r="F294" s="242">
        <v>-1392</v>
      </c>
      <c r="G294" s="243">
        <v>-1352</v>
      </c>
    </row>
    <row r="295" spans="1:7" ht="12.3" x14ac:dyDescent="0.4">
      <c r="A295" s="89"/>
      <c r="B295" s="99" t="s">
        <v>30</v>
      </c>
      <c r="C295" s="223">
        <v>104</v>
      </c>
      <c r="D295" s="1">
        <v>56</v>
      </c>
      <c r="E295" s="89">
        <v>114</v>
      </c>
      <c r="F295" s="89">
        <v>22</v>
      </c>
      <c r="G295" s="235">
        <v>13</v>
      </c>
    </row>
    <row r="296" spans="1:7" ht="12.3" x14ac:dyDescent="0.4">
      <c r="A296" s="89"/>
      <c r="B296" s="99" t="s">
        <v>285</v>
      </c>
      <c r="C296" s="2">
        <f t="shared" ref="C296:D296" si="96">SUM(C290:C295)</f>
        <v>-4526</v>
      </c>
      <c r="D296" s="2">
        <f t="shared" si="96"/>
        <v>-5107</v>
      </c>
      <c r="E296" s="242">
        <v>-4714</v>
      </c>
      <c r="F296" s="242">
        <v>-5211</v>
      </c>
      <c r="G296" s="243">
        <v>-5526</v>
      </c>
    </row>
    <row r="297" spans="1:7" ht="12.3" x14ac:dyDescent="0.4">
      <c r="A297" s="89"/>
      <c r="B297" s="99" t="s">
        <v>286</v>
      </c>
      <c r="E297" s="233"/>
      <c r="F297" s="233"/>
      <c r="G297" s="234"/>
    </row>
    <row r="298" spans="1:7" ht="12.3" x14ac:dyDescent="0.4">
      <c r="A298" s="89"/>
      <c r="B298" s="99" t="s">
        <v>287</v>
      </c>
      <c r="C298" s="223">
        <v>120</v>
      </c>
      <c r="D298" s="1">
        <v>140</v>
      </c>
      <c r="E298" s="242">
        <v>-260</v>
      </c>
      <c r="F298" s="89" t="s">
        <v>270</v>
      </c>
      <c r="G298" s="235" t="s">
        <v>270</v>
      </c>
    </row>
    <row r="299" spans="1:7" ht="12.3" x14ac:dyDescent="0.4">
      <c r="A299" s="89"/>
      <c r="B299" s="99" t="s">
        <v>288</v>
      </c>
      <c r="E299" s="233"/>
      <c r="F299" s="233"/>
      <c r="G299" s="234"/>
    </row>
    <row r="300" spans="1:7" ht="12.3" x14ac:dyDescent="0.4">
      <c r="A300" s="89"/>
      <c r="B300" s="99" t="s">
        <v>289</v>
      </c>
      <c r="C300" s="148">
        <v>-1021</v>
      </c>
      <c r="D300" s="1">
        <v>542</v>
      </c>
      <c r="E300" s="242">
        <v>-583</v>
      </c>
      <c r="F300" s="89">
        <v>683</v>
      </c>
      <c r="G300" s="243">
        <v>-9</v>
      </c>
    </row>
    <row r="301" spans="1:7" ht="12.3" x14ac:dyDescent="0.4">
      <c r="A301" s="89"/>
      <c r="B301" s="99" t="s">
        <v>290</v>
      </c>
      <c r="E301" s="89">
        <v>300</v>
      </c>
      <c r="F301" s="89" t="s">
        <v>270</v>
      </c>
      <c r="G301" s="235">
        <v>500</v>
      </c>
    </row>
    <row r="302" spans="1:7" ht="12.3" x14ac:dyDescent="0.4">
      <c r="A302" s="89"/>
      <c r="B302" s="99" t="s">
        <v>291</v>
      </c>
      <c r="E302" s="89" t="s">
        <v>270</v>
      </c>
      <c r="F302" s="242">
        <v>-300</v>
      </c>
      <c r="G302" s="235" t="s">
        <v>270</v>
      </c>
    </row>
    <row r="303" spans="1:7" ht="12.3" x14ac:dyDescent="0.4">
      <c r="A303" s="89"/>
      <c r="B303" s="99" t="s">
        <v>292</v>
      </c>
      <c r="E303" s="233"/>
      <c r="F303" s="233"/>
      <c r="G303" s="234"/>
    </row>
    <row r="304" spans="1:7" ht="12.3" x14ac:dyDescent="0.4">
      <c r="A304" s="89"/>
      <c r="B304" s="99" t="s">
        <v>293</v>
      </c>
      <c r="C304" s="148">
        <v>1137</v>
      </c>
      <c r="D304" s="11">
        <v>1532</v>
      </c>
      <c r="E304" s="228">
        <v>2308</v>
      </c>
      <c r="F304" s="228">
        <v>1123</v>
      </c>
      <c r="G304" s="235">
        <v>983</v>
      </c>
    </row>
    <row r="305" spans="1:7" ht="12.3" x14ac:dyDescent="0.4">
      <c r="A305" s="89"/>
      <c r="B305" s="99" t="s">
        <v>291</v>
      </c>
      <c r="C305" s="223">
        <v>-250</v>
      </c>
      <c r="D305" s="1"/>
      <c r="E305" s="242"/>
      <c r="F305" s="89"/>
      <c r="G305" s="243"/>
    </row>
    <row r="306" spans="1:7" ht="12.3" x14ac:dyDescent="0.4">
      <c r="A306" s="89"/>
      <c r="B306" s="99" t="s">
        <v>294</v>
      </c>
      <c r="C306" s="223">
        <v>-50</v>
      </c>
      <c r="D306" s="1">
        <v>-861</v>
      </c>
      <c r="E306" s="242">
        <v>-889</v>
      </c>
      <c r="F306" s="89" t="s">
        <v>270</v>
      </c>
      <c r="G306" s="243">
        <v>-160</v>
      </c>
    </row>
    <row r="307" spans="1:7" ht="12.3" x14ac:dyDescent="0.4">
      <c r="A307" s="89"/>
      <c r="B307" s="99" t="s">
        <v>295</v>
      </c>
      <c r="C307" s="223">
        <v>-423</v>
      </c>
      <c r="D307" s="11"/>
      <c r="E307" s="89"/>
      <c r="F307" s="89"/>
      <c r="G307" s="235"/>
    </row>
    <row r="308" spans="1:7" ht="12.3" x14ac:dyDescent="0.4">
      <c r="A308" s="89"/>
      <c r="B308" s="99" t="s">
        <v>296</v>
      </c>
      <c r="C308" s="223">
        <v>751</v>
      </c>
      <c r="D308" s="11">
        <v>1045</v>
      </c>
      <c r="E308" s="89">
        <v>802</v>
      </c>
      <c r="F308" s="89">
        <v>780</v>
      </c>
      <c r="G308" s="235">
        <v>822</v>
      </c>
    </row>
    <row r="309" spans="1:7" ht="12.3" x14ac:dyDescent="0.4">
      <c r="A309" s="89"/>
      <c r="B309" s="99" t="s">
        <v>297</v>
      </c>
      <c r="C309" s="223">
        <v>-746</v>
      </c>
      <c r="D309" s="1">
        <v>-782</v>
      </c>
      <c r="E309" s="242">
        <v>-828</v>
      </c>
      <c r="F309" s="242">
        <v>-856</v>
      </c>
      <c r="G309" s="243">
        <v>-921</v>
      </c>
    </row>
    <row r="310" spans="1:7" ht="12.3" x14ac:dyDescent="0.4">
      <c r="A310" s="89"/>
      <c r="B310" s="99" t="s">
        <v>30</v>
      </c>
      <c r="C310" s="223">
        <v>14</v>
      </c>
      <c r="D310" s="1">
        <v>-41</v>
      </c>
      <c r="E310" s="89">
        <v>29</v>
      </c>
      <c r="F310" s="242">
        <v>-27</v>
      </c>
      <c r="G310" s="243">
        <v>-44</v>
      </c>
    </row>
    <row r="311" spans="1:7" ht="12.3" x14ac:dyDescent="0.4">
      <c r="A311" s="89"/>
      <c r="B311" s="99" t="s">
        <v>298</v>
      </c>
      <c r="C311">
        <f t="shared" ref="C311:D311" si="97">SUM(C298:C310)</f>
        <v>-468</v>
      </c>
      <c r="D311">
        <f t="shared" si="97"/>
        <v>1575</v>
      </c>
      <c r="E311" s="89">
        <v>879</v>
      </c>
      <c r="F311" s="228">
        <v>1403</v>
      </c>
      <c r="G311" s="229">
        <v>1171</v>
      </c>
    </row>
    <row r="312" spans="1:7" ht="12.3" x14ac:dyDescent="0.4">
      <c r="A312" s="89"/>
      <c r="B312" s="99" t="s">
        <v>299</v>
      </c>
      <c r="C312" s="223">
        <v>-112</v>
      </c>
      <c r="D312">
        <f>(105)</f>
        <v>105</v>
      </c>
      <c r="E312" s="242">
        <v>-145</v>
      </c>
      <c r="F312" s="242">
        <v>-28</v>
      </c>
      <c r="G312" s="235">
        <v>54</v>
      </c>
    </row>
    <row r="313" spans="1:7" ht="12.3" x14ac:dyDescent="0.4">
      <c r="A313" s="89"/>
      <c r="B313" s="99" t="s">
        <v>300</v>
      </c>
      <c r="C313" s="223">
        <v>513</v>
      </c>
      <c r="D313">
        <f>401</f>
        <v>401</v>
      </c>
      <c r="E313" s="89">
        <v>296</v>
      </c>
      <c r="F313" s="89">
        <v>151</v>
      </c>
      <c r="G313" s="235">
        <v>123</v>
      </c>
    </row>
    <row r="314" spans="1:7" ht="12.3" x14ac:dyDescent="0.4">
      <c r="A314" s="89"/>
      <c r="B314" s="99" t="s">
        <v>301</v>
      </c>
      <c r="C314" s="449">
        <f>SUM(C312:C313)</f>
        <v>401</v>
      </c>
      <c r="D314" s="448">
        <v>296</v>
      </c>
      <c r="E314" s="469">
        <v>151</v>
      </c>
      <c r="F314" s="469">
        <v>123</v>
      </c>
      <c r="G314" s="235">
        <v>177</v>
      </c>
    </row>
    <row r="315" spans="1:7" ht="15.75" customHeight="1" x14ac:dyDescent="0.4">
      <c r="B315" s="482" t="s">
        <v>370</v>
      </c>
      <c r="C315" s="482"/>
      <c r="D315" s="482"/>
      <c r="E315" s="482"/>
      <c r="F315" s="482"/>
      <c r="G315" s="482"/>
    </row>
    <row r="317" spans="1:7" ht="12.3" x14ac:dyDescent="0.4">
      <c r="B317" s="44" t="s">
        <v>302</v>
      </c>
      <c r="C317" s="310" t="s">
        <v>303</v>
      </c>
      <c r="D317" s="310" t="s">
        <v>304</v>
      </c>
      <c r="E317" s="312" t="s">
        <v>305</v>
      </c>
    </row>
    <row r="318" spans="1:7" ht="12.3" x14ac:dyDescent="0.4">
      <c r="B318" s="7">
        <v>20120131</v>
      </c>
      <c r="C318" s="450">
        <v>-1.3586000000000001E-2</v>
      </c>
      <c r="D318" s="450">
        <v>4.3582999999999997E-2</v>
      </c>
      <c r="E318" s="43">
        <v>2.7</v>
      </c>
    </row>
    <row r="319" spans="1:7" ht="12.3" x14ac:dyDescent="0.4">
      <c r="B319" s="7">
        <v>20120229</v>
      </c>
      <c r="C319" s="450">
        <v>2.5086000000000001E-2</v>
      </c>
      <c r="D319" s="450">
        <v>4.0589E-2</v>
      </c>
      <c r="E319" s="43">
        <v>2.75</v>
      </c>
    </row>
    <row r="320" spans="1:7" ht="12.3" x14ac:dyDescent="0.4">
      <c r="B320" s="7">
        <v>20120330</v>
      </c>
      <c r="C320" s="450">
        <v>5.2422999999999997E-2</v>
      </c>
      <c r="D320" s="450">
        <v>3.1331999999999999E-2</v>
      </c>
      <c r="E320" s="43">
        <v>2.94</v>
      </c>
    </row>
    <row r="321" spans="2:5" ht="12.3" x14ac:dyDescent="0.4">
      <c r="B321" s="7">
        <v>20120430</v>
      </c>
      <c r="C321" s="450">
        <v>1.7738E-2</v>
      </c>
      <c r="D321" s="450">
        <v>-7.4970000000000002E-3</v>
      </c>
      <c r="E321" s="43">
        <v>2.82</v>
      </c>
    </row>
    <row r="322" spans="2:5" ht="12.3" x14ac:dyDescent="0.4">
      <c r="B322" s="7">
        <v>20120531</v>
      </c>
      <c r="C322" s="450">
        <v>-1.0865E-2</v>
      </c>
      <c r="D322" s="450">
        <v>-6.2650999999999998E-2</v>
      </c>
      <c r="E322" s="43">
        <v>2.5299999999999998</v>
      </c>
    </row>
    <row r="323" spans="2:5" ht="12.3" x14ac:dyDescent="0.4">
      <c r="B323" s="7">
        <v>20120629</v>
      </c>
      <c r="C323" s="450">
        <v>4.6338999999999998E-2</v>
      </c>
      <c r="D323" s="450">
        <v>3.9555E-2</v>
      </c>
      <c r="E323" s="43">
        <v>2.31</v>
      </c>
    </row>
    <row r="324" spans="2:5" ht="12.3" x14ac:dyDescent="0.4">
      <c r="B324" s="7">
        <v>20120731</v>
      </c>
      <c r="C324" s="450">
        <v>1.966E-2</v>
      </c>
      <c r="D324" s="450">
        <v>1.2598E-2</v>
      </c>
      <c r="E324" s="43">
        <v>2.2200000000000002</v>
      </c>
    </row>
    <row r="325" spans="2:5" ht="12.3" x14ac:dyDescent="0.4">
      <c r="B325" s="7">
        <v>20120831</v>
      </c>
      <c r="C325" s="450">
        <v>-5.9575000000000003E-2</v>
      </c>
      <c r="D325" s="450">
        <v>1.9762999999999999E-2</v>
      </c>
      <c r="E325" s="43">
        <v>2.4</v>
      </c>
    </row>
    <row r="326" spans="2:5" ht="12.3" x14ac:dyDescent="0.4">
      <c r="B326" s="7">
        <v>20120928</v>
      </c>
      <c r="C326" s="450">
        <v>-6.5649999999999997E-3</v>
      </c>
      <c r="D326" s="450">
        <v>2.4236000000000001E-2</v>
      </c>
      <c r="E326" s="43">
        <v>2.4900000000000002</v>
      </c>
    </row>
    <row r="327" spans="2:5" ht="12.3" x14ac:dyDescent="0.4">
      <c r="B327" s="7">
        <v>20121031</v>
      </c>
      <c r="C327" s="450">
        <v>-3.5149999999999999E-3</v>
      </c>
      <c r="D327" s="450">
        <v>-1.9789000000000001E-2</v>
      </c>
      <c r="E327" s="43">
        <v>2.5099999999999998</v>
      </c>
    </row>
    <row r="328" spans="2:5" ht="12.3" x14ac:dyDescent="0.4">
      <c r="B328" s="7">
        <v>20121130</v>
      </c>
      <c r="C328" s="450">
        <v>-3.6923999999999998E-2</v>
      </c>
      <c r="D328" s="450">
        <v>2.8470000000000001E-3</v>
      </c>
      <c r="E328" s="43">
        <v>2.39</v>
      </c>
    </row>
    <row r="329" spans="2:5" ht="12.3" x14ac:dyDescent="0.4">
      <c r="B329" s="7">
        <v>20121231</v>
      </c>
      <c r="C329" s="450">
        <v>-7.6920000000000001E-3</v>
      </c>
      <c r="D329" s="450">
        <v>7.0679999999999996E-3</v>
      </c>
      <c r="E329" s="43">
        <v>2.4700000000000002</v>
      </c>
    </row>
    <row r="330" spans="2:5" ht="12.3" x14ac:dyDescent="0.4">
      <c r="B330" s="7">
        <v>20130131</v>
      </c>
      <c r="C330" s="450">
        <v>6.1224000000000001E-2</v>
      </c>
      <c r="D330" s="450">
        <v>5.0428000000000001E-2</v>
      </c>
      <c r="E330" s="43">
        <v>2.68</v>
      </c>
    </row>
    <row r="331" spans="2:5" ht="12.3" x14ac:dyDescent="0.4">
      <c r="B331" s="7">
        <v>20130228</v>
      </c>
      <c r="C331" s="450">
        <v>0</v>
      </c>
      <c r="D331" s="450">
        <v>1.1061E-2</v>
      </c>
      <c r="E331" s="43">
        <v>2.78</v>
      </c>
    </row>
    <row r="332" spans="2:5" ht="12.3" x14ac:dyDescent="0.4">
      <c r="B332" s="7">
        <v>20130328</v>
      </c>
      <c r="C332" s="450">
        <v>5.4995000000000002E-2</v>
      </c>
      <c r="D332" s="450">
        <v>3.5987999999999999E-2</v>
      </c>
      <c r="E332" s="43">
        <v>2.78</v>
      </c>
    </row>
    <row r="333" spans="2:5" ht="12.3" x14ac:dyDescent="0.4">
      <c r="B333" s="7">
        <v>20130430</v>
      </c>
      <c r="C333" s="450">
        <v>8.7805999999999995E-2</v>
      </c>
      <c r="D333" s="450">
        <v>1.8086000000000001E-2</v>
      </c>
      <c r="E333" s="43">
        <v>2.5499999999999998</v>
      </c>
    </row>
    <row r="334" spans="2:5" ht="12.3" x14ac:dyDescent="0.4">
      <c r="B334" s="7">
        <v>20130531</v>
      </c>
      <c r="C334" s="450">
        <v>-7.2873999999999994E-2</v>
      </c>
      <c r="D334" s="450">
        <v>2.0763E-2</v>
      </c>
      <c r="E334" s="43">
        <v>2.73</v>
      </c>
    </row>
    <row r="335" spans="2:5" ht="12.3" x14ac:dyDescent="0.4">
      <c r="B335" s="7">
        <v>20130628</v>
      </c>
      <c r="C335" s="450">
        <v>2.8389999999999999E-2</v>
      </c>
      <c r="D335" s="450">
        <v>-1.4999E-2</v>
      </c>
      <c r="E335" s="43">
        <v>3.07</v>
      </c>
    </row>
    <row r="336" spans="2:5" ht="12.3" x14ac:dyDescent="0.4">
      <c r="B336" s="7">
        <v>20130731</v>
      </c>
      <c r="C336" s="450">
        <v>3.4989999999999999E-3</v>
      </c>
      <c r="D336" s="450">
        <v>4.9461999999999999E-2</v>
      </c>
      <c r="E336" s="43">
        <v>3.31</v>
      </c>
    </row>
    <row r="337" spans="2:5" ht="12.3" x14ac:dyDescent="0.4">
      <c r="B337" s="7">
        <v>20130830</v>
      </c>
      <c r="C337" s="450">
        <v>-9.8713999999999996E-2</v>
      </c>
      <c r="D337" s="450">
        <v>-3.1297999999999999E-2</v>
      </c>
      <c r="E337" s="43">
        <v>3.49</v>
      </c>
    </row>
    <row r="338" spans="2:5" ht="12.3" x14ac:dyDescent="0.4">
      <c r="B338" s="7">
        <v>20130930</v>
      </c>
      <c r="C338" s="450">
        <v>3.6299999999999999E-4</v>
      </c>
      <c r="D338" s="450">
        <v>2.9749000000000001E-2</v>
      </c>
      <c r="E338" s="43">
        <v>3.53</v>
      </c>
    </row>
    <row r="339" spans="2:5" ht="12.3" x14ac:dyDescent="0.4">
      <c r="B339" s="7">
        <v>20131031</v>
      </c>
      <c r="C339" s="450">
        <v>2.2727000000000001E-2</v>
      </c>
      <c r="D339" s="450">
        <v>4.4595999999999997E-2</v>
      </c>
      <c r="E339" s="43">
        <v>3.38</v>
      </c>
    </row>
    <row r="340" spans="2:5" ht="12.3" x14ac:dyDescent="0.4">
      <c r="B340" s="7">
        <v>20131129</v>
      </c>
      <c r="C340" s="450">
        <v>-3.5364E-2</v>
      </c>
      <c r="D340" s="450">
        <v>2.8049000000000001E-2</v>
      </c>
      <c r="E340" s="43">
        <v>3.5</v>
      </c>
    </row>
    <row r="341" spans="2:5" ht="12.3" x14ac:dyDescent="0.4">
      <c r="B341" s="7">
        <v>20131231</v>
      </c>
      <c r="C341" s="450">
        <v>9.0410000000000004E-3</v>
      </c>
      <c r="D341" s="450">
        <v>2.3563000000000001E-2</v>
      </c>
      <c r="E341" s="43">
        <v>3.63</v>
      </c>
    </row>
    <row r="342" spans="2:5" ht="12.3" x14ac:dyDescent="0.4">
      <c r="B342" s="7">
        <v>20140131</v>
      </c>
      <c r="C342" s="450">
        <v>4.6425000000000001E-2</v>
      </c>
      <c r="D342" s="450">
        <v>-3.5582999999999997E-2</v>
      </c>
      <c r="E342" s="43">
        <v>3.52</v>
      </c>
    </row>
    <row r="343" spans="2:5" ht="12.3" x14ac:dyDescent="0.4">
      <c r="B343" s="7">
        <v>20140228</v>
      </c>
      <c r="C343" s="450">
        <v>4.5314E-2</v>
      </c>
      <c r="D343" s="450">
        <v>4.3117000000000003E-2</v>
      </c>
      <c r="E343" s="43">
        <v>3.38</v>
      </c>
    </row>
    <row r="344" spans="2:5" ht="12.3" x14ac:dyDescent="0.4">
      <c r="B344" s="7">
        <v>20140331</v>
      </c>
      <c r="C344" s="450">
        <v>-9.1920000000000005E-3</v>
      </c>
      <c r="D344" s="450">
        <v>6.9319999999999998E-3</v>
      </c>
      <c r="E344" s="43">
        <v>3.35</v>
      </c>
    </row>
    <row r="345" spans="2:5" ht="12.3" x14ac:dyDescent="0.4">
      <c r="B345" s="7">
        <v>20140430</v>
      </c>
      <c r="C345" s="450">
        <v>5.5093000000000003E-2</v>
      </c>
      <c r="D345" s="450">
        <v>6.2009999999999999E-3</v>
      </c>
      <c r="E345" s="43">
        <v>3.27</v>
      </c>
    </row>
    <row r="346" spans="2:5" ht="12.3" x14ac:dyDescent="0.4">
      <c r="B346" s="7">
        <v>20140530</v>
      </c>
      <c r="C346" s="450">
        <v>6.3619999999999996E-3</v>
      </c>
      <c r="D346" s="450">
        <v>2.103E-2</v>
      </c>
      <c r="E346" s="43">
        <v>3.12</v>
      </c>
    </row>
    <row r="347" spans="2:5" ht="12.3" x14ac:dyDescent="0.4">
      <c r="B347" s="7">
        <v>20140630</v>
      </c>
      <c r="C347" s="450">
        <v>5.6791000000000001E-2</v>
      </c>
      <c r="D347" s="450">
        <v>1.9057999999999999E-2</v>
      </c>
      <c r="E347" s="43">
        <v>3.15</v>
      </c>
    </row>
    <row r="348" spans="2:5" ht="12.3" x14ac:dyDescent="0.4">
      <c r="B348" s="7">
        <v>20140731</v>
      </c>
      <c r="C348" s="450">
        <v>-6.9763000000000006E-2</v>
      </c>
      <c r="D348" s="450">
        <v>-1.508E-2</v>
      </c>
      <c r="E348" s="43">
        <v>3.07</v>
      </c>
    </row>
    <row r="349" spans="2:5" ht="12.3" x14ac:dyDescent="0.4">
      <c r="B349" s="7">
        <v>20140829</v>
      </c>
      <c r="C349" s="450">
        <v>4.0518999999999999E-2</v>
      </c>
      <c r="D349" s="450">
        <v>3.7655000000000001E-2</v>
      </c>
      <c r="E349" s="43">
        <v>2.94</v>
      </c>
    </row>
    <row r="350" spans="2:5" ht="12.3" x14ac:dyDescent="0.4">
      <c r="B350" s="7">
        <v>20140930</v>
      </c>
      <c r="C350" s="450">
        <v>-2.1191999999999999E-2</v>
      </c>
      <c r="D350" s="450">
        <v>-1.5514E-2</v>
      </c>
      <c r="E350" s="43">
        <v>3.01</v>
      </c>
    </row>
    <row r="351" spans="2:5" ht="12.3" x14ac:dyDescent="0.4">
      <c r="B351" s="7">
        <v>20141031</v>
      </c>
      <c r="C351" s="450">
        <v>0.117229</v>
      </c>
      <c r="D351" s="450">
        <v>2.3200999999999999E-2</v>
      </c>
      <c r="E351" s="43">
        <v>2.77</v>
      </c>
    </row>
    <row r="352" spans="2:5" ht="12.3" x14ac:dyDescent="0.4">
      <c r="B352" s="7">
        <v>20141128</v>
      </c>
      <c r="C352" s="450">
        <v>3.5769999999999999E-3</v>
      </c>
      <c r="D352" s="450">
        <v>2.4534E-2</v>
      </c>
      <c r="E352" s="43">
        <v>2.76</v>
      </c>
    </row>
    <row r="353" spans="2:5" ht="12.3" x14ac:dyDescent="0.4">
      <c r="B353" s="7">
        <v>20141231</v>
      </c>
      <c r="C353" s="450">
        <v>6.3267000000000004E-2</v>
      </c>
      <c r="D353" s="450">
        <v>-4.189E-3</v>
      </c>
      <c r="E353" s="43">
        <v>2.5499999999999998</v>
      </c>
    </row>
    <row r="354" spans="2:5" ht="12.3" x14ac:dyDescent="0.4">
      <c r="B354" s="7">
        <v>20150130</v>
      </c>
      <c r="C354" s="450">
        <v>0.10462100000000001</v>
      </c>
      <c r="D354" s="450">
        <v>-3.1040999999999999E-2</v>
      </c>
      <c r="E354" s="43">
        <v>2.2000000000000002</v>
      </c>
    </row>
    <row r="355" spans="2:5" ht="12.3" x14ac:dyDescent="0.4">
      <c r="B355" s="7">
        <v>20150227</v>
      </c>
      <c r="C355" s="450">
        <v>-8.6379999999999998E-2</v>
      </c>
      <c r="D355" s="450">
        <v>5.4892999999999997E-2</v>
      </c>
      <c r="E355" s="43">
        <v>2.34</v>
      </c>
    </row>
    <row r="356" spans="2:5" ht="12.3" x14ac:dyDescent="0.4">
      <c r="B356" s="7">
        <v>20150331</v>
      </c>
      <c r="C356" s="450">
        <v>-3.8149999999999998E-3</v>
      </c>
      <c r="D356" s="450">
        <v>-1.7395999999999998E-2</v>
      </c>
      <c r="E356" s="43">
        <v>2.41</v>
      </c>
    </row>
    <row r="357" spans="2:5" ht="12.3" x14ac:dyDescent="0.4">
      <c r="B357" s="7">
        <v>20150430</v>
      </c>
      <c r="C357" s="450">
        <v>-2.826E-3</v>
      </c>
      <c r="D357" s="450">
        <v>8.5210000000000008E-3</v>
      </c>
      <c r="E357" s="43">
        <v>2.33</v>
      </c>
    </row>
    <row r="358" spans="2:5" ht="12.3" x14ac:dyDescent="0.4">
      <c r="B358" s="7">
        <v>20150529</v>
      </c>
      <c r="C358" s="450">
        <v>1.0392999999999999E-2</v>
      </c>
      <c r="D358" s="450">
        <v>1.0491E-2</v>
      </c>
      <c r="E358" s="43">
        <v>2.69</v>
      </c>
    </row>
    <row r="359" spans="2:5" ht="12.3" x14ac:dyDescent="0.4">
      <c r="B359" s="7">
        <v>20150630</v>
      </c>
      <c r="C359" s="450">
        <v>-7.3219000000000006E-2</v>
      </c>
      <c r="D359" s="450">
        <v>-2.1011999999999999E-2</v>
      </c>
      <c r="E359" s="43">
        <v>2.85</v>
      </c>
    </row>
    <row r="360" spans="2:5" ht="12.3" x14ac:dyDescent="0.4">
      <c r="B360" s="7">
        <v>20150731</v>
      </c>
      <c r="C360" s="450">
        <v>6.9449999999999998E-2</v>
      </c>
      <c r="D360" s="450">
        <v>1.9741999999999999E-2</v>
      </c>
      <c r="E360" s="43">
        <v>2.77</v>
      </c>
    </row>
    <row r="361" spans="2:5" ht="12.3" x14ac:dyDescent="0.4">
      <c r="B361" s="7">
        <v>20150831</v>
      </c>
      <c r="C361" s="450">
        <v>-5.5799000000000001E-2</v>
      </c>
      <c r="D361" s="450">
        <v>-6.2580999999999998E-2</v>
      </c>
      <c r="E361" s="43">
        <v>2.5499999999999998</v>
      </c>
    </row>
    <row r="362" spans="2:5" ht="12.3" x14ac:dyDescent="0.4">
      <c r="B362" s="7">
        <v>20150930</v>
      </c>
      <c r="C362" s="450">
        <v>7.4122999999999994E-2</v>
      </c>
      <c r="D362" s="450">
        <v>-2.6443000000000001E-2</v>
      </c>
      <c r="E362" s="43">
        <v>2.62</v>
      </c>
    </row>
    <row r="363" spans="2:5" ht="12.3" x14ac:dyDescent="0.4">
      <c r="B363" s="7">
        <v>20151030</v>
      </c>
      <c r="C363" s="450">
        <v>1.1364000000000001E-2</v>
      </c>
      <c r="D363" s="450">
        <v>8.2983000000000001E-2</v>
      </c>
      <c r="E363" s="43">
        <v>2.5</v>
      </c>
    </row>
    <row r="364" spans="2:5" ht="12.3" x14ac:dyDescent="0.4">
      <c r="B364" s="7">
        <v>20151130</v>
      </c>
      <c r="C364" s="450">
        <v>-1.2547000000000001E-2</v>
      </c>
      <c r="D364" s="450">
        <v>5.0500000000000002E-4</v>
      </c>
      <c r="E364" s="43">
        <v>2.69</v>
      </c>
    </row>
    <row r="365" spans="2:5" ht="12.3" x14ac:dyDescent="0.4">
      <c r="B365" s="7">
        <v>20151231</v>
      </c>
      <c r="C365" s="450">
        <v>1.7353E-2</v>
      </c>
      <c r="D365" s="450">
        <v>-1.753E-2</v>
      </c>
      <c r="E365" s="43">
        <v>2.61</v>
      </c>
    </row>
    <row r="366" spans="2:5" ht="12.3" x14ac:dyDescent="0.4">
      <c r="B366" s="7">
        <v>20160129</v>
      </c>
      <c r="C366" s="450">
        <v>3.2336999999999998E-2</v>
      </c>
      <c r="D366" s="450">
        <v>-5.0735000000000002E-2</v>
      </c>
      <c r="E366" s="43">
        <v>2.4900000000000002</v>
      </c>
    </row>
    <row r="367" spans="2:5" ht="12.3" x14ac:dyDescent="0.4">
      <c r="B367" s="7">
        <v>20160229</v>
      </c>
      <c r="C367" s="450">
        <v>3.3145000000000001E-2</v>
      </c>
      <c r="D367" s="450">
        <v>-4.1279999999999997E-3</v>
      </c>
      <c r="E367" s="43">
        <v>2.2000000000000002</v>
      </c>
    </row>
    <row r="368" spans="2:5" ht="12.3" x14ac:dyDescent="0.4">
      <c r="B368" s="7">
        <v>20160331</v>
      </c>
      <c r="C368" s="450">
        <v>6.0726000000000002E-2</v>
      </c>
      <c r="D368" s="450">
        <v>6.5990999999999994E-2</v>
      </c>
      <c r="E368" s="43">
        <v>2.2799999999999998</v>
      </c>
    </row>
    <row r="369" spans="2:11" ht="12.3" x14ac:dyDescent="0.4">
      <c r="B369" s="7">
        <v>20160429</v>
      </c>
      <c r="C369" s="450">
        <v>-2.5451999999999999E-2</v>
      </c>
      <c r="D369" s="450">
        <v>2.699E-3</v>
      </c>
      <c r="E369" s="43">
        <v>2.21</v>
      </c>
    </row>
    <row r="370" spans="2:11" ht="12.3" x14ac:dyDescent="0.4">
      <c r="B370" s="7">
        <v>20160531</v>
      </c>
      <c r="C370" s="450">
        <v>3.2301999999999997E-2</v>
      </c>
      <c r="D370" s="450">
        <v>1.5329000000000001E-2</v>
      </c>
      <c r="E370" s="43">
        <v>2.2200000000000002</v>
      </c>
    </row>
    <row r="371" spans="2:11" ht="12.3" x14ac:dyDescent="0.4">
      <c r="B371" s="7">
        <v>20160630</v>
      </c>
      <c r="C371" s="450">
        <v>7.2070999999999996E-2</v>
      </c>
      <c r="D371" s="450">
        <v>9.0600000000000001E-4</v>
      </c>
      <c r="E371" s="43">
        <v>2.02</v>
      </c>
    </row>
    <row r="372" spans="2:11" ht="12.3" x14ac:dyDescent="0.4">
      <c r="B372" s="7">
        <v>20160729</v>
      </c>
      <c r="C372" s="450">
        <v>3.1300000000000002E-4</v>
      </c>
      <c r="D372" s="450">
        <v>3.5610000000000003E-2</v>
      </c>
      <c r="E372" s="43">
        <v>1.82</v>
      </c>
    </row>
    <row r="373" spans="2:11" ht="12.3" x14ac:dyDescent="0.4">
      <c r="B373" s="7">
        <v>20160831</v>
      </c>
      <c r="C373" s="450">
        <v>-3.1279000000000001E-2</v>
      </c>
      <c r="D373" s="450">
        <v>-1.219E-3</v>
      </c>
      <c r="E373" s="43">
        <v>1.89</v>
      </c>
    </row>
    <row r="374" spans="2:11" ht="12.3" x14ac:dyDescent="0.4">
      <c r="B374" s="7">
        <v>20160930</v>
      </c>
      <c r="C374" s="450">
        <v>-4.5209999999999998E-3</v>
      </c>
      <c r="D374" s="450">
        <v>-1.2340000000000001E-3</v>
      </c>
      <c r="E374" s="43">
        <v>2.02</v>
      </c>
    </row>
    <row r="375" spans="2:11" ht="12.3" x14ac:dyDescent="0.4">
      <c r="B375" s="7">
        <v>20161031</v>
      </c>
      <c r="C375" s="450">
        <v>1.5531E-2</v>
      </c>
      <c r="D375" s="450">
        <v>-1.9425999999999999E-2</v>
      </c>
      <c r="E375" s="43">
        <v>2.17</v>
      </c>
    </row>
    <row r="376" spans="2:11" ht="12.3" x14ac:dyDescent="0.4">
      <c r="B376" s="7">
        <v>20161130</v>
      </c>
      <c r="C376" s="450">
        <v>-5.3444999999999999E-2</v>
      </c>
      <c r="D376" s="450">
        <v>3.4174000000000003E-2</v>
      </c>
      <c r="E376" s="43">
        <v>2.54</v>
      </c>
    </row>
    <row r="377" spans="2:11" ht="12.3" x14ac:dyDescent="0.4">
      <c r="B377" s="34">
        <v>20161230</v>
      </c>
      <c r="C377" s="451">
        <v>4.1836999999999999E-2</v>
      </c>
      <c r="D377" s="451">
        <v>1.8200999999999998E-2</v>
      </c>
      <c r="E377" s="313">
        <v>2.84</v>
      </c>
    </row>
    <row r="378" spans="2:11" s="380" customFormat="1" ht="12.3" x14ac:dyDescent="0.4">
      <c r="B378" s="496" t="s">
        <v>369</v>
      </c>
      <c r="C378" s="496"/>
      <c r="D378" s="496"/>
      <c r="E378" s="496"/>
    </row>
    <row r="379" spans="2:11" ht="12.3" x14ac:dyDescent="0.4">
      <c r="E379" s="314"/>
    </row>
    <row r="380" spans="2:11" ht="12.3" x14ac:dyDescent="0.4">
      <c r="B380" s="65" t="s">
        <v>306</v>
      </c>
      <c r="C380" s="315" t="s">
        <v>307</v>
      </c>
      <c r="D380" s="315" t="s">
        <v>308</v>
      </c>
      <c r="E380" s="315" t="s">
        <v>309</v>
      </c>
      <c r="F380" s="315" t="s">
        <v>310</v>
      </c>
      <c r="G380" s="315" t="s">
        <v>311</v>
      </c>
      <c r="H380" s="315" t="s">
        <v>312</v>
      </c>
      <c r="I380" s="315" t="s">
        <v>313</v>
      </c>
      <c r="J380" s="315" t="s">
        <v>314</v>
      </c>
      <c r="K380" s="317" t="s">
        <v>315</v>
      </c>
    </row>
    <row r="381" spans="2:11" ht="12.3" x14ac:dyDescent="0.4">
      <c r="B381" s="7">
        <v>6.05</v>
      </c>
      <c r="C381" s="319">
        <v>49004</v>
      </c>
      <c r="D381" s="11">
        <v>10000000</v>
      </c>
      <c r="E381" s="1">
        <v>112.229</v>
      </c>
      <c r="F381" s="1">
        <v>4.9686380999999997</v>
      </c>
      <c r="G381" s="1">
        <v>0</v>
      </c>
      <c r="H381" s="11">
        <v>11222900</v>
      </c>
      <c r="I381" s="1">
        <v>0</v>
      </c>
      <c r="J381" s="1">
        <v>0</v>
      </c>
      <c r="K381" s="43">
        <v>0</v>
      </c>
    </row>
    <row r="382" spans="2:11" ht="12.3" x14ac:dyDescent="0.4">
      <c r="B382" s="7">
        <v>5.8</v>
      </c>
      <c r="C382" s="319">
        <v>50100</v>
      </c>
      <c r="D382" s="11">
        <v>50500000</v>
      </c>
      <c r="E382" s="1">
        <v>112.438</v>
      </c>
      <c r="F382" s="1">
        <v>4.8185973999999998</v>
      </c>
      <c r="G382" s="1">
        <v>0</v>
      </c>
      <c r="H382" s="11">
        <v>56781190</v>
      </c>
      <c r="I382" s="1">
        <v>0</v>
      </c>
      <c r="J382" s="1">
        <v>0.01</v>
      </c>
      <c r="K382" s="43">
        <v>0.02</v>
      </c>
    </row>
    <row r="383" spans="2:11" ht="12.3" x14ac:dyDescent="0.4">
      <c r="B383" s="7">
        <v>3.25</v>
      </c>
      <c r="C383" s="319">
        <v>44454</v>
      </c>
      <c r="D383" s="11">
        <v>250000000</v>
      </c>
      <c r="E383" s="1">
        <v>102.645</v>
      </c>
      <c r="F383" s="1">
        <v>2.605518</v>
      </c>
      <c r="G383" s="1">
        <v>0.01</v>
      </c>
      <c r="H383" s="11">
        <v>256612500</v>
      </c>
      <c r="I383" s="1">
        <v>0.01</v>
      </c>
      <c r="J383" s="1">
        <v>0.03</v>
      </c>
      <c r="K383" s="43">
        <v>0.04</v>
      </c>
    </row>
    <row r="384" spans="2:11" ht="12.3" x14ac:dyDescent="0.4">
      <c r="B384" s="7">
        <v>3.25</v>
      </c>
      <c r="C384" s="319">
        <v>44454</v>
      </c>
      <c r="D384" s="11">
        <v>250000000</v>
      </c>
      <c r="E384" s="1">
        <v>102.645</v>
      </c>
      <c r="F384" s="1">
        <v>2.605518</v>
      </c>
      <c r="G384" s="1">
        <v>0.01</v>
      </c>
      <c r="H384" s="11">
        <v>256612500</v>
      </c>
      <c r="I384" s="1">
        <v>0.01</v>
      </c>
      <c r="J384" s="1">
        <v>0.03</v>
      </c>
      <c r="K384" s="43">
        <v>0.04</v>
      </c>
    </row>
    <row r="385" spans="2:11" ht="12.3" x14ac:dyDescent="0.4">
      <c r="B385" s="7">
        <v>3.25</v>
      </c>
      <c r="C385" s="319">
        <v>44454</v>
      </c>
      <c r="D385" s="11">
        <v>250000000</v>
      </c>
      <c r="E385" s="1">
        <v>102.645</v>
      </c>
      <c r="F385" s="1">
        <v>2.605518</v>
      </c>
      <c r="G385" s="1">
        <v>0.01</v>
      </c>
      <c r="H385" s="11">
        <v>256612500</v>
      </c>
      <c r="I385" s="1">
        <v>0.01</v>
      </c>
      <c r="J385" s="1">
        <v>0.03</v>
      </c>
      <c r="K385" s="43">
        <v>0.04</v>
      </c>
    </row>
    <row r="386" spans="2:11" ht="12.3" x14ac:dyDescent="0.4">
      <c r="B386" s="7">
        <v>4.5</v>
      </c>
      <c r="C386" s="319">
        <v>51850</v>
      </c>
      <c r="D386" s="11">
        <v>250000000</v>
      </c>
      <c r="E386" s="1">
        <v>104.52500000000001</v>
      </c>
      <c r="F386" s="1">
        <v>4.2029680999999997</v>
      </c>
      <c r="G386" s="1">
        <v>0.01</v>
      </c>
      <c r="H386" s="11">
        <v>261312500</v>
      </c>
      <c r="I386" s="1">
        <v>0.01</v>
      </c>
      <c r="J386" s="1">
        <v>0.05</v>
      </c>
      <c r="K386" s="43">
        <v>0.06</v>
      </c>
    </row>
    <row r="387" spans="2:11" ht="12.3" x14ac:dyDescent="0.4">
      <c r="B387" s="7">
        <v>1.254</v>
      </c>
      <c r="C387" s="319">
        <v>43069</v>
      </c>
      <c r="D387" s="11">
        <v>250000000</v>
      </c>
      <c r="E387" s="1">
        <v>100.044</v>
      </c>
      <c r="F387" s="1">
        <v>1.303914472</v>
      </c>
      <c r="G387" s="1">
        <v>0.01</v>
      </c>
      <c r="H387" s="11">
        <v>250110000</v>
      </c>
      <c r="I387" s="1">
        <v>0.01</v>
      </c>
      <c r="J387" s="1">
        <v>0.02</v>
      </c>
      <c r="K387" s="43">
        <v>0.02</v>
      </c>
    </row>
    <row r="388" spans="2:11" ht="12.3" x14ac:dyDescent="0.4">
      <c r="B388" s="7">
        <v>4.25</v>
      </c>
      <c r="C388" s="319">
        <v>44331</v>
      </c>
      <c r="D388" s="11">
        <v>300000000</v>
      </c>
      <c r="E388" s="1">
        <v>106.44499999999999</v>
      </c>
      <c r="F388" s="1">
        <v>2.5599132999999998</v>
      </c>
      <c r="G388" s="1">
        <v>0.02</v>
      </c>
      <c r="H388" s="11">
        <v>319335000</v>
      </c>
      <c r="I388" s="1">
        <v>0.02</v>
      </c>
      <c r="J388" s="1">
        <v>0.04</v>
      </c>
      <c r="K388" s="43">
        <v>0.05</v>
      </c>
    </row>
    <row r="389" spans="2:11" ht="12.3" x14ac:dyDescent="0.4">
      <c r="B389" s="7">
        <v>3.85</v>
      </c>
      <c r="C389" s="319">
        <v>45245</v>
      </c>
      <c r="D389" s="11">
        <v>300000000</v>
      </c>
      <c r="E389" s="1">
        <v>105.361</v>
      </c>
      <c r="F389" s="1">
        <v>2.9425634999999999</v>
      </c>
      <c r="G389" s="1">
        <v>0.02</v>
      </c>
      <c r="H389" s="11">
        <v>316083000</v>
      </c>
      <c r="I389" s="1">
        <v>0.02</v>
      </c>
      <c r="J389" s="1">
        <v>0.05</v>
      </c>
      <c r="K389" s="43">
        <v>0.05</v>
      </c>
    </row>
    <row r="390" spans="2:11" ht="12.3" x14ac:dyDescent="0.4">
      <c r="B390" s="7">
        <v>2.4</v>
      </c>
      <c r="C390" s="319">
        <v>43525</v>
      </c>
      <c r="D390" s="11">
        <v>350000000</v>
      </c>
      <c r="E390" s="1">
        <v>100.46</v>
      </c>
      <c r="F390" s="1">
        <v>2.1419972999999999</v>
      </c>
      <c r="G390" s="1">
        <v>0.02</v>
      </c>
      <c r="H390" s="11">
        <v>351610000</v>
      </c>
      <c r="I390" s="1">
        <v>0.02</v>
      </c>
      <c r="J390" s="1">
        <v>0.04</v>
      </c>
      <c r="K390" s="43">
        <v>0.04</v>
      </c>
    </row>
    <row r="391" spans="2:11" ht="12.3" x14ac:dyDescent="0.4">
      <c r="B391" s="7">
        <v>3.4</v>
      </c>
      <c r="C391" s="319">
        <v>45519</v>
      </c>
      <c r="D391" s="11">
        <v>350000000</v>
      </c>
      <c r="E391" s="1">
        <v>102.023</v>
      </c>
      <c r="F391" s="1">
        <v>3.0874367999999999</v>
      </c>
      <c r="G391" s="1">
        <v>0.02</v>
      </c>
      <c r="H391" s="11">
        <v>357080500</v>
      </c>
      <c r="I391" s="1">
        <v>0.02</v>
      </c>
      <c r="J391" s="1">
        <v>0.06</v>
      </c>
      <c r="K391" s="43">
        <v>0.06</v>
      </c>
    </row>
    <row r="392" spans="2:11" ht="12.3" x14ac:dyDescent="0.4">
      <c r="B392" s="7">
        <v>3.75</v>
      </c>
      <c r="C392" s="319">
        <v>52093</v>
      </c>
      <c r="D392" s="11">
        <v>350000000</v>
      </c>
      <c r="E392" s="1">
        <v>95.141000000000005</v>
      </c>
      <c r="F392" s="1">
        <v>4.0588195000000002</v>
      </c>
      <c r="G392" s="1">
        <v>0.02</v>
      </c>
      <c r="H392" s="11">
        <v>332993500</v>
      </c>
      <c r="I392" s="1">
        <v>0.02</v>
      </c>
      <c r="J392" s="1">
        <v>7.0000000000000007E-2</v>
      </c>
      <c r="K392" s="43">
        <v>0.08</v>
      </c>
    </row>
    <row r="393" spans="2:11" ht="12.3" x14ac:dyDescent="0.4">
      <c r="B393" s="7">
        <v>3.25</v>
      </c>
      <c r="C393" s="319">
        <v>45092</v>
      </c>
      <c r="D393" s="11">
        <v>375000000</v>
      </c>
      <c r="E393" s="1">
        <v>102.21299999999999</v>
      </c>
      <c r="F393" s="1">
        <v>2.8530948</v>
      </c>
      <c r="G393" s="1">
        <v>0.02</v>
      </c>
      <c r="H393" s="11">
        <v>383298750</v>
      </c>
      <c r="I393" s="1">
        <v>0.02</v>
      </c>
      <c r="J393" s="1">
        <v>0.06</v>
      </c>
      <c r="K393" s="43">
        <v>0.06</v>
      </c>
    </row>
    <row r="394" spans="2:11" ht="12.3" x14ac:dyDescent="0.4">
      <c r="B394" s="7">
        <v>4.5999999999999996</v>
      </c>
      <c r="C394" s="319">
        <v>52397</v>
      </c>
      <c r="D394" s="11">
        <v>375000000</v>
      </c>
      <c r="E394" s="1">
        <v>106.81100000000001</v>
      </c>
      <c r="F394" s="1">
        <v>4.1692669000000002</v>
      </c>
      <c r="G394" s="1">
        <v>0.02</v>
      </c>
      <c r="H394" s="11">
        <v>400541250</v>
      </c>
      <c r="I394" s="1">
        <v>0.02</v>
      </c>
      <c r="J394" s="1">
        <v>0.08</v>
      </c>
      <c r="K394" s="43">
        <v>0.1</v>
      </c>
    </row>
    <row r="395" spans="2:11" ht="12.3" x14ac:dyDescent="0.4">
      <c r="B395" s="7">
        <v>3.3</v>
      </c>
      <c r="C395" s="319">
        <v>46461</v>
      </c>
      <c r="D395" s="11">
        <v>400000000</v>
      </c>
      <c r="E395" s="1">
        <v>100.943</v>
      </c>
      <c r="F395" s="1">
        <v>3.1875518</v>
      </c>
      <c r="G395" s="1">
        <v>0.02</v>
      </c>
      <c r="H395" s="11">
        <v>403772000</v>
      </c>
      <c r="I395" s="1">
        <v>0.02</v>
      </c>
      <c r="J395" s="1">
        <v>7.0000000000000007E-2</v>
      </c>
      <c r="K395" s="43">
        <v>7.0000000000000007E-2</v>
      </c>
    </row>
    <row r="396" spans="2:11" ht="12.3" x14ac:dyDescent="0.4">
      <c r="B396" s="7">
        <v>3.3</v>
      </c>
      <c r="C396" s="319">
        <v>46461</v>
      </c>
      <c r="D396" s="11">
        <v>400000000</v>
      </c>
      <c r="E396" s="1">
        <v>100.943</v>
      </c>
      <c r="F396" s="1">
        <v>3.1875518</v>
      </c>
      <c r="G396" s="1">
        <v>0.02</v>
      </c>
      <c r="H396" s="11">
        <v>403772000</v>
      </c>
      <c r="I396" s="1">
        <v>0.02</v>
      </c>
      <c r="J396" s="1">
        <v>7.0000000000000007E-2</v>
      </c>
      <c r="K396" s="43">
        <v>7.0000000000000007E-2</v>
      </c>
    </row>
    <row r="397" spans="2:11" ht="12.3" x14ac:dyDescent="0.4">
      <c r="B397" s="7">
        <v>3.3</v>
      </c>
      <c r="C397" s="319">
        <v>46461</v>
      </c>
      <c r="D397" s="11">
        <v>400000000</v>
      </c>
      <c r="E397" s="1">
        <v>100.943</v>
      </c>
      <c r="F397" s="1">
        <v>3.1875518</v>
      </c>
      <c r="G397" s="1">
        <v>0.02</v>
      </c>
      <c r="H397" s="11">
        <v>403772000</v>
      </c>
      <c r="I397" s="1">
        <v>0.02</v>
      </c>
      <c r="J397" s="1">
        <v>7.0000000000000007E-2</v>
      </c>
      <c r="K397" s="43">
        <v>7.0000000000000007E-2</v>
      </c>
    </row>
    <row r="398" spans="2:11" ht="12.3" x14ac:dyDescent="0.4">
      <c r="B398" s="7">
        <v>2.4500000000000002</v>
      </c>
      <c r="C398" s="319">
        <v>44788</v>
      </c>
      <c r="D398" s="11">
        <v>400000000</v>
      </c>
      <c r="E398" s="1">
        <v>99.2</v>
      </c>
      <c r="F398" s="1">
        <v>2.6125406999999998</v>
      </c>
      <c r="G398" s="1">
        <v>0.02</v>
      </c>
      <c r="H398" s="11">
        <v>396800000</v>
      </c>
      <c r="I398" s="1">
        <v>0.02</v>
      </c>
      <c r="J398" s="1">
        <v>0.05</v>
      </c>
      <c r="K398" s="43">
        <v>0.06</v>
      </c>
    </row>
    <row r="399" spans="2:11" ht="12.3" x14ac:dyDescent="0.4">
      <c r="B399" s="7">
        <v>6.35</v>
      </c>
      <c r="C399" s="319">
        <v>50451</v>
      </c>
      <c r="D399" s="11">
        <v>400000000</v>
      </c>
      <c r="E399" s="1">
        <v>130.745</v>
      </c>
      <c r="F399" s="1">
        <v>4.1312932</v>
      </c>
      <c r="G399" s="1">
        <v>0.02</v>
      </c>
      <c r="H399" s="11">
        <v>522980000</v>
      </c>
      <c r="I399" s="1">
        <v>0.03</v>
      </c>
      <c r="J399" s="1">
        <v>0.09</v>
      </c>
      <c r="K399" s="43">
        <v>0.12</v>
      </c>
    </row>
    <row r="400" spans="2:11" ht="12.3" x14ac:dyDescent="0.4">
      <c r="B400" s="7">
        <v>4.45</v>
      </c>
      <c r="C400" s="319">
        <v>51971</v>
      </c>
      <c r="D400" s="11">
        <v>400000000</v>
      </c>
      <c r="E400" s="1">
        <v>105.66800000000001</v>
      </c>
      <c r="F400" s="1">
        <v>4.0855104999999998</v>
      </c>
      <c r="G400" s="1">
        <v>0.02</v>
      </c>
      <c r="H400" s="11">
        <v>422672000</v>
      </c>
      <c r="I400" s="1">
        <v>0.02</v>
      </c>
      <c r="J400" s="1">
        <v>0.08</v>
      </c>
      <c r="K400" s="43">
        <v>0.1</v>
      </c>
    </row>
    <row r="401" spans="2:11" ht="12.3" x14ac:dyDescent="0.4">
      <c r="B401" s="7">
        <v>3.75</v>
      </c>
      <c r="C401" s="319">
        <v>45337</v>
      </c>
      <c r="D401" s="11">
        <v>450000000</v>
      </c>
      <c r="E401" s="1">
        <v>104.693</v>
      </c>
      <c r="F401" s="1">
        <v>2.9807475999999999</v>
      </c>
      <c r="G401" s="1">
        <v>0.02</v>
      </c>
      <c r="H401" s="11">
        <v>471118500</v>
      </c>
      <c r="I401" s="1">
        <v>0.03</v>
      </c>
      <c r="J401" s="1">
        <v>7.0000000000000007E-2</v>
      </c>
      <c r="K401" s="43">
        <v>0.08</v>
      </c>
    </row>
    <row r="402" spans="2:11" ht="12.3" x14ac:dyDescent="0.4">
      <c r="B402" s="7">
        <v>4.25</v>
      </c>
      <c r="C402" s="319">
        <v>53401</v>
      </c>
      <c r="D402" s="11">
        <v>450000000</v>
      </c>
      <c r="E402" s="1">
        <v>102.63800000000001</v>
      </c>
      <c r="F402" s="1">
        <v>4.0931743999999997</v>
      </c>
      <c r="G402" s="1">
        <v>0.02</v>
      </c>
      <c r="H402" s="11">
        <v>461871000</v>
      </c>
      <c r="I402" s="1">
        <v>0.03</v>
      </c>
      <c r="J402" s="1">
        <v>0.1</v>
      </c>
      <c r="K402" s="43">
        <v>0.11</v>
      </c>
    </row>
    <row r="403" spans="2:11" ht="12.3" x14ac:dyDescent="0.4">
      <c r="B403" s="7">
        <v>5.125</v>
      </c>
      <c r="C403" s="319">
        <v>52550</v>
      </c>
      <c r="D403" s="11">
        <v>500000000</v>
      </c>
      <c r="E403" s="1">
        <v>114.86</v>
      </c>
      <c r="F403" s="1">
        <v>4.1916381999999999</v>
      </c>
      <c r="G403" s="1">
        <v>0.03</v>
      </c>
      <c r="H403" s="11">
        <v>574300000</v>
      </c>
      <c r="I403" s="1">
        <v>0.03</v>
      </c>
      <c r="J403" s="1">
        <v>0.11</v>
      </c>
      <c r="K403" s="43">
        <v>0.14000000000000001</v>
      </c>
    </row>
    <row r="404" spans="2:11" ht="12.3" x14ac:dyDescent="0.4">
      <c r="B404" s="7">
        <v>6.25</v>
      </c>
      <c r="C404" s="319">
        <v>50830</v>
      </c>
      <c r="D404" s="11">
        <v>550000000</v>
      </c>
      <c r="E404" s="1">
        <v>129.904</v>
      </c>
      <c r="F404" s="1">
        <v>4.1530557999999997</v>
      </c>
      <c r="G404" s="1">
        <v>0.03</v>
      </c>
      <c r="H404" s="11">
        <v>714472000</v>
      </c>
      <c r="I404" s="1">
        <v>0.04</v>
      </c>
      <c r="J404" s="1">
        <v>0.12</v>
      </c>
      <c r="K404" s="43">
        <v>0.17</v>
      </c>
    </row>
    <row r="405" spans="2:11" ht="12.3" x14ac:dyDescent="0.4">
      <c r="B405" s="7">
        <v>4</v>
      </c>
      <c r="C405" s="319">
        <v>53662</v>
      </c>
      <c r="D405" s="11">
        <v>600000000</v>
      </c>
      <c r="E405" s="1">
        <v>99.234999999999999</v>
      </c>
      <c r="F405" s="1">
        <v>4.0444122</v>
      </c>
      <c r="G405" s="1">
        <v>0.03</v>
      </c>
      <c r="H405" s="11">
        <v>595410000</v>
      </c>
      <c r="I405" s="1">
        <v>0.03</v>
      </c>
      <c r="J405" s="1">
        <v>0.13</v>
      </c>
      <c r="K405" s="43">
        <v>0.14000000000000001</v>
      </c>
    </row>
    <row r="406" spans="2:11" ht="12.3" x14ac:dyDescent="0.4">
      <c r="B406" s="7">
        <v>4</v>
      </c>
      <c r="C406" s="319">
        <v>53662</v>
      </c>
      <c r="D406" s="11">
        <v>600000000</v>
      </c>
      <c r="E406" s="1">
        <v>99.234999999999999</v>
      </c>
      <c r="F406" s="1">
        <v>4.0444122</v>
      </c>
      <c r="G406" s="1">
        <v>0.03</v>
      </c>
      <c r="H406" s="11">
        <v>595410000</v>
      </c>
      <c r="I406" s="1">
        <v>0.03</v>
      </c>
      <c r="J406" s="1">
        <v>0.13</v>
      </c>
      <c r="K406" s="43">
        <v>0.14000000000000001</v>
      </c>
    </row>
    <row r="407" spans="2:11" ht="12.3" x14ac:dyDescent="0.4">
      <c r="B407" s="7">
        <v>4</v>
      </c>
      <c r="C407" s="319">
        <v>53662</v>
      </c>
      <c r="D407" s="11">
        <v>600000000</v>
      </c>
      <c r="E407" s="1">
        <v>99.234999999999999</v>
      </c>
      <c r="F407" s="1">
        <v>4.0444122</v>
      </c>
      <c r="G407" s="1">
        <v>0.03</v>
      </c>
      <c r="H407" s="11">
        <v>595410000</v>
      </c>
      <c r="I407" s="1">
        <v>0.03</v>
      </c>
      <c r="J407" s="1">
        <v>0.13</v>
      </c>
      <c r="K407" s="43">
        <v>0.14000000000000001</v>
      </c>
    </row>
    <row r="408" spans="2:11" ht="12.3" x14ac:dyDescent="0.4">
      <c r="B408" s="7">
        <v>2.95</v>
      </c>
      <c r="C408" s="319">
        <v>46082</v>
      </c>
      <c r="D408" s="11">
        <v>600000000</v>
      </c>
      <c r="E408" s="1">
        <v>98.284000000000006</v>
      </c>
      <c r="F408" s="1">
        <v>3.1739579999999998</v>
      </c>
      <c r="G408" s="1">
        <v>0.03</v>
      </c>
      <c r="H408" s="11">
        <v>589704000</v>
      </c>
      <c r="I408" s="1">
        <v>0.03</v>
      </c>
      <c r="J408" s="1">
        <v>0.1</v>
      </c>
      <c r="K408" s="43">
        <v>0.11</v>
      </c>
    </row>
    <row r="409" spans="2:11" ht="12.3" x14ac:dyDescent="0.4">
      <c r="B409" s="7">
        <v>3.5</v>
      </c>
      <c r="C409" s="319">
        <v>45823</v>
      </c>
      <c r="D409" s="11">
        <v>600000000</v>
      </c>
      <c r="E409" s="1">
        <v>102.67700000000001</v>
      </c>
      <c r="F409" s="1">
        <v>3.1239246000000001</v>
      </c>
      <c r="G409" s="1">
        <v>0.03</v>
      </c>
      <c r="H409" s="11">
        <v>616062000</v>
      </c>
      <c r="I409" s="1">
        <v>0.04</v>
      </c>
      <c r="J409" s="1">
        <v>0.1</v>
      </c>
      <c r="K409" s="43">
        <v>0.11</v>
      </c>
    </row>
    <row r="410" spans="2:11" ht="12.3" x14ac:dyDescent="0.4">
      <c r="B410" s="7">
        <v>4.3</v>
      </c>
      <c r="C410" s="319">
        <v>53036</v>
      </c>
      <c r="D410" s="11">
        <v>600000000</v>
      </c>
      <c r="E410" s="1">
        <v>103.047</v>
      </c>
      <c r="F410" s="1">
        <v>4.1149996</v>
      </c>
      <c r="G410" s="1">
        <v>0.03</v>
      </c>
      <c r="H410" s="11">
        <v>618282000</v>
      </c>
      <c r="I410" s="1">
        <v>0.04</v>
      </c>
      <c r="J410" s="1">
        <v>0.13</v>
      </c>
      <c r="K410" s="43">
        <v>0.15</v>
      </c>
    </row>
    <row r="411" spans="2:11" ht="12.3" x14ac:dyDescent="0.4">
      <c r="B411" s="7">
        <v>4.75</v>
      </c>
      <c r="C411" s="319">
        <v>52642</v>
      </c>
      <c r="D411" s="11">
        <v>675000000</v>
      </c>
      <c r="E411" s="1">
        <v>109.57299999999999</v>
      </c>
      <c r="F411" s="1">
        <v>4.1539704999999998</v>
      </c>
      <c r="G411" s="1">
        <v>0.03</v>
      </c>
      <c r="H411" s="11">
        <v>739617750</v>
      </c>
      <c r="I411" s="1">
        <v>0.04</v>
      </c>
      <c r="J411" s="1">
        <v>0.14000000000000001</v>
      </c>
      <c r="K411" s="43">
        <v>0.18</v>
      </c>
    </row>
    <row r="412" spans="2:11" ht="12.3" x14ac:dyDescent="0.4">
      <c r="B412" s="7">
        <v>5.625</v>
      </c>
      <c r="C412" s="319">
        <v>43069</v>
      </c>
      <c r="D412" s="11">
        <v>700000000</v>
      </c>
      <c r="E412" s="1">
        <v>102.29900000000001</v>
      </c>
      <c r="F412" s="1">
        <v>1.6274932</v>
      </c>
      <c r="G412" s="1">
        <v>0.04</v>
      </c>
      <c r="H412" s="11">
        <v>716093000</v>
      </c>
      <c r="I412" s="1">
        <v>0.04</v>
      </c>
      <c r="J412" s="1">
        <v>0.06</v>
      </c>
      <c r="K412" s="43">
        <v>7.0000000000000007E-2</v>
      </c>
    </row>
    <row r="413" spans="2:11" ht="12.3" x14ac:dyDescent="0.4">
      <c r="B413" s="7">
        <v>8.25</v>
      </c>
      <c r="C413" s="319">
        <v>43388</v>
      </c>
      <c r="D413" s="11">
        <v>800000000</v>
      </c>
      <c r="E413" s="1">
        <v>108.917</v>
      </c>
      <c r="F413" s="1">
        <v>2.0023316000000002</v>
      </c>
      <c r="G413" s="1">
        <v>0.04</v>
      </c>
      <c r="H413" s="11">
        <v>871336000</v>
      </c>
      <c r="I413" s="1">
        <v>0.05</v>
      </c>
      <c r="J413" s="1">
        <v>0.08</v>
      </c>
      <c r="K413" s="43">
        <v>0.1</v>
      </c>
    </row>
    <row r="414" spans="2:11" ht="12.3" x14ac:dyDescent="0.4">
      <c r="B414" s="7">
        <v>5.4</v>
      </c>
      <c r="C414" s="319">
        <v>51150</v>
      </c>
      <c r="D414" s="11">
        <v>800000000</v>
      </c>
      <c r="E414" s="1">
        <v>119.88</v>
      </c>
      <c r="F414" s="1">
        <v>4.0520678999999999</v>
      </c>
      <c r="G414" s="1">
        <v>0.04</v>
      </c>
      <c r="H414" s="11">
        <v>959040000</v>
      </c>
      <c r="I414" s="1">
        <v>0.05</v>
      </c>
      <c r="J414" s="1">
        <v>0.17</v>
      </c>
      <c r="K414" s="43">
        <v>0.22</v>
      </c>
    </row>
    <row r="415" spans="2:11" ht="12.3" x14ac:dyDescent="0.4">
      <c r="B415" s="7">
        <v>3.5</v>
      </c>
      <c r="C415" s="319">
        <v>44105</v>
      </c>
      <c r="D415" s="11">
        <v>800000000</v>
      </c>
      <c r="E415" s="1">
        <v>103.68600000000001</v>
      </c>
      <c r="F415" s="1">
        <v>2.3700861999999998</v>
      </c>
      <c r="G415" s="1">
        <v>0.04</v>
      </c>
      <c r="H415" s="11">
        <v>829488000</v>
      </c>
      <c r="I415" s="1">
        <v>0.05</v>
      </c>
      <c r="J415" s="1">
        <v>0.1</v>
      </c>
      <c r="K415" s="43">
        <v>0.11</v>
      </c>
    </row>
    <row r="416" spans="2:11" ht="12.3" x14ac:dyDescent="0.4">
      <c r="B416" s="7">
        <v>5.8</v>
      </c>
      <c r="C416" s="319">
        <v>50100</v>
      </c>
      <c r="D416" s="11">
        <v>950000000</v>
      </c>
      <c r="E416" s="1">
        <v>123.384</v>
      </c>
      <c r="F416" s="1">
        <v>4.0699658000000003</v>
      </c>
      <c r="G416" s="1">
        <v>0.05</v>
      </c>
      <c r="H416" s="11">
        <v>1172148000</v>
      </c>
      <c r="I416" s="1">
        <v>7.0000000000000007E-2</v>
      </c>
      <c r="J416" s="1">
        <v>0.2</v>
      </c>
      <c r="K416" s="43">
        <v>0.27</v>
      </c>
    </row>
    <row r="417" spans="2:11" ht="12.3" x14ac:dyDescent="0.4">
      <c r="B417" s="7">
        <v>6.05</v>
      </c>
      <c r="C417" s="319">
        <v>49004</v>
      </c>
      <c r="D417" s="11">
        <v>3000000000</v>
      </c>
      <c r="E417" s="1">
        <v>125.33</v>
      </c>
      <c r="F417" s="1">
        <v>3.9716985999999999</v>
      </c>
      <c r="G417" s="1">
        <v>0.15</v>
      </c>
      <c r="H417" s="11">
        <v>3759900000</v>
      </c>
      <c r="I417" s="1">
        <v>0.22</v>
      </c>
      <c r="J417" s="1">
        <v>0.61</v>
      </c>
      <c r="K417" s="43">
        <v>0.85</v>
      </c>
    </row>
    <row r="418" spans="2:11" ht="12.3" x14ac:dyDescent="0.4">
      <c r="B418" s="60" t="s">
        <v>19</v>
      </c>
      <c r="C418" s="38"/>
      <c r="D418" s="285">
        <f>SUM(D381:D417)</f>
        <v>19385500000</v>
      </c>
      <c r="E418" s="38"/>
      <c r="F418" s="38"/>
      <c r="G418" s="320">
        <f t="shared" ref="G418:K418" si="98">SUM(G381:G417)</f>
        <v>0.98000000000000043</v>
      </c>
      <c r="H418" s="285">
        <f t="shared" si="98"/>
        <v>21243636340</v>
      </c>
      <c r="I418" s="320">
        <f t="shared" si="98"/>
        <v>1.1700000000000004</v>
      </c>
      <c r="J418" s="320">
        <f t="shared" si="98"/>
        <v>3.4800000000000004</v>
      </c>
      <c r="K418" s="321">
        <f t="shared" si="98"/>
        <v>4.24</v>
      </c>
    </row>
    <row r="419" spans="2:11" s="380" customFormat="1" ht="12.3" x14ac:dyDescent="0.4">
      <c r="B419" s="496" t="s">
        <v>365</v>
      </c>
      <c r="C419" s="496"/>
      <c r="D419" s="496"/>
      <c r="E419" s="496"/>
      <c r="F419" s="496"/>
      <c r="G419" s="496"/>
      <c r="H419" s="496"/>
      <c r="I419" s="496"/>
      <c r="J419" s="496"/>
      <c r="K419" s="496"/>
    </row>
    <row r="421" spans="2:11" ht="12.3" x14ac:dyDescent="0.4">
      <c r="B421" s="500" t="s">
        <v>316</v>
      </c>
      <c r="C421" s="486"/>
      <c r="D421" s="486"/>
      <c r="E421" s="486"/>
      <c r="F421" s="486"/>
      <c r="G421" s="486"/>
    </row>
    <row r="422" spans="2:11" ht="12.3" x14ac:dyDescent="0.4">
      <c r="B422" s="322" t="s">
        <v>317</v>
      </c>
      <c r="C422" s="323">
        <v>2012</v>
      </c>
      <c r="D422" s="323">
        <v>2013</v>
      </c>
      <c r="E422" s="323">
        <v>2014</v>
      </c>
      <c r="F422" s="323">
        <v>2015</v>
      </c>
      <c r="G422" s="324">
        <v>2016</v>
      </c>
    </row>
    <row r="423" spans="2:11" ht="12.3" x14ac:dyDescent="0.4">
      <c r="B423" s="109" t="s">
        <v>318</v>
      </c>
      <c r="C423" s="325">
        <f>430.72</f>
        <v>430.72</v>
      </c>
      <c r="D423" s="325">
        <f>456.67</f>
        <v>456.67</v>
      </c>
      <c r="E423" s="325">
        <f>475.91</f>
        <v>475.91</v>
      </c>
      <c r="F423" s="327">
        <f>492.03</f>
        <v>492.03</v>
      </c>
      <c r="G423" s="329">
        <f>506.89</f>
        <v>506.89</v>
      </c>
    </row>
    <row r="424" spans="2:11" ht="12.3" x14ac:dyDescent="0.4">
      <c r="B424" s="109" t="s">
        <v>320</v>
      </c>
      <c r="C424" s="325">
        <f>39.71</f>
        <v>39.71</v>
      </c>
      <c r="D424" s="325">
        <f>40.27</f>
        <v>40.270000000000003</v>
      </c>
      <c r="E424" s="325">
        <f>54.28</f>
        <v>54.28</v>
      </c>
      <c r="F424" s="325">
        <f>53.92</f>
        <v>53.92</v>
      </c>
      <c r="G424" s="111">
        <f>60.77</f>
        <v>60.77</v>
      </c>
    </row>
    <row r="425" spans="2:11" ht="12.3" x14ac:dyDescent="0.4">
      <c r="B425" s="331" t="s">
        <v>316</v>
      </c>
      <c r="C425" s="333">
        <f t="shared" ref="C425:G425" si="99">C423*C424</f>
        <v>17103.891200000002</v>
      </c>
      <c r="D425" s="333">
        <f t="shared" si="99"/>
        <v>18390.100900000001</v>
      </c>
      <c r="E425" s="333">
        <f t="shared" si="99"/>
        <v>25832.394800000002</v>
      </c>
      <c r="F425" s="333">
        <f t="shared" si="99"/>
        <v>26530.257600000001</v>
      </c>
      <c r="G425" s="334">
        <f t="shared" si="99"/>
        <v>30803.705300000001</v>
      </c>
    </row>
    <row r="426" spans="2:11" ht="12.3" x14ac:dyDescent="0.4">
      <c r="B426" s="491" t="s">
        <v>325</v>
      </c>
      <c r="C426" s="492"/>
      <c r="D426" s="492"/>
      <c r="E426" s="492"/>
      <c r="F426" s="492"/>
      <c r="G426" s="493"/>
    </row>
    <row r="427" spans="2:11" ht="12.3" x14ac:dyDescent="0.4">
      <c r="B427" s="445" t="s">
        <v>362</v>
      </c>
      <c r="C427" s="155">
        <f>C247</f>
        <v>12517</v>
      </c>
      <c r="D427" s="155">
        <f>D247</f>
        <v>12717</v>
      </c>
      <c r="E427" s="155">
        <f>E247</f>
        <v>15050</v>
      </c>
      <c r="F427" s="72">
        <f>F247</f>
        <v>15925</v>
      </c>
      <c r="G427" s="73">
        <f>G247</f>
        <v>16220</v>
      </c>
    </row>
    <row r="428" spans="2:11" ht="12.3" x14ac:dyDescent="0.4">
      <c r="B428" s="488" t="s">
        <v>329</v>
      </c>
      <c r="C428" s="489"/>
      <c r="D428" s="489"/>
      <c r="E428" s="489"/>
      <c r="F428" s="489"/>
      <c r="G428" s="490"/>
    </row>
    <row r="429" spans="2:11" ht="12.3" x14ac:dyDescent="0.4">
      <c r="B429" s="7" t="s">
        <v>330</v>
      </c>
      <c r="C429" s="2">
        <f>C427+C425</f>
        <v>29620.891200000002</v>
      </c>
      <c r="D429" s="2">
        <f>D427+D425</f>
        <v>31107.100900000001</v>
      </c>
      <c r="E429" s="2">
        <f>E427+E425</f>
        <v>40882.394800000002</v>
      </c>
      <c r="F429" s="37">
        <f>F427+F425</f>
        <v>42455.257599999997</v>
      </c>
      <c r="G429" s="42">
        <f>G427+G425</f>
        <v>47023.705300000001</v>
      </c>
    </row>
    <row r="430" spans="2:11" ht="12.3" x14ac:dyDescent="0.4">
      <c r="B430" s="7" t="s">
        <v>332</v>
      </c>
      <c r="C430" s="70">
        <f t="shared" ref="C430:G430" si="100">C427/C429</f>
        <v>0.42257337618525126</v>
      </c>
      <c r="D430" s="70">
        <f t="shared" si="100"/>
        <v>0.40881341018828277</v>
      </c>
      <c r="E430" s="70">
        <f t="shared" si="100"/>
        <v>0.36812911948103388</v>
      </c>
      <c r="F430" s="70">
        <f t="shared" si="100"/>
        <v>0.37510077432671146</v>
      </c>
      <c r="G430" s="52">
        <f t="shared" si="100"/>
        <v>0.34493241007956044</v>
      </c>
      <c r="H430" s="70">
        <f t="shared" ref="H430:H431" si="101">AVERAGE(C430:G430)</f>
        <v>0.38390981805216795</v>
      </c>
    </row>
    <row r="431" spans="2:11" ht="12.3" x14ac:dyDescent="0.4">
      <c r="B431" s="34" t="s">
        <v>334</v>
      </c>
      <c r="C431" s="150">
        <f>C425/C429</f>
        <v>0.57742662381474874</v>
      </c>
      <c r="D431" s="150">
        <f>D425/D429</f>
        <v>0.59118658981171723</v>
      </c>
      <c r="E431" s="150">
        <f>E425/E429</f>
        <v>0.63187088051896612</v>
      </c>
      <c r="F431" s="150">
        <f>F425/F429</f>
        <v>0.62489922567328859</v>
      </c>
      <c r="G431" s="66">
        <f>G425/G429</f>
        <v>0.65506758992043956</v>
      </c>
      <c r="H431" s="70">
        <f t="shared" si="101"/>
        <v>0.61609018194783205</v>
      </c>
    </row>
    <row r="432" spans="2:11" ht="15.75" customHeight="1" x14ac:dyDescent="0.4">
      <c r="B432" s="495" t="s">
        <v>323</v>
      </c>
      <c r="C432" s="495"/>
      <c r="D432" s="495"/>
      <c r="E432" s="495"/>
      <c r="F432" s="495"/>
      <c r="G432" s="495"/>
    </row>
    <row r="433" spans="2:8" ht="15.75" customHeight="1" x14ac:dyDescent="0.4">
      <c r="B433" s="446" t="s">
        <v>363</v>
      </c>
      <c r="C433" s="447"/>
      <c r="D433" s="447"/>
      <c r="E433" s="447"/>
      <c r="F433" s="447"/>
      <c r="G433" s="447"/>
      <c r="H433" s="447"/>
    </row>
    <row r="434" spans="2:8" ht="15.75" customHeight="1" x14ac:dyDescent="0.4">
      <c r="B434" s="494" t="s">
        <v>364</v>
      </c>
      <c r="C434" s="494"/>
      <c r="D434" s="494"/>
      <c r="E434" s="494"/>
      <c r="F434" s="494"/>
      <c r="G434" s="494"/>
      <c r="H434" s="494"/>
    </row>
  </sheetData>
  <mergeCells count="47">
    <mergeCell ref="B132:G132"/>
    <mergeCell ref="B123:G123"/>
    <mergeCell ref="B199:G199"/>
    <mergeCell ref="B428:G428"/>
    <mergeCell ref="B198:G198"/>
    <mergeCell ref="B157:G157"/>
    <mergeCell ref="B145:G145"/>
    <mergeCell ref="B170:G170"/>
    <mergeCell ref="B171:G171"/>
    <mergeCell ref="B426:G426"/>
    <mergeCell ref="B421:G421"/>
    <mergeCell ref="B266:G266"/>
    <mergeCell ref="B267:G267"/>
    <mergeCell ref="B155:G155"/>
    <mergeCell ref="B143:G143"/>
    <mergeCell ref="B130:G130"/>
    <mergeCell ref="B434:H434"/>
    <mergeCell ref="B432:G432"/>
    <mergeCell ref="B419:K419"/>
    <mergeCell ref="I52:L52"/>
    <mergeCell ref="I76:L76"/>
    <mergeCell ref="J103:N103"/>
    <mergeCell ref="I114:L114"/>
    <mergeCell ref="I146:M146"/>
    <mergeCell ref="I165:L165"/>
    <mergeCell ref="I176:L176"/>
    <mergeCell ref="I205:M205"/>
    <mergeCell ref="B378:E378"/>
    <mergeCell ref="B315:G315"/>
    <mergeCell ref="B264:G264"/>
    <mergeCell ref="B196:G196"/>
    <mergeCell ref="B168:G168"/>
    <mergeCell ref="B4:G4"/>
    <mergeCell ref="B29:G29"/>
    <mergeCell ref="B2:G2"/>
    <mergeCell ref="B121:G121"/>
    <mergeCell ref="B112:H112"/>
    <mergeCell ref="B101:G101"/>
    <mergeCell ref="B74:G74"/>
    <mergeCell ref="B32:G32"/>
    <mergeCell ref="B31:G31"/>
    <mergeCell ref="B52:G52"/>
    <mergeCell ref="B76:G76"/>
    <mergeCell ref="B114:G114"/>
    <mergeCell ref="B103:H103"/>
    <mergeCell ref="B42:G42"/>
    <mergeCell ref="B50:G5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4"/>
  <sheetViews>
    <sheetView showGridLines="0" zoomScaleNormal="100" workbookViewId="0">
      <selection activeCell="A2" sqref="A2:F2"/>
    </sheetView>
  </sheetViews>
  <sheetFormatPr defaultColWidth="14.44140625" defaultRowHeight="15.75" customHeight="1" x14ac:dyDescent="0.4"/>
  <cols>
    <col min="1" max="1" width="12.1640625" customWidth="1"/>
    <col min="2" max="2" width="46" customWidth="1"/>
    <col min="3" max="3" width="17.5546875" customWidth="1"/>
    <col min="5" max="5" width="40" customWidth="1"/>
  </cols>
  <sheetData>
    <row r="1" spans="1:6" ht="12.3" x14ac:dyDescent="0.4">
      <c r="A1" s="380"/>
      <c r="B1" s="380"/>
      <c r="C1" s="380"/>
      <c r="D1" s="380"/>
      <c r="E1" s="380"/>
      <c r="F1" s="380"/>
    </row>
    <row r="2" spans="1:6" ht="17.399999999999999" x14ac:dyDescent="0.55000000000000004">
      <c r="A2" s="483" t="s">
        <v>373</v>
      </c>
      <c r="B2" s="483"/>
      <c r="C2" s="483"/>
      <c r="D2" s="483"/>
      <c r="E2" s="483"/>
      <c r="F2" s="483"/>
    </row>
    <row r="3" spans="1:6" ht="12.3" x14ac:dyDescent="0.4">
      <c r="A3" s="3"/>
      <c r="B3" s="3"/>
      <c r="C3" s="3"/>
      <c r="D3" s="3"/>
      <c r="E3" s="3"/>
    </row>
    <row r="4" spans="1:6" ht="12.3" x14ac:dyDescent="0.4">
      <c r="A4" s="3"/>
      <c r="B4" s="510" t="s">
        <v>0</v>
      </c>
      <c r="C4" s="493"/>
      <c r="D4" s="3"/>
      <c r="E4" s="510" t="s">
        <v>1</v>
      </c>
      <c r="F4" s="493"/>
    </row>
    <row r="5" spans="1:6" ht="12.3" x14ac:dyDescent="0.4">
      <c r="A5" s="5"/>
      <c r="B5" s="6"/>
      <c r="C5" s="8" t="s">
        <v>3</v>
      </c>
      <c r="D5" s="3"/>
      <c r="E5" s="10"/>
      <c r="F5" s="8" t="s">
        <v>3</v>
      </c>
    </row>
    <row r="6" spans="1:6" ht="12.3" x14ac:dyDescent="0.4">
      <c r="A6" s="5"/>
      <c r="B6" s="12" t="str">
        <f>'Source Data'!B54</f>
        <v>Customers (average for the year)</v>
      </c>
      <c r="C6" s="16">
        <f>'Source Data'!M54</f>
        <v>6.4355250001970066E-3</v>
      </c>
      <c r="D6" s="3"/>
      <c r="E6" s="12" t="str">
        <f>B6</f>
        <v>Customers (average for the year)</v>
      </c>
      <c r="F6" s="20">
        <f>'Source Data'!M78</f>
        <v>5.0785987065575799E-3</v>
      </c>
    </row>
    <row r="7" spans="1:6" ht="12.3" x14ac:dyDescent="0.4">
      <c r="A7" s="5"/>
      <c r="B7" s="12" t="str">
        <f>'Source Data'!B55</f>
        <v>Deliveries (in GWh)</v>
      </c>
      <c r="C7" s="16">
        <f>'Source Data'!M55</f>
        <v>-9.0068604907177774E-3</v>
      </c>
      <c r="D7" s="3"/>
      <c r="E7" s="7" t="s">
        <v>14</v>
      </c>
      <c r="F7" s="20">
        <f>'Source Data'!M79</f>
        <v>-3.9653843545068873E-2</v>
      </c>
    </row>
    <row r="8" spans="1:6" ht="12.3" x14ac:dyDescent="0.4">
      <c r="A8" s="1"/>
      <c r="B8" s="7" t="s">
        <v>17</v>
      </c>
      <c r="C8" s="24"/>
      <c r="D8" s="3"/>
      <c r="E8" s="26" t="str">
        <f>'Source Data'!B80</f>
        <v>Average price of natural gas purchased</v>
      </c>
      <c r="F8" s="20">
        <f>'Source Data'!M80</f>
        <v>-7.6976910452459246E-3</v>
      </c>
    </row>
    <row r="9" spans="1:6" ht="12.3" x14ac:dyDescent="0.4">
      <c r="A9" s="1"/>
      <c r="B9" s="7" t="s">
        <v>20</v>
      </c>
      <c r="C9" s="16">
        <f>'Source Data'!M57</f>
        <v>2.3579845226580104E-2</v>
      </c>
      <c r="D9" s="3"/>
      <c r="E9" s="26" t="str">
        <f>'Source Data'!B81</f>
        <v>Bundled gas sales (MMcf)</v>
      </c>
      <c r="F9" s="30"/>
    </row>
    <row r="10" spans="1:6" ht="12.3" x14ac:dyDescent="0.4">
      <c r="A10" s="1"/>
      <c r="B10" s="7" t="s">
        <v>23</v>
      </c>
      <c r="C10" s="16">
        <f>'Source Data'!M58</f>
        <v>3.3255621419485071E-2</v>
      </c>
      <c r="D10" s="3"/>
      <c r="E10" s="26" t="str">
        <f>'Source Data'!B82</f>
        <v>Residential</v>
      </c>
      <c r="F10" s="20">
        <f>'Source Data'!M82</f>
        <v>7.2877350835189132E-3</v>
      </c>
    </row>
    <row r="11" spans="1:6" ht="12.3" x14ac:dyDescent="0.4">
      <c r="A11" s="1"/>
      <c r="B11" s="7" t="s">
        <v>25</v>
      </c>
      <c r="C11" s="16">
        <f>'Source Data'!M59</f>
        <v>2.148784436608131E-2</v>
      </c>
      <c r="D11" s="3"/>
      <c r="E11" s="26" t="str">
        <f>'Source Data'!B83</f>
        <v>Commercial</v>
      </c>
      <c r="F11" s="20">
        <f>'Source Data'!M83</f>
        <v>-2.4717695730376299E-3</v>
      </c>
    </row>
    <row r="12" spans="1:6" ht="12.3" x14ac:dyDescent="0.4">
      <c r="A12" s="1"/>
      <c r="B12" s="7" t="s">
        <v>27</v>
      </c>
      <c r="C12" s="16">
        <f>'Source Data'!M60</f>
        <v>8.1862535619088128E-2</v>
      </c>
      <c r="D12" s="3"/>
      <c r="E12" s="7" t="s">
        <v>17</v>
      </c>
      <c r="F12" s="15"/>
    </row>
    <row r="13" spans="1:6" ht="15" customHeight="1" x14ac:dyDescent="0.4">
      <c r="A13" s="1"/>
      <c r="B13" s="7" t="s">
        <v>29</v>
      </c>
      <c r="C13" s="16">
        <f>'Source Data'!M61</f>
        <v>4.2971887550200538E-3</v>
      </c>
      <c r="D13" s="3"/>
      <c r="E13" s="7" t="s">
        <v>20</v>
      </c>
      <c r="F13" s="20">
        <f>'Source Data'!M87</f>
        <v>1.8111303151155528E-2</v>
      </c>
    </row>
    <row r="14" spans="1:6" ht="15" customHeight="1" x14ac:dyDescent="0.4">
      <c r="A14" s="1"/>
      <c r="B14" s="34" t="s">
        <v>30</v>
      </c>
      <c r="C14" s="36">
        <f>-1%</f>
        <v>-0.01</v>
      </c>
      <c r="D14" s="3"/>
      <c r="E14" s="7" t="s">
        <v>23</v>
      </c>
      <c r="F14" s="20">
        <f>'Source Data'!M88</f>
        <v>3.5808738414044278E-2</v>
      </c>
    </row>
    <row r="15" spans="1:6" ht="15" customHeight="1" x14ac:dyDescent="0.4">
      <c r="A15" s="3"/>
      <c r="B15" s="3"/>
      <c r="C15" s="3"/>
      <c r="D15" s="3"/>
      <c r="E15" s="7" t="s">
        <v>30</v>
      </c>
      <c r="F15" s="30">
        <f>'Source Data'!M89</f>
        <v>0.1</v>
      </c>
    </row>
    <row r="16" spans="1:6" ht="15" customHeight="1" x14ac:dyDescent="0.4">
      <c r="A16" s="3"/>
      <c r="B16" s="513" t="s">
        <v>32</v>
      </c>
      <c r="C16" s="492"/>
      <c r="D16" s="3"/>
      <c r="E16" s="34" t="s">
        <v>33</v>
      </c>
      <c r="F16" s="41">
        <f>'Source Data'!M91</f>
        <v>0.12951135472505979</v>
      </c>
    </row>
    <row r="17" spans="1:6" ht="15" customHeight="1" x14ac:dyDescent="0.4">
      <c r="A17" s="3"/>
      <c r="B17" s="26"/>
      <c r="C17" s="43" t="s">
        <v>35</v>
      </c>
      <c r="D17" s="3"/>
      <c r="E17" s="3"/>
    </row>
    <row r="18" spans="1:6" ht="15" customHeight="1" x14ac:dyDescent="0.4">
      <c r="A18" s="3"/>
      <c r="B18" s="26" t="str">
        <f>'Source Data'!B105</f>
        <v>Electricity generating facilities</v>
      </c>
      <c r="C18" s="15">
        <f>'Source Data'!C105</f>
        <v>55</v>
      </c>
      <c r="D18" s="3"/>
      <c r="E18" s="504" t="s">
        <v>37</v>
      </c>
      <c r="F18" s="490"/>
    </row>
    <row r="19" spans="1:6" ht="12.3" x14ac:dyDescent="0.4">
      <c r="A19" s="3"/>
      <c r="B19" s="26" t="str">
        <f>'Source Data'!B106</f>
        <v>Electricity distribution facilities</v>
      </c>
      <c r="C19" s="15">
        <f>'Source Data'!C106</f>
        <v>35</v>
      </c>
      <c r="D19" s="48"/>
      <c r="E19" s="511" t="s">
        <v>49</v>
      </c>
      <c r="F19" s="512"/>
    </row>
    <row r="20" spans="1:6" ht="12.3" x14ac:dyDescent="0.4">
      <c r="A20" s="3"/>
      <c r="B20" s="26" t="str">
        <f>'Source Data'!B107</f>
        <v>Electricity transmission facilities</v>
      </c>
      <c r="C20" s="15">
        <f>'Source Data'!C107</f>
        <v>45</v>
      </c>
      <c r="D20" s="48"/>
      <c r="E20" s="51" t="str">
        <f t="shared" ref="E20:E24" si="0">B18</f>
        <v>Electricity generating facilities</v>
      </c>
      <c r="F20" s="52">
        <f>'Source Data'!P105</f>
        <v>0.65</v>
      </c>
    </row>
    <row r="21" spans="1:6" ht="12.3" x14ac:dyDescent="0.4">
      <c r="A21" s="3"/>
      <c r="B21" s="26" t="str">
        <f>'Source Data'!B108</f>
        <v>Natural gas distribution facilities</v>
      </c>
      <c r="C21" s="15">
        <f>'Source Data'!C108</f>
        <v>35</v>
      </c>
      <c r="E21" s="51" t="str">
        <f t="shared" si="0"/>
        <v>Electricity distribution facilities</v>
      </c>
      <c r="F21" s="52">
        <f>'Source Data'!O106</f>
        <v>1.6286677685939306</v>
      </c>
    </row>
    <row r="22" spans="1:6" ht="12.3" x14ac:dyDescent="0.4">
      <c r="A22" s="3"/>
      <c r="B22" s="26" t="str">
        <f>'Source Data'!B109</f>
        <v>Natural gas transmission and storage facilities</v>
      </c>
      <c r="C22" s="15">
        <f>'Source Data'!C109</f>
        <v>37</v>
      </c>
      <c r="E22" s="51" t="str">
        <f t="shared" si="0"/>
        <v>Electricity transmission facilities</v>
      </c>
      <c r="F22" s="52">
        <f>'Source Data'!P107</f>
        <v>0.66</v>
      </c>
    </row>
    <row r="23" spans="1:6" ht="12.3" x14ac:dyDescent="0.4">
      <c r="A23" s="3"/>
      <c r="B23" s="56" t="str">
        <f>'Source Data'!B110</f>
        <v>Construction work in progress</v>
      </c>
      <c r="C23" s="57">
        <f>25</f>
        <v>25</v>
      </c>
      <c r="E23" s="51" t="str">
        <f t="shared" si="0"/>
        <v>Natural gas distribution facilities</v>
      </c>
      <c r="F23" s="52">
        <f>'Source Data'!P108</f>
        <v>0.67</v>
      </c>
    </row>
    <row r="24" spans="1:6" ht="12.3" x14ac:dyDescent="0.4">
      <c r="A24" s="3"/>
      <c r="E24" s="51" t="str">
        <f t="shared" si="0"/>
        <v>Natural gas transmission and storage facilities</v>
      </c>
      <c r="F24" s="52">
        <f>'Source Data'!P109</f>
        <v>0.36</v>
      </c>
    </row>
    <row r="25" spans="1:6" ht="12.3" x14ac:dyDescent="0.4">
      <c r="A25" s="3"/>
      <c r="B25" s="504" t="s">
        <v>43</v>
      </c>
      <c r="C25" s="489"/>
      <c r="D25" s="48"/>
      <c r="E25" s="63" t="str">
        <f>'Source Data'!B110</f>
        <v>Construction work in progress</v>
      </c>
      <c r="F25" s="66">
        <f>5%</f>
        <v>0.05</v>
      </c>
    </row>
    <row r="26" spans="1:6" ht="12.3" x14ac:dyDescent="0.4">
      <c r="A26" s="3"/>
      <c r="B26" s="502" t="s">
        <v>44</v>
      </c>
      <c r="C26" s="490"/>
      <c r="E26" s="3"/>
    </row>
    <row r="27" spans="1:6" ht="12.3" x14ac:dyDescent="0.4">
      <c r="A27" s="3"/>
      <c r="B27" s="51" t="str">
        <f>'Source Data'!B116</f>
        <v>Cost of purchased power</v>
      </c>
      <c r="C27" s="68">
        <f>'Source Data'!M116</f>
        <v>4.6234890633092135E-2</v>
      </c>
      <c r="D27" s="3"/>
      <c r="E27" s="504" t="s">
        <v>46</v>
      </c>
      <c r="F27" s="490"/>
    </row>
    <row r="28" spans="1:6" ht="12.3" x14ac:dyDescent="0.4">
      <c r="A28" s="3"/>
      <c r="B28" s="51" t="str">
        <f>'Source Data'!B117</f>
        <v>Fuel used in own generation facilities</v>
      </c>
      <c r="C28" s="68">
        <f>'Source Data'!M117</f>
        <v>-2.3088687111874923E-2</v>
      </c>
      <c r="D28" s="3"/>
      <c r="E28" s="505" t="s">
        <v>49</v>
      </c>
      <c r="F28" s="506"/>
    </row>
    <row r="29" spans="1:6" ht="12.3" x14ac:dyDescent="0.4">
      <c r="A29" s="3"/>
      <c r="B29" s="51" t="str">
        <f>'Source Data'!B119</f>
        <v>Average cost of purchased power per kWh</v>
      </c>
      <c r="C29" s="68">
        <f>'Source Data'!M119</f>
        <v>0.01</v>
      </c>
      <c r="D29" s="3"/>
      <c r="E29" s="51" t="str">
        <f>'Source Data'!B227</f>
        <v>Regulatory assets</v>
      </c>
      <c r="F29" s="52">
        <f>'Source Data'!N227</f>
        <v>0.34688708831377502</v>
      </c>
    </row>
    <row r="30" spans="1:6" ht="12.3" x14ac:dyDescent="0.4">
      <c r="A30" s="3"/>
      <c r="B30" s="51" t="str">
        <f>'Source Data'!B120</f>
        <v>Total purchased power (in millions of kWh)</v>
      </c>
      <c r="C30" s="68">
        <f>'Source Data'!M120</f>
        <v>-3.8480613991583396E-2</v>
      </c>
      <c r="D30" s="3"/>
      <c r="E30" s="51" t="str">
        <f>'Source Data'!B228</f>
        <v>Nuclear decommissioning trusts</v>
      </c>
      <c r="F30" s="52">
        <f>'Source Data'!N228</f>
        <v>0.14610455141861722</v>
      </c>
    </row>
    <row r="31" spans="1:6" ht="12.3" x14ac:dyDescent="0.4">
      <c r="A31" s="3"/>
      <c r="B31" s="502" t="s">
        <v>51</v>
      </c>
      <c r="C31" s="490"/>
      <c r="D31" s="3"/>
      <c r="E31" s="51" t="str">
        <f>'Source Data'!B229</f>
        <v>Income taxes receivable</v>
      </c>
      <c r="F31" s="52">
        <f>'Source Data'!N229</f>
        <v>6.8917340070590357E-3</v>
      </c>
    </row>
    <row r="32" spans="1:6" ht="12.3" x14ac:dyDescent="0.4">
      <c r="A32" s="3"/>
      <c r="B32" s="51" t="str">
        <f>'Source Data'!B125</f>
        <v>Cost of natural gas sold</v>
      </c>
      <c r="C32" s="68">
        <f>'Source Data'!M125</f>
        <v>-5.8265068369604434E-2</v>
      </c>
      <c r="D32" s="3"/>
      <c r="E32" s="63" t="str">
        <f>'Source Data'!B230</f>
        <v>Other</v>
      </c>
      <c r="F32" s="66">
        <f>'Source Data'!N230</f>
        <v>5.9838404130350874E-2</v>
      </c>
    </row>
    <row r="33" spans="1:6" ht="12.3" x14ac:dyDescent="0.4">
      <c r="A33" s="3"/>
      <c r="B33" s="51" t="str">
        <f>'Source Data'!B126</f>
        <v xml:space="preserve">Transportation cost </v>
      </c>
      <c r="C33" s="68">
        <f>'Source Data'!M126</f>
        <v>-7.5361651713369476E-2</v>
      </c>
      <c r="D33" s="3"/>
      <c r="E33" s="3"/>
    </row>
    <row r="34" spans="1:6" ht="12.3" x14ac:dyDescent="0.4">
      <c r="A34" s="3"/>
      <c r="B34" s="51" t="str">
        <f>'Source Data'!B128</f>
        <v>Average cost per Mcf of natural gas sold</v>
      </c>
      <c r="C34" s="68">
        <f>'Source Data'!M128</f>
        <v>-6.9697513829729552E-3</v>
      </c>
      <c r="D34" s="3"/>
      <c r="E34" s="504" t="s">
        <v>52</v>
      </c>
      <c r="F34" s="490"/>
    </row>
    <row r="35" spans="1:6" ht="12.3" x14ac:dyDescent="0.4">
      <c r="A35" s="3"/>
      <c r="B35" s="63" t="str">
        <f>'Source Data'!B129</f>
        <v>Total natural gas sold (in millions of Mcf)</v>
      </c>
      <c r="C35" s="84">
        <f>'Source Data'!M129</f>
        <v>-3.7071459082758218E-2</v>
      </c>
      <c r="D35" s="3"/>
      <c r="E35" s="63" t="s">
        <v>53</v>
      </c>
      <c r="F35" s="85">
        <f>'Source Data'!N236</f>
        <v>5.827368823134875E-2</v>
      </c>
    </row>
    <row r="36" spans="1:6" ht="12.3" x14ac:dyDescent="0.4">
      <c r="A36" s="3"/>
      <c r="B36" s="87" t="s">
        <v>54</v>
      </c>
      <c r="C36" s="66">
        <f>'Source Data'!M180</f>
        <v>5.5342083440754086E-2</v>
      </c>
      <c r="D36" s="3"/>
      <c r="E36" s="3"/>
    </row>
    <row r="37" spans="1:6" ht="12.3" x14ac:dyDescent="0.4">
      <c r="A37" s="89"/>
    </row>
    <row r="38" spans="1:6" ht="12.3" x14ac:dyDescent="0.4">
      <c r="A38" s="89"/>
      <c r="B38" s="504" t="s">
        <v>55</v>
      </c>
      <c r="C38" s="489"/>
      <c r="E38" s="507" t="s">
        <v>56</v>
      </c>
      <c r="F38" s="486"/>
    </row>
    <row r="39" spans="1:6" ht="12.3" x14ac:dyDescent="0.4">
      <c r="B39" s="505" t="s">
        <v>49</v>
      </c>
      <c r="C39" s="506"/>
      <c r="E39" s="91" t="s">
        <v>57</v>
      </c>
      <c r="F39" s="93">
        <f>'Source Data'!N247</f>
        <v>14978</v>
      </c>
    </row>
    <row r="40" spans="1:6" ht="12.3" x14ac:dyDescent="0.4">
      <c r="A40" s="3"/>
      <c r="B40" s="7" t="str">
        <f>'Source Data'!B205</f>
        <v>Accounts receivable</v>
      </c>
      <c r="C40" s="15"/>
      <c r="D40" s="3"/>
      <c r="E40" s="51" t="s">
        <v>58</v>
      </c>
      <c r="F40" s="95">
        <f>'Source Data'!O247</f>
        <v>6.9024338668167262E-2</v>
      </c>
    </row>
    <row r="41" spans="1:6" ht="12.3" x14ac:dyDescent="0.4">
      <c r="A41" s="1"/>
      <c r="B41" s="7" t="s">
        <v>60</v>
      </c>
      <c r="C41" s="21">
        <f>'Source Data'!N207</f>
        <v>6.4998693521108014E-2</v>
      </c>
      <c r="E41" s="51" t="s">
        <v>61</v>
      </c>
      <c r="F41" s="95">
        <v>5.5E-2</v>
      </c>
    </row>
    <row r="42" spans="1:6" ht="12.3" x14ac:dyDescent="0.4">
      <c r="A42" s="1"/>
      <c r="B42" s="7" t="str">
        <f>'Source Data'!B208</f>
        <v>Accrued unbilled revenue</v>
      </c>
      <c r="C42" s="21">
        <f>'Source Data'!N208</f>
        <v>5.1612061749621706E-2</v>
      </c>
      <c r="E42" s="63" t="s">
        <v>63</v>
      </c>
      <c r="F42" s="98">
        <v>0</v>
      </c>
    </row>
    <row r="43" spans="1:6" ht="12.3" x14ac:dyDescent="0.4">
      <c r="A43" s="1"/>
      <c r="B43" s="7" t="str">
        <f>'Source Data'!B209</f>
        <v>Regulatory balancing accounts</v>
      </c>
      <c r="C43" s="21">
        <f>'Source Data'!N209</f>
        <v>9.1270422529481338E-2</v>
      </c>
    </row>
    <row r="44" spans="1:6" ht="12.3" x14ac:dyDescent="0.4">
      <c r="B44" s="7" t="str">
        <f>'Source Data'!B210</f>
        <v>Other</v>
      </c>
      <c r="C44" s="21">
        <f>'Source Data'!N210</f>
        <v>2.5732526913551785E-2</v>
      </c>
      <c r="E44" s="504" t="s">
        <v>67</v>
      </c>
      <c r="F44" s="489"/>
    </row>
    <row r="45" spans="1:6" ht="12.3" x14ac:dyDescent="0.4">
      <c r="A45" s="1"/>
      <c r="B45" s="99" t="str">
        <f>'Source Data'!B212</f>
        <v>Inventories</v>
      </c>
      <c r="C45" s="15"/>
      <c r="E45" s="509" t="str">
        <f>'Source Data'!B147</f>
        <v>Current</v>
      </c>
      <c r="F45" s="487"/>
    </row>
    <row r="46" spans="1:6" ht="12.3" x14ac:dyDescent="0.4">
      <c r="A46" s="1"/>
      <c r="B46" s="99" t="str">
        <f>'Source Data'!B213</f>
        <v>Gas stored underground and fuel oil</v>
      </c>
      <c r="C46" s="52">
        <f>'Source Data'!N213</f>
        <v>8.3863588908866665E-3</v>
      </c>
      <c r="E46" s="26" t="str">
        <f>'Source Data'!B148</f>
        <v>Federal</v>
      </c>
      <c r="F46" s="52">
        <f>'Source Data'!N148</f>
        <v>-9.8048539187891443E-2</v>
      </c>
    </row>
    <row r="47" spans="1:6" ht="12.3" x14ac:dyDescent="0.4">
      <c r="A47" s="89"/>
      <c r="B47" s="99" t="str">
        <f>'Source Data'!B214</f>
        <v>Materials and supplies</v>
      </c>
      <c r="C47" s="21">
        <f>'Source Data'!N214</f>
        <v>1.9367316738110978E-2</v>
      </c>
      <c r="E47" s="26" t="str">
        <f>'Source Data'!B149</f>
        <v>State</v>
      </c>
      <c r="F47" s="52">
        <f>'Source Data'!N149</f>
        <v>-1.0147958646270079E-2</v>
      </c>
    </row>
    <row r="48" spans="1:6" ht="12.3" x14ac:dyDescent="0.4">
      <c r="A48" s="89"/>
      <c r="B48" s="99" t="str">
        <f>'Source Data'!B238</f>
        <v>Accounts payable</v>
      </c>
      <c r="C48" s="15"/>
      <c r="E48" s="102" t="str">
        <f>'Source Data'!B150</f>
        <v>Deferred</v>
      </c>
      <c r="F48" s="15">
        <f>'Source Data'!N150</f>
        <v>0</v>
      </c>
    </row>
    <row r="49" spans="1:6" ht="12.3" x14ac:dyDescent="0.4">
      <c r="A49" s="89"/>
      <c r="B49" s="99" t="str">
        <f>'Source Data'!B239</f>
        <v>Trade creditors</v>
      </c>
      <c r="C49" s="52">
        <f>'Source Data'!M239</f>
        <v>8.4625834937167438E-2</v>
      </c>
      <c r="E49" s="26" t="str">
        <f>'Source Data'!B151</f>
        <v>Federal</v>
      </c>
      <c r="F49" s="52">
        <f>'Source Data'!N151</f>
        <v>0.27520747675636503</v>
      </c>
    </row>
    <row r="50" spans="1:6" ht="12.3" x14ac:dyDescent="0.4">
      <c r="A50" s="89"/>
      <c r="B50" s="99" t="str">
        <f>'Source Data'!B240</f>
        <v>Regulatory balancing accounts</v>
      </c>
      <c r="C50" s="52">
        <f>'Source Data'!M240</f>
        <v>3.6510811728744479E-2</v>
      </c>
      <c r="E50" s="56" t="str">
        <f>'Source Data'!B152</f>
        <v>State</v>
      </c>
      <c r="F50" s="66">
        <f>'Source Data'!N152</f>
        <v>-3.0405772908352214E-2</v>
      </c>
    </row>
    <row r="51" spans="1:6" ht="12.3" x14ac:dyDescent="0.4">
      <c r="A51" s="89"/>
      <c r="B51" s="87" t="str">
        <f>'Source Data'!B241</f>
        <v>Other</v>
      </c>
      <c r="C51" s="66">
        <f>'Source Data'!M241</f>
        <v>2.4510358881467225E-2</v>
      </c>
    </row>
    <row r="52" spans="1:6" ht="12.3" x14ac:dyDescent="0.4">
      <c r="A52" s="89"/>
    </row>
    <row r="53" spans="1:6" ht="15.75" customHeight="1" x14ac:dyDescent="0.4">
      <c r="A53" s="89"/>
      <c r="B53" s="508" t="s">
        <v>69</v>
      </c>
      <c r="C53" s="486"/>
      <c r="E53" s="504" t="s">
        <v>70</v>
      </c>
      <c r="F53" s="490"/>
    </row>
    <row r="54" spans="1:6" ht="12.3" x14ac:dyDescent="0.4">
      <c r="B54" s="63" t="s">
        <v>72</v>
      </c>
      <c r="C54" s="36">
        <f>4.8%</f>
        <v>4.8000000000000001E-2</v>
      </c>
      <c r="E54" s="34" t="s">
        <v>73</v>
      </c>
      <c r="F54" s="66">
        <f>5%</f>
        <v>0.05</v>
      </c>
    </row>
    <row r="55" spans="1:6" ht="12.3" x14ac:dyDescent="0.4"/>
    <row r="56" spans="1:6" ht="12.3" x14ac:dyDescent="0.4">
      <c r="B56" s="507" t="s">
        <v>74</v>
      </c>
      <c r="C56" s="486"/>
      <c r="E56" s="504" t="s">
        <v>75</v>
      </c>
      <c r="F56" s="489"/>
    </row>
    <row r="57" spans="1:6" ht="12.3" x14ac:dyDescent="0.4">
      <c r="B57" s="503" t="s">
        <v>76</v>
      </c>
      <c r="C57" s="490"/>
      <c r="E57" s="7" t="s">
        <v>78</v>
      </c>
      <c r="F57" s="15">
        <f>COUNT('Source Data'!D318:D377)</f>
        <v>60</v>
      </c>
    </row>
    <row r="58" spans="1:6" ht="12.3" x14ac:dyDescent="0.4">
      <c r="B58" s="109" t="s">
        <v>79</v>
      </c>
      <c r="C58" s="111">
        <f>0.23</f>
        <v>0.23</v>
      </c>
      <c r="E58" s="7" t="s">
        <v>80</v>
      </c>
      <c r="F58" s="112">
        <f>CORREL('Source Data'!D318:D377,'Source Data'!C318:C377)</f>
        <v>0.13223393129656841</v>
      </c>
    </row>
    <row r="59" spans="1:6" ht="12.3" x14ac:dyDescent="0.4">
      <c r="B59" s="109" t="s">
        <v>81</v>
      </c>
      <c r="C59" s="114">
        <f>SLOPE('Source Data'!C318:C377,'Source Data'!D318:D377)</f>
        <v>0.20672723633622739</v>
      </c>
      <c r="E59" s="7" t="s">
        <v>82</v>
      </c>
      <c r="F59" s="112">
        <f>STDEV('Source Data'!D318:D377)</f>
        <v>2.9867259086121617E-2</v>
      </c>
    </row>
    <row r="60" spans="1:6" ht="12.3" x14ac:dyDescent="0.4">
      <c r="B60" s="109" t="s">
        <v>83</v>
      </c>
      <c r="C60" s="115">
        <f>AVERAGE('Source Data'!E318:E377)/100</f>
        <v>2.7018333333333325E-2</v>
      </c>
      <c r="E60" s="7" t="s">
        <v>84</v>
      </c>
      <c r="F60" s="112">
        <f>STDEV('Source Data'!C318:C377)</f>
        <v>4.6692825867548159E-2</v>
      </c>
    </row>
    <row r="61" spans="1:6" ht="12.3" x14ac:dyDescent="0.4">
      <c r="B61" s="109" t="s">
        <v>86</v>
      </c>
      <c r="C61" s="115">
        <f>6.1%</f>
        <v>6.0999999999999999E-2</v>
      </c>
      <c r="E61" s="7" t="s">
        <v>87</v>
      </c>
      <c r="F61" s="112">
        <f>C59</f>
        <v>0.20672723633622739</v>
      </c>
    </row>
    <row r="62" spans="1:6" ht="12.3" x14ac:dyDescent="0.4">
      <c r="B62" s="109" t="s">
        <v>89</v>
      </c>
      <c r="C62" s="115">
        <f>C60+C59*C61</f>
        <v>3.9628694749843194E-2</v>
      </c>
      <c r="E62" s="7" t="s">
        <v>90</v>
      </c>
      <c r="F62" s="112">
        <f>F60*SQRT((1-F58^2)*(F57-1)/(F57-2))</f>
        <v>4.6680079021915982E-2</v>
      </c>
    </row>
    <row r="63" spans="1:6" ht="12.3" x14ac:dyDescent="0.4">
      <c r="B63" s="502" t="s">
        <v>91</v>
      </c>
      <c r="C63" s="490"/>
      <c r="E63" s="7" t="s">
        <v>93</v>
      </c>
      <c r="F63" s="112">
        <f>F62/(F59*SQRT(F57-1))</f>
        <v>0.20347460189897179</v>
      </c>
    </row>
    <row r="64" spans="1:6" ht="12.3" x14ac:dyDescent="0.4">
      <c r="B64" s="7" t="s">
        <v>94</v>
      </c>
      <c r="C64" s="52">
        <f>'Source Data'!K418/100</f>
        <v>4.24E-2</v>
      </c>
      <c r="E64" s="7" t="s">
        <v>95</v>
      </c>
      <c r="F64" s="112">
        <f>F61/F63</f>
        <v>1.0159854566953304</v>
      </c>
    </row>
    <row r="65" spans="1:6" ht="12.3" x14ac:dyDescent="0.4">
      <c r="B65" s="502" t="s">
        <v>97</v>
      </c>
      <c r="C65" s="490"/>
      <c r="E65" s="7" t="s">
        <v>98</v>
      </c>
      <c r="F65" s="15">
        <f>F57-2</f>
        <v>58</v>
      </c>
    </row>
    <row r="66" spans="1:6" ht="12.3" x14ac:dyDescent="0.4">
      <c r="B66" s="7" t="s">
        <v>99</v>
      </c>
      <c r="C66" s="52">
        <f>'Source Data'!H430</f>
        <v>0.38390981805216795</v>
      </c>
      <c r="E66" s="7" t="s">
        <v>100</v>
      </c>
      <c r="F66" s="112">
        <f>TDIST(ABS(F64),F65,2)</f>
        <v>0.31385586032379614</v>
      </c>
    </row>
    <row r="67" spans="1:6" ht="12.3" x14ac:dyDescent="0.4">
      <c r="B67" s="34" t="s">
        <v>101</v>
      </c>
      <c r="C67" s="66">
        <f>'Source Data'!H431</f>
        <v>0.61609018194783205</v>
      </c>
      <c r="E67" s="7" t="s">
        <v>103</v>
      </c>
      <c r="F67" s="112">
        <f>TINV(0.05,F65)</f>
        <v>2.0017174841452352</v>
      </c>
    </row>
    <row r="68" spans="1:6" ht="15.75" customHeight="1" x14ac:dyDescent="0.4">
      <c r="B68" s="4" t="s">
        <v>104</v>
      </c>
      <c r="C68" s="131">
        <f>C62*C67+C66*(1-C54)*C64</f>
        <v>3.9911292782498137E-2</v>
      </c>
      <c r="E68" s="7" t="s">
        <v>108</v>
      </c>
      <c r="F68" s="134" t="str">
        <f>IF(F66&lt;F67,"yes","no")</f>
        <v>yes</v>
      </c>
    </row>
    <row r="69" spans="1:6" ht="12.3" x14ac:dyDescent="0.4">
      <c r="B69" s="34" t="s">
        <v>109</v>
      </c>
      <c r="C69" s="66">
        <f>3.61%</f>
        <v>3.61E-2</v>
      </c>
      <c r="E69" s="34" t="s">
        <v>110</v>
      </c>
      <c r="F69" s="66">
        <f>RSQ('Source Data'!D318:D377,'Source Data'!C318:C377)</f>
        <v>1.748581258614558E-2</v>
      </c>
    </row>
    <row r="70" spans="1:6" s="420" customFormat="1" ht="12.3" x14ac:dyDescent="0.4">
      <c r="A70"/>
      <c r="B70"/>
      <c r="C70"/>
      <c r="D70"/>
      <c r="E70"/>
      <c r="F70"/>
    </row>
    <row r="71" spans="1:6" ht="12.3" x14ac:dyDescent="0.4">
      <c r="B71" s="514" t="s">
        <v>112</v>
      </c>
      <c r="C71" s="515"/>
    </row>
    <row r="72" spans="1:6" ht="15.75" customHeight="1" x14ac:dyDescent="0.4">
      <c r="A72" s="420"/>
      <c r="B72" s="516" t="s">
        <v>350</v>
      </c>
      <c r="C72" s="517"/>
      <c r="D72" s="420"/>
      <c r="E72" s="420"/>
      <c r="F72" s="420"/>
    </row>
    <row r="73" spans="1:6" ht="15.75" customHeight="1" x14ac:dyDescent="0.4">
      <c r="B73" s="522" t="s">
        <v>353</v>
      </c>
      <c r="C73" s="523"/>
    </row>
    <row r="74" spans="1:6" ht="15.75" customHeight="1" x14ac:dyDescent="0.4">
      <c r="B74" s="524" t="str">
        <f>E20</f>
        <v>Electricity generating facilities</v>
      </c>
      <c r="C74" s="525"/>
    </row>
    <row r="75" spans="1:6" ht="15.75" customHeight="1" x14ac:dyDescent="0.4">
      <c r="B75" s="392" t="s">
        <v>351</v>
      </c>
      <c r="C75" s="393">
        <f>-15%</f>
        <v>-0.15</v>
      </c>
    </row>
    <row r="76" spans="1:6" ht="15.75" customHeight="1" x14ac:dyDescent="0.4">
      <c r="B76" s="392" t="s">
        <v>352</v>
      </c>
      <c r="C76" s="393">
        <f>10%</f>
        <v>0.1</v>
      </c>
    </row>
    <row r="77" spans="1:6" ht="15.75" customHeight="1" x14ac:dyDescent="0.4">
      <c r="B77" s="526" t="str">
        <f>E21</f>
        <v>Electricity distribution facilities</v>
      </c>
      <c r="C77" s="527"/>
    </row>
    <row r="78" spans="1:6" ht="15.75" customHeight="1" x14ac:dyDescent="0.4">
      <c r="B78" s="394" t="str">
        <f>B75</f>
        <v>Best Case: growth rates higher than the Base Case by</v>
      </c>
      <c r="C78" s="393">
        <f>-10%</f>
        <v>-0.1</v>
      </c>
    </row>
    <row r="79" spans="1:6" ht="15.75" customHeight="1" x14ac:dyDescent="0.4">
      <c r="B79" s="394" t="str">
        <f>B76</f>
        <v>Worst Case: growth rates lower than the Base Case by</v>
      </c>
      <c r="C79" s="393">
        <f>10%</f>
        <v>0.1</v>
      </c>
    </row>
    <row r="80" spans="1:6" ht="15.75" customHeight="1" x14ac:dyDescent="0.4">
      <c r="B80" s="526" t="str">
        <f>E22</f>
        <v>Electricity transmission facilities</v>
      </c>
      <c r="C80" s="527"/>
    </row>
    <row r="81" spans="2:3" ht="15.75" customHeight="1" x14ac:dyDescent="0.4">
      <c r="B81" s="395" t="s">
        <v>351</v>
      </c>
      <c r="C81" s="393">
        <f>-15%</f>
        <v>-0.15</v>
      </c>
    </row>
    <row r="82" spans="2:3" ht="15.75" customHeight="1" x14ac:dyDescent="0.4">
      <c r="B82" s="395" t="str">
        <f>B79</f>
        <v>Worst Case: growth rates lower than the Base Case by</v>
      </c>
      <c r="C82" s="393">
        <f>10%</f>
        <v>0.1</v>
      </c>
    </row>
    <row r="83" spans="2:3" ht="15.75" customHeight="1" x14ac:dyDescent="0.4">
      <c r="B83" s="526" t="str">
        <f>E23</f>
        <v>Natural gas distribution facilities</v>
      </c>
      <c r="C83" s="527"/>
    </row>
    <row r="84" spans="2:3" ht="15.75" customHeight="1" x14ac:dyDescent="0.4">
      <c r="B84" s="394" t="str">
        <f>B81</f>
        <v>Best Case: growth rates higher than the Base Case by</v>
      </c>
      <c r="C84" s="393">
        <f>-15%</f>
        <v>-0.15</v>
      </c>
    </row>
    <row r="85" spans="2:3" ht="15.75" customHeight="1" x14ac:dyDescent="0.4">
      <c r="B85" s="394" t="str">
        <f>B82</f>
        <v>Worst Case: growth rates lower than the Base Case by</v>
      </c>
      <c r="C85" s="393">
        <f>10%</f>
        <v>0.1</v>
      </c>
    </row>
    <row r="86" spans="2:3" ht="15.75" customHeight="1" x14ac:dyDescent="0.4">
      <c r="B86" s="526" t="str">
        <f>E24</f>
        <v>Natural gas transmission and storage facilities</v>
      </c>
      <c r="C86" s="527"/>
    </row>
    <row r="87" spans="2:3" ht="15.75" customHeight="1" x14ac:dyDescent="0.4">
      <c r="B87" s="394" t="str">
        <f>B84</f>
        <v>Best Case: growth rates higher than the Base Case by</v>
      </c>
      <c r="C87" s="396">
        <f>-5%</f>
        <v>-0.05</v>
      </c>
    </row>
    <row r="88" spans="2:3" ht="15.75" customHeight="1" x14ac:dyDescent="0.4">
      <c r="B88" s="394" t="str">
        <f>B85</f>
        <v>Worst Case: growth rates lower than the Base Case by</v>
      </c>
      <c r="C88" s="396">
        <f>5%</f>
        <v>0.05</v>
      </c>
    </row>
    <row r="89" spans="2:3" ht="15.75" customHeight="1" x14ac:dyDescent="0.4">
      <c r="B89" s="518" t="s">
        <v>354</v>
      </c>
      <c r="C89" s="519"/>
    </row>
    <row r="90" spans="2:3" ht="15.75" customHeight="1" x14ac:dyDescent="0.4">
      <c r="B90" s="394" t="str">
        <f>B87</f>
        <v>Best Case: growth rates higher than the Base Case by</v>
      </c>
      <c r="C90" s="410">
        <f>0.5%</f>
        <v>5.0000000000000001E-3</v>
      </c>
    </row>
    <row r="91" spans="2:3" ht="15.75" customHeight="1" x14ac:dyDescent="0.4">
      <c r="B91" s="394" t="str">
        <f>B88</f>
        <v>Worst Case: growth rates lower than the Base Case by</v>
      </c>
      <c r="C91" s="410">
        <f>-0.5%</f>
        <v>-5.0000000000000001E-3</v>
      </c>
    </row>
    <row r="92" spans="2:3" ht="15.75" customHeight="1" x14ac:dyDescent="0.4">
      <c r="B92" s="520" t="s">
        <v>355</v>
      </c>
      <c r="C92" s="521"/>
    </row>
    <row r="93" spans="2:3" ht="15.75" customHeight="1" x14ac:dyDescent="0.4">
      <c r="B93" s="394" t="str">
        <f>B90</f>
        <v>Best Case: growth rates higher than the Base Case by</v>
      </c>
      <c r="C93" s="396">
        <f>-1%</f>
        <v>-0.01</v>
      </c>
    </row>
    <row r="94" spans="2:3" ht="15.75" customHeight="1" x14ac:dyDescent="0.4">
      <c r="B94" s="397" t="str">
        <f>B91</f>
        <v>Worst Case: growth rates lower than the Base Case by</v>
      </c>
      <c r="C94" s="411">
        <f>1%</f>
        <v>0.01</v>
      </c>
    </row>
  </sheetData>
  <mergeCells count="34">
    <mergeCell ref="B71:C71"/>
    <mergeCell ref="B72:C72"/>
    <mergeCell ref="B89:C89"/>
    <mergeCell ref="B92:C92"/>
    <mergeCell ref="B73:C73"/>
    <mergeCell ref="B74:C74"/>
    <mergeCell ref="B77:C77"/>
    <mergeCell ref="B80:C80"/>
    <mergeCell ref="B83:C83"/>
    <mergeCell ref="B86:C86"/>
    <mergeCell ref="B25:C25"/>
    <mergeCell ref="B31:C31"/>
    <mergeCell ref="E27:F27"/>
    <mergeCell ref="E28:F28"/>
    <mergeCell ref="E4:F4"/>
    <mergeCell ref="E19:F19"/>
    <mergeCell ref="B16:C16"/>
    <mergeCell ref="E18:F18"/>
    <mergeCell ref="B63:C63"/>
    <mergeCell ref="B65:C65"/>
    <mergeCell ref="B57:C57"/>
    <mergeCell ref="A2:F2"/>
    <mergeCell ref="E34:F34"/>
    <mergeCell ref="B38:C38"/>
    <mergeCell ref="B39:C39"/>
    <mergeCell ref="B56:C56"/>
    <mergeCell ref="B53:C53"/>
    <mergeCell ref="E44:F44"/>
    <mergeCell ref="E45:F45"/>
    <mergeCell ref="E56:F56"/>
    <mergeCell ref="E53:F53"/>
    <mergeCell ref="E38:F38"/>
    <mergeCell ref="B4:C4"/>
    <mergeCell ref="B26:C26"/>
  </mergeCells>
  <pageMargins left="0.7" right="0.7" top="0.75" bottom="0.75" header="0.3" footer="0.3"/>
  <pageSetup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4"/>
  <sheetViews>
    <sheetView showGridLines="0" workbookViewId="0">
      <selection activeCell="K37" sqref="K37"/>
    </sheetView>
  </sheetViews>
  <sheetFormatPr defaultColWidth="14.44140625" defaultRowHeight="15.75" customHeight="1" x14ac:dyDescent="0.4"/>
  <cols>
    <col min="1" max="1" width="56.1640625" customWidth="1"/>
    <col min="2" max="2" width="15.5546875" customWidth="1"/>
  </cols>
  <sheetData>
    <row r="1" spans="1:9" s="380" customFormat="1" ht="15.75" customHeight="1" x14ac:dyDescent="0.4"/>
    <row r="2" spans="1:9" s="380" customFormat="1" ht="15.75" customHeight="1" x14ac:dyDescent="0.55000000000000004">
      <c r="A2" s="483" t="s">
        <v>374</v>
      </c>
      <c r="B2" s="483"/>
      <c r="C2" s="483"/>
      <c r="D2" s="483"/>
      <c r="E2" s="483"/>
      <c r="F2" s="483"/>
      <c r="G2" s="483"/>
      <c r="H2" s="483"/>
      <c r="I2" s="483"/>
    </row>
    <row r="3" spans="1:9" s="380" customFormat="1" ht="15.75" customHeight="1" x14ac:dyDescent="0.4"/>
    <row r="4" spans="1:9" ht="15.75" customHeight="1" x14ac:dyDescent="0.4">
      <c r="A4" s="530" t="s">
        <v>4</v>
      </c>
      <c r="B4" s="486"/>
      <c r="C4" s="486"/>
      <c r="D4" s="486"/>
      <c r="E4" s="486"/>
      <c r="F4" s="486"/>
      <c r="G4" s="486"/>
      <c r="H4" s="486"/>
      <c r="I4" s="486"/>
    </row>
    <row r="5" spans="1:9" ht="15.75" customHeight="1" x14ac:dyDescent="0.4">
      <c r="A5" s="529" t="s">
        <v>5</v>
      </c>
      <c r="B5" s="489"/>
      <c r="C5" s="489"/>
      <c r="D5" s="489"/>
      <c r="E5" s="489"/>
      <c r="F5" s="489"/>
      <c r="G5" s="489"/>
      <c r="H5" s="489"/>
      <c r="I5" s="490"/>
    </row>
    <row r="6" spans="1:9" ht="15.75" customHeight="1" x14ac:dyDescent="0.4">
      <c r="A6" s="7"/>
      <c r="B6" s="13"/>
      <c r="C6" s="18">
        <v>2015</v>
      </c>
      <c r="D6" s="18">
        <v>2016</v>
      </c>
      <c r="E6" s="22" t="s">
        <v>8</v>
      </c>
      <c r="F6" s="18" t="s">
        <v>10</v>
      </c>
      <c r="G6" s="18" t="s">
        <v>11</v>
      </c>
      <c r="H6" s="18" t="s">
        <v>12</v>
      </c>
      <c r="I6" s="23" t="s">
        <v>13</v>
      </c>
    </row>
    <row r="7" spans="1:9" ht="15.75" customHeight="1" x14ac:dyDescent="0.4">
      <c r="A7" s="7" t="str">
        <f>'Source Data'!B54</f>
        <v>Customers (average for the year)</v>
      </c>
      <c r="C7" s="25">
        <f>'Source Data'!F54</f>
        <v>5311178</v>
      </c>
      <c r="D7" s="25">
        <f>'Source Data'!G54</f>
        <v>5349691</v>
      </c>
      <c r="E7" s="28">
        <f>D7*(1+Assumptions!$C$6)</f>
        <v>5384119.0701738289</v>
      </c>
      <c r="F7" s="2">
        <f>E7*(1+Assumptions!$C$6)</f>
        <v>5418768.7030539699</v>
      </c>
      <c r="G7" s="2">
        <f>F7*(1+Assumptions!$C$6)</f>
        <v>5453641.3245127592</v>
      </c>
      <c r="H7" s="2">
        <f>G7*(1+Assumptions!$C$6)</f>
        <v>5488738.3695987687</v>
      </c>
      <c r="I7" s="14">
        <f>H7*(1+Assumptions!$C$6)</f>
        <v>5524061.2825958626</v>
      </c>
    </row>
    <row r="8" spans="1:9" ht="15.75" customHeight="1" x14ac:dyDescent="0.4">
      <c r="A8" s="7" t="str">
        <f>'Source Data'!B55</f>
        <v>Deliveries (in GWh)</v>
      </c>
      <c r="C8" s="25">
        <f>'Source Data'!F55</f>
        <v>85860</v>
      </c>
      <c r="D8" s="25">
        <f>'Source Data'!G55</f>
        <v>83017</v>
      </c>
      <c r="E8" s="28">
        <f>D8*(1+Assumptions!$C$7)</f>
        <v>82269.277462642087</v>
      </c>
      <c r="F8" s="2">
        <f>E8*(1+Assumptions!$C$7)</f>
        <v>81528.289557863915</v>
      </c>
      <c r="G8" s="2">
        <f>F8*(1+Assumptions!$C$7)</f>
        <v>80793.975627769396</v>
      </c>
      <c r="H8" s="2">
        <f>G8*(1+Assumptions!$C$7)</f>
        <v>80066.275560799622</v>
      </c>
      <c r="I8" s="14">
        <f>H8*(1+Assumptions!$C$7)</f>
        <v>79345.129786812133</v>
      </c>
    </row>
    <row r="9" spans="1:9" ht="15.75" customHeight="1" x14ac:dyDescent="0.4">
      <c r="A9" s="7" t="str">
        <f>'Source Data'!B56</f>
        <v>Revenues (in millions):</v>
      </c>
      <c r="C9" s="32"/>
      <c r="D9" s="32"/>
      <c r="E9" s="26"/>
      <c r="I9" s="15"/>
    </row>
    <row r="10" spans="1:9" ht="15.75" customHeight="1" x14ac:dyDescent="0.4">
      <c r="A10" s="7" t="str">
        <f>'Source Data'!B57</f>
        <v>Residential</v>
      </c>
      <c r="C10" s="33">
        <f>'Source Data'!F57</f>
        <v>5032</v>
      </c>
      <c r="D10" s="33">
        <f>'Source Data'!G57</f>
        <v>5409</v>
      </c>
      <c r="E10" s="35">
        <f>D10*(1+Assumptions!$C$9)</f>
        <v>5536.5433828305713</v>
      </c>
      <c r="F10" s="37">
        <f>E10*(1+Assumptions!$C$9)</f>
        <v>5667.0942188879626</v>
      </c>
      <c r="G10" s="37">
        <f>F10*(1+Assumptions!$C$9)</f>
        <v>5800.7234234537873</v>
      </c>
      <c r="H10" s="37">
        <f>G10*(1+Assumptions!$C$9)</f>
        <v>5937.5035839810253</v>
      </c>
      <c r="I10" s="42">
        <f>H10*(1+Assumptions!$C$9)</f>
        <v>6077.5089995235621</v>
      </c>
    </row>
    <row r="11" spans="1:9" ht="15.75" customHeight="1" x14ac:dyDescent="0.4">
      <c r="A11" s="7" t="str">
        <f>'Source Data'!B58</f>
        <v>Commercial</v>
      </c>
      <c r="C11" s="33">
        <f>'Source Data'!F58</f>
        <v>5278</v>
      </c>
      <c r="D11" s="33">
        <f>'Source Data'!G58</f>
        <v>5396</v>
      </c>
      <c r="E11" s="35">
        <f>D11*(1+Assumptions!$C$10)</f>
        <v>5575.4473331795407</v>
      </c>
      <c r="F11" s="37">
        <f>E11*(1+Assumptions!$C$10)</f>
        <v>5760.8622989360365</v>
      </c>
      <c r="G11" s="37">
        <f>F11*(1+Assumptions!$C$10)</f>
        <v>5952.4433545992379</v>
      </c>
      <c r="H11" s="37">
        <f>G11*(1+Assumptions!$C$10)</f>
        <v>6150.3955573207195</v>
      </c>
      <c r="I11" s="42">
        <f>H11*(1+Assumptions!$C$10)</f>
        <v>6354.9307835550599</v>
      </c>
    </row>
    <row r="12" spans="1:9" ht="15.75" customHeight="1" x14ac:dyDescent="0.4">
      <c r="A12" s="7" t="str">
        <f>'Source Data'!B59</f>
        <v>Industrial</v>
      </c>
      <c r="C12" s="33">
        <f>'Source Data'!F59</f>
        <v>1555</v>
      </c>
      <c r="D12" s="33">
        <f>'Source Data'!G59</f>
        <v>1525</v>
      </c>
      <c r="E12" s="35">
        <f>D12*(1+Assumptions!$C$11)</f>
        <v>1557.7689626582739</v>
      </c>
      <c r="F12" s="37">
        <f>E12*(1+Assumptions!$C$11)</f>
        <v>1591.2420596861868</v>
      </c>
      <c r="G12" s="37">
        <f>F12*(1+Assumptions!$C$11)</f>
        <v>1625.4344214134862</v>
      </c>
      <c r="H12" s="37">
        <f>G12*(1+Assumptions!$C$11)</f>
        <v>1660.3615032880907</v>
      </c>
      <c r="I12" s="42">
        <f>H12*(1+Assumptions!$C$11)</f>
        <v>1696.039092862178</v>
      </c>
    </row>
    <row r="13" spans="1:9" ht="15.75" customHeight="1" x14ac:dyDescent="0.4">
      <c r="A13" s="7" t="str">
        <f>'Source Data'!B60</f>
        <v>Agricultural</v>
      </c>
      <c r="C13" s="33">
        <f>'Source Data'!F60</f>
        <v>1233</v>
      </c>
      <c r="D13" s="33">
        <f>'Source Data'!G60</f>
        <v>1226</v>
      </c>
      <c r="E13" s="35">
        <f>D13*(1+Assumptions!$C$12)</f>
        <v>1326.363468669002</v>
      </c>
      <c r="F13" s="37">
        <f>E13*(1+Assumptions!$C$12)</f>
        <v>1434.9429453667753</v>
      </c>
      <c r="G13" s="37">
        <f>F13*(1+Assumptions!$C$12)</f>
        <v>1552.4110133432221</v>
      </c>
      <c r="H13" s="37">
        <f>G13*(1+Assumptions!$C$12)</f>
        <v>1679.4953152184962</v>
      </c>
      <c r="I13" s="42">
        <f>H13*(1+Assumptions!$C$12)</f>
        <v>1816.9830602826619</v>
      </c>
    </row>
    <row r="14" spans="1:9" ht="15.75" customHeight="1" x14ac:dyDescent="0.4">
      <c r="A14" s="7" t="str">
        <f>'Source Data'!B61</f>
        <v>Public street and highway lighting</v>
      </c>
      <c r="C14" s="33">
        <f>'Source Data'!F61</f>
        <v>83</v>
      </c>
      <c r="D14" s="33">
        <f>'Source Data'!G61</f>
        <v>80</v>
      </c>
      <c r="E14" s="35">
        <f>D14*(1+Assumptions!$C$13)</f>
        <v>80.343775100401601</v>
      </c>
      <c r="F14" s="37">
        <f>E14*(1+Assumptions!$C$13)</f>
        <v>80.689027467298914</v>
      </c>
      <c r="G14" s="37">
        <f>F14*(1+Assumptions!$C$13)</f>
        <v>81.035763448784891</v>
      </c>
      <c r="H14" s="37">
        <f>G14*(1+Assumptions!$C$13)</f>
        <v>81.383989420231472</v>
      </c>
      <c r="I14" s="42">
        <f>H14*(1+Assumptions!$C$13)</f>
        <v>81.733711784406765</v>
      </c>
    </row>
    <row r="15" spans="1:9" ht="15.75" customHeight="1" x14ac:dyDescent="0.4">
      <c r="A15" s="7" t="str">
        <f>'Source Data'!B62</f>
        <v>Other</v>
      </c>
      <c r="C15" s="58">
        <f>'Source Data'!F62</f>
        <v>-84</v>
      </c>
      <c r="D15" s="58">
        <f>'Source Data'!G62</f>
        <v>-68</v>
      </c>
      <c r="E15" s="59">
        <f>D15*(1+Assumptions!$C$14)</f>
        <v>-67.319999999999993</v>
      </c>
      <c r="F15" s="61">
        <f>E15*(1+Assumptions!$C$14)</f>
        <v>-66.646799999999999</v>
      </c>
      <c r="G15" s="61">
        <f>F15*(1+Assumptions!$C$14)</f>
        <v>-65.980332000000004</v>
      </c>
      <c r="H15" s="61">
        <f>G15*(1+Assumptions!$C$14)</f>
        <v>-65.32052868000001</v>
      </c>
      <c r="I15" s="64">
        <f>H15*(1+Assumptions!$C$14)</f>
        <v>-64.667323393200007</v>
      </c>
    </row>
    <row r="16" spans="1:9" ht="15.75" customHeight="1" x14ac:dyDescent="0.4">
      <c r="A16" s="7" t="str">
        <f>'Source Data'!B63</f>
        <v>Subtotal</v>
      </c>
      <c r="C16" s="33">
        <f>'Source Data'!F63</f>
        <v>13097</v>
      </c>
      <c r="D16" s="33">
        <f>'Source Data'!G63</f>
        <v>13568</v>
      </c>
      <c r="E16" s="35">
        <f t="shared" ref="E16:I16" si="0">SUM(E10:E15)</f>
        <v>14009.146922437791</v>
      </c>
      <c r="F16" s="37">
        <f t="shared" si="0"/>
        <v>14468.18375034426</v>
      </c>
      <c r="G16" s="37">
        <f t="shared" si="0"/>
        <v>14946.067644258521</v>
      </c>
      <c r="H16" s="37">
        <f t="shared" si="0"/>
        <v>15443.819420548563</v>
      </c>
      <c r="I16" s="42">
        <f t="shared" si="0"/>
        <v>15962.52832461467</v>
      </c>
    </row>
    <row r="17" spans="1:9" ht="15.75" customHeight="1" x14ac:dyDescent="0.4">
      <c r="A17" s="7" t="str">
        <f>'Source Data'!B64</f>
        <v>Regulatory balancing accounts</v>
      </c>
      <c r="C17" s="33">
        <f>'Source Data'!F64</f>
        <v>560</v>
      </c>
      <c r="D17" s="33">
        <f>'Source Data'!G64</f>
        <v>297</v>
      </c>
      <c r="E17" s="35">
        <f>500</f>
        <v>500</v>
      </c>
      <c r="F17" s="37">
        <f t="shared" ref="F17:I17" si="1">E17</f>
        <v>500</v>
      </c>
      <c r="G17" s="37">
        <f t="shared" si="1"/>
        <v>500</v>
      </c>
      <c r="H17" s="37">
        <f t="shared" si="1"/>
        <v>500</v>
      </c>
      <c r="I17" s="42">
        <f t="shared" si="1"/>
        <v>500</v>
      </c>
    </row>
    <row r="18" spans="1:9" ht="15.75" customHeight="1" x14ac:dyDescent="0.4">
      <c r="A18" s="34" t="str">
        <f>'Source Data'!B65</f>
        <v>Total operating revenues</v>
      </c>
      <c r="B18" s="67"/>
      <c r="C18" s="69">
        <f t="shared" ref="C18:I18" si="2">SUM(C16:C17)</f>
        <v>13657</v>
      </c>
      <c r="D18" s="69">
        <f t="shared" si="2"/>
        <v>13865</v>
      </c>
      <c r="E18" s="71">
        <f t="shared" si="2"/>
        <v>14509.146922437791</v>
      </c>
      <c r="F18" s="72">
        <f t="shared" si="2"/>
        <v>14968.18375034426</v>
      </c>
      <c r="G18" s="72">
        <f t="shared" si="2"/>
        <v>15446.067644258521</v>
      </c>
      <c r="H18" s="72">
        <f t="shared" si="2"/>
        <v>15943.819420548563</v>
      </c>
      <c r="I18" s="73">
        <f t="shared" si="2"/>
        <v>16462.528324614672</v>
      </c>
    </row>
    <row r="19" spans="1:9" ht="15.75" customHeight="1" x14ac:dyDescent="0.4">
      <c r="A19" s="529" t="s">
        <v>48</v>
      </c>
      <c r="B19" s="489"/>
      <c r="C19" s="489"/>
      <c r="D19" s="489"/>
      <c r="E19" s="489"/>
      <c r="F19" s="489"/>
      <c r="G19" s="489"/>
      <c r="H19" s="489"/>
      <c r="I19" s="490"/>
    </row>
    <row r="20" spans="1:9" ht="15.75" customHeight="1" x14ac:dyDescent="0.4">
      <c r="A20" s="7"/>
      <c r="B20" s="74"/>
      <c r="C20" s="75">
        <f t="shared" ref="C20:I20" si="3">C6</f>
        <v>2015</v>
      </c>
      <c r="D20" s="75">
        <f t="shared" si="3"/>
        <v>2016</v>
      </c>
      <c r="E20" s="77" t="str">
        <f t="shared" si="3"/>
        <v>2017E</v>
      </c>
      <c r="F20" s="75" t="str">
        <f t="shared" si="3"/>
        <v>2018E</v>
      </c>
      <c r="G20" s="75" t="str">
        <f t="shared" si="3"/>
        <v>2019E</v>
      </c>
      <c r="H20" s="75" t="str">
        <f t="shared" si="3"/>
        <v>2020E</v>
      </c>
      <c r="I20" s="79" t="str">
        <f t="shared" si="3"/>
        <v>2021E</v>
      </c>
    </row>
    <row r="21" spans="1:9" ht="15.75" customHeight="1" x14ac:dyDescent="0.4">
      <c r="A21" s="7" t="str">
        <f>'Source Data'!B78</f>
        <v>Customers (average for the year)</v>
      </c>
      <c r="C21" s="25">
        <f>'Source Data'!F78</f>
        <v>4415332</v>
      </c>
      <c r="D21" s="25">
        <f>'Source Data'!G78</f>
        <v>4442379</v>
      </c>
      <c r="E21" s="28">
        <f>D21*(1+Assumptions!$F$6)</f>
        <v>4464940.0602434389</v>
      </c>
      <c r="F21" s="2">
        <f>E21*(1+Assumptions!$F$6)</f>
        <v>4487615.6990582487</v>
      </c>
      <c r="G21" s="2">
        <f>F21*(1+Assumptions!$F$6)</f>
        <v>4510406.4983430132</v>
      </c>
      <c r="H21" s="2">
        <f>G21*(1+Assumptions!$F$6)</f>
        <v>4533313.0429515466</v>
      </c>
      <c r="I21" s="14">
        <f>H21*(1+Assumptions!$F$6)</f>
        <v>4556335.920707901</v>
      </c>
    </row>
    <row r="22" spans="1:9" ht="15.75" customHeight="1" x14ac:dyDescent="0.4">
      <c r="A22" s="7" t="str">
        <f>'Source Data'!B79</f>
        <v>Gas purchased (MMcf)</v>
      </c>
      <c r="C22" s="25">
        <f>'Source Data'!F79</f>
        <v>209194</v>
      </c>
      <c r="D22" s="25">
        <f>'Source Data'!G79</f>
        <v>208260</v>
      </c>
      <c r="E22" s="28">
        <f>D22*(1+Assumptions!$F$7)</f>
        <v>200001.69054330396</v>
      </c>
      <c r="F22" s="2">
        <f>E22*(1+Assumptions!$F$7)</f>
        <v>192070.85479775051</v>
      </c>
      <c r="G22" s="2">
        <f>F22*(1+Assumptions!$F$7)</f>
        <v>184454.50717203287</v>
      </c>
      <c r="H22" s="2">
        <f>G22*(1+Assumptions!$F$7)</f>
        <v>177140.17700345031</v>
      </c>
      <c r="I22" s="14">
        <f>H22*(1+Assumptions!$F$7)</f>
        <v>170115.88813900968</v>
      </c>
    </row>
    <row r="23" spans="1:9" ht="15.75" customHeight="1" x14ac:dyDescent="0.4">
      <c r="A23" s="7" t="str">
        <f>'Source Data'!B80</f>
        <v>Average price of natural gas purchased</v>
      </c>
      <c r="C23" s="83">
        <f>'Source Data'!F80</f>
        <v>2.11</v>
      </c>
      <c r="D23" s="83">
        <f>'Source Data'!G80</f>
        <v>1.83</v>
      </c>
      <c r="E23" s="86">
        <f>D23*(1+Assumptions!$F$8)</f>
        <v>1.8159132253871999</v>
      </c>
      <c r="F23" s="88">
        <f>E23*(1+Assumptions!$F$8)</f>
        <v>1.8019348864131932</v>
      </c>
      <c r="G23" s="88">
        <f>F23*(1+Assumptions!$F$8)</f>
        <v>1.7880641483739341</v>
      </c>
      <c r="H23" s="88">
        <f>G23*(1+Assumptions!$F$8)</f>
        <v>1.7743001829906706</v>
      </c>
      <c r="I23" s="90">
        <f>H23*(1+Assumptions!$F$8)</f>
        <v>1.7606421683604849</v>
      </c>
    </row>
    <row r="24" spans="1:9" ht="15.75" customHeight="1" x14ac:dyDescent="0.4">
      <c r="A24" s="7" t="str">
        <f>'Source Data'!B81</f>
        <v>Bundled gas sales (MMcf)</v>
      </c>
      <c r="C24" s="32"/>
      <c r="D24" s="32"/>
      <c r="E24" s="26"/>
      <c r="I24" s="15"/>
    </row>
    <row r="25" spans="1:9" ht="15.75" customHeight="1" x14ac:dyDescent="0.4">
      <c r="A25" s="7" t="str">
        <f>'Source Data'!B82</f>
        <v>Residential</v>
      </c>
      <c r="C25" s="25">
        <f>'Source Data'!F82</f>
        <v>144885</v>
      </c>
      <c r="D25" s="25">
        <f>'Source Data'!G82</f>
        <v>149483</v>
      </c>
      <c r="E25" s="28">
        <f>D25*(1+Assumptions!$F$10)</f>
        <v>150572.39250348968</v>
      </c>
      <c r="F25" s="2">
        <f>E25*(1+Assumptions!$F$10)</f>
        <v>151669.72421094676</v>
      </c>
      <c r="G25" s="2">
        <f>F25*(1+Assumptions!$F$10)</f>
        <v>152775.05298118654</v>
      </c>
      <c r="H25" s="2">
        <f>G25*(1+Assumptions!$F$10)</f>
        <v>153888.43709468402</v>
      </c>
      <c r="I25" s="14">
        <f>H25*(1+Assumptions!$F$10)</f>
        <v>155009.93525664686</v>
      </c>
    </row>
    <row r="26" spans="1:9" ht="15.75" customHeight="1" x14ac:dyDescent="0.4">
      <c r="A26" s="7" t="str">
        <f>'Source Data'!B83</f>
        <v>Commercial</v>
      </c>
      <c r="C26" s="25">
        <f>'Source Data'!F83</f>
        <v>43888</v>
      </c>
      <c r="D26" s="25">
        <f>'Source Data'!G83</f>
        <v>46507</v>
      </c>
      <c r="E26" s="28">
        <f>D26*(1+Assumptions!$F$11)</f>
        <v>46392.045412466738</v>
      </c>
      <c r="F26" s="2">
        <f>E26*(1+Assumptions!$F$11)</f>
        <v>46277.37496618522</v>
      </c>
      <c r="G26" s="2">
        <f>F26*(1+Assumptions!$F$11)</f>
        <v>46162.987958823753</v>
      </c>
      <c r="H26" s="2">
        <f>G26*(1+Assumptions!$F$11)</f>
        <v>46048.883689786628</v>
      </c>
      <c r="I26" s="14">
        <f>H26*(1+Assumptions!$F$11)</f>
        <v>45935.061460209865</v>
      </c>
    </row>
    <row r="27" spans="1:9" ht="15.75" customHeight="1" x14ac:dyDescent="0.4">
      <c r="A27" s="7" t="str">
        <f>'Source Data'!B84</f>
        <v>Total Bundled Gas Sales</v>
      </c>
      <c r="C27" s="25">
        <f t="shared" ref="C27:I27" si="4">SUM(C25:C26)</f>
        <v>188773</v>
      </c>
      <c r="D27" s="25">
        <f t="shared" si="4"/>
        <v>195990</v>
      </c>
      <c r="E27" s="28">
        <f t="shared" si="4"/>
        <v>196964.43791595643</v>
      </c>
      <c r="F27" s="2">
        <f t="shared" si="4"/>
        <v>197947.09917713198</v>
      </c>
      <c r="G27" s="2">
        <f t="shared" si="4"/>
        <v>198938.04094001028</v>
      </c>
      <c r="H27" s="2">
        <f t="shared" si="4"/>
        <v>199937.32078447065</v>
      </c>
      <c r="I27" s="14">
        <f t="shared" si="4"/>
        <v>200944.99671685672</v>
      </c>
    </row>
    <row r="28" spans="1:9" ht="15.75" customHeight="1" x14ac:dyDescent="0.4">
      <c r="A28" s="7" t="str">
        <f>'Source Data'!B85</f>
        <v>Revenues (in millions)</v>
      </c>
      <c r="C28" s="32"/>
      <c r="D28" s="32"/>
      <c r="E28" s="26"/>
      <c r="I28" s="15"/>
    </row>
    <row r="29" spans="1:9" ht="15.75" customHeight="1" x14ac:dyDescent="0.4">
      <c r="A29" s="7" t="str">
        <f>'Source Data'!B86</f>
        <v>Bundled gas sales:</v>
      </c>
      <c r="C29" s="32"/>
      <c r="D29" s="32"/>
      <c r="E29" s="26"/>
      <c r="I29" s="15"/>
    </row>
    <row r="30" spans="1:9" ht="15.75" customHeight="1" x14ac:dyDescent="0.4">
      <c r="A30" s="7" t="str">
        <f>'Source Data'!B87</f>
        <v>Residential</v>
      </c>
      <c r="C30" s="33">
        <f>'Source Data'!F87</f>
        <v>1816</v>
      </c>
      <c r="D30" s="33">
        <f>'Source Data'!G87</f>
        <v>1968</v>
      </c>
      <c r="E30" s="35">
        <f>D30*(1+Assumptions!$F$13)</f>
        <v>2003.643044601474</v>
      </c>
      <c r="F30" s="37">
        <f>E30*(1+Assumptions!$F$13)</f>
        <v>2039.9316311889554</v>
      </c>
      <c r="G30" s="37">
        <f>F30*(1+Assumptions!$F$13)</f>
        <v>2076.8774513690496</v>
      </c>
      <c r="H30" s="37">
        <f>G30*(1+Assumptions!$F$13)</f>
        <v>2114.4924084985937</v>
      </c>
      <c r="I30" s="42">
        <f>H30*(1+Assumptions!$F$13)</f>
        <v>2152.7886215197286</v>
      </c>
    </row>
    <row r="31" spans="1:9" ht="15.75" customHeight="1" x14ac:dyDescent="0.4">
      <c r="A31" s="7" t="str">
        <f>'Source Data'!B88</f>
        <v>Commercial</v>
      </c>
      <c r="C31" s="33">
        <f>'Source Data'!F88</f>
        <v>403</v>
      </c>
      <c r="D31" s="33">
        <f>'Source Data'!G88</f>
        <v>439</v>
      </c>
      <c r="E31" s="35">
        <f>D31*(1+Assumptions!$F$14)</f>
        <v>454.72003616376543</v>
      </c>
      <c r="F31" s="37">
        <f>E31*(1+Assumptions!$F$14)</f>
        <v>471.00298699037842</v>
      </c>
      <c r="G31" s="37">
        <f>F31*(1+Assumptions!$F$14)</f>
        <v>487.86900974375033</v>
      </c>
      <c r="H31" s="37">
        <f>G31*(1+Assumptions!$F$14)</f>
        <v>505.33898349398305</v>
      </c>
      <c r="I31" s="42">
        <f>H31*(1+Assumptions!$F$14)</f>
        <v>523.43453496433813</v>
      </c>
    </row>
    <row r="32" spans="1:9" ht="15.75" customHeight="1" x14ac:dyDescent="0.4">
      <c r="A32" s="7" t="str">
        <f>'Source Data'!B89</f>
        <v>Other</v>
      </c>
      <c r="C32" s="33">
        <f>'Source Data'!F89</f>
        <v>125</v>
      </c>
      <c r="D32" s="33">
        <f>'Source Data'!G89</f>
        <v>149</v>
      </c>
      <c r="E32" s="35">
        <f>D32*(1+Assumptions!$F$15)</f>
        <v>163.9</v>
      </c>
      <c r="F32" s="37">
        <f>E32*(1+Assumptions!$F$15)</f>
        <v>180.29000000000002</v>
      </c>
      <c r="G32" s="37">
        <f>F32*(1+Assumptions!$F$15)</f>
        <v>198.31900000000005</v>
      </c>
      <c r="H32" s="37">
        <f>G32*(1+Assumptions!$F$15)</f>
        <v>218.15090000000006</v>
      </c>
      <c r="I32" s="42">
        <f>H32*(1+Assumptions!$F$15)</f>
        <v>239.96599000000009</v>
      </c>
    </row>
    <row r="33" spans="1:9" ht="15.75" customHeight="1" x14ac:dyDescent="0.4">
      <c r="A33" s="7" t="str">
        <f>'Source Data'!B90</f>
        <v>Bundled gas revenues</v>
      </c>
      <c r="C33" s="33">
        <f t="shared" ref="C33:I33" si="5">SUM(C30:C32)</f>
        <v>2344</v>
      </c>
      <c r="D33" s="33">
        <f t="shared" si="5"/>
        <v>2556</v>
      </c>
      <c r="E33" s="35">
        <f t="shared" si="5"/>
        <v>2622.2630807652395</v>
      </c>
      <c r="F33" s="37">
        <f t="shared" si="5"/>
        <v>2691.2246181793339</v>
      </c>
      <c r="G33" s="37">
        <f t="shared" si="5"/>
        <v>2763.0654611127998</v>
      </c>
      <c r="H33" s="37">
        <f t="shared" si="5"/>
        <v>2837.9822919925768</v>
      </c>
      <c r="I33" s="42">
        <f t="shared" si="5"/>
        <v>2916.1891464840669</v>
      </c>
    </row>
    <row r="34" spans="1:9" ht="15.75" customHeight="1" x14ac:dyDescent="0.4">
      <c r="A34" s="7" t="str">
        <f>'Source Data'!B91</f>
        <v>Transportation service only revenue</v>
      </c>
      <c r="C34" s="33">
        <f>'Source Data'!F91</f>
        <v>649</v>
      </c>
      <c r="D34" s="33">
        <f>'Source Data'!G91</f>
        <v>800</v>
      </c>
      <c r="E34" s="35">
        <f>D34*(1+Assumptions!$F$16)</f>
        <v>903.60908378004774</v>
      </c>
      <c r="F34" s="37">
        <f>E34*(1+Assumptions!$F$16)</f>
        <v>1020.6367203622717</v>
      </c>
      <c r="G34" s="37">
        <f>F34*(1+Assumptions!$F$16)</f>
        <v>1152.8207646985315</v>
      </c>
      <c r="H34" s="37">
        <f>G34*(1+Assumptions!$F$16)</f>
        <v>1302.1241436898176</v>
      </c>
      <c r="I34" s="42">
        <f>H34*(1+Assumptions!$F$16)</f>
        <v>1470.7640055592942</v>
      </c>
    </row>
    <row r="35" spans="1:9" ht="15.75" customHeight="1" x14ac:dyDescent="0.4">
      <c r="A35" s="7" t="str">
        <f>'Source Data'!B92</f>
        <v>Subtotal</v>
      </c>
      <c r="C35" s="33">
        <f t="shared" ref="C35:I35" si="6">C33+C34</f>
        <v>2993</v>
      </c>
      <c r="D35" s="33">
        <f t="shared" si="6"/>
        <v>3356</v>
      </c>
      <c r="E35" s="35">
        <f t="shared" si="6"/>
        <v>3525.872164545287</v>
      </c>
      <c r="F35" s="37">
        <f t="shared" si="6"/>
        <v>3711.8613385416056</v>
      </c>
      <c r="G35" s="37">
        <f t="shared" si="6"/>
        <v>3915.8862258113313</v>
      </c>
      <c r="H35" s="37">
        <f t="shared" si="6"/>
        <v>4140.1064356823945</v>
      </c>
      <c r="I35" s="42">
        <f t="shared" si="6"/>
        <v>4386.9531520433611</v>
      </c>
    </row>
    <row r="36" spans="1:9" ht="15.75" customHeight="1" x14ac:dyDescent="0.4">
      <c r="A36" s="7" t="str">
        <f>'Source Data'!B93</f>
        <v>Regulatory balancing accounts</v>
      </c>
      <c r="C36" s="33">
        <f>'Source Data'!F93</f>
        <v>183</v>
      </c>
      <c r="D36" s="33">
        <f>'Source Data'!G93</f>
        <v>446</v>
      </c>
      <c r="E36" s="35">
        <f t="shared" ref="E36:I36" si="7">400</f>
        <v>400</v>
      </c>
      <c r="F36" s="37">
        <f t="shared" si="7"/>
        <v>400</v>
      </c>
      <c r="G36" s="37">
        <f t="shared" si="7"/>
        <v>400</v>
      </c>
      <c r="H36" s="37">
        <f t="shared" si="7"/>
        <v>400</v>
      </c>
      <c r="I36" s="42">
        <f t="shared" si="7"/>
        <v>400</v>
      </c>
    </row>
    <row r="37" spans="1:9" ht="15.75" customHeight="1" x14ac:dyDescent="0.4">
      <c r="A37" s="34" t="str">
        <f>'Source Data'!B94</f>
        <v>Total operating revenues</v>
      </c>
      <c r="C37" s="69">
        <f t="shared" ref="C37:I37" si="8">C35+C36</f>
        <v>3176</v>
      </c>
      <c r="D37" s="69">
        <f t="shared" si="8"/>
        <v>3802</v>
      </c>
      <c r="E37" s="71">
        <f t="shared" si="8"/>
        <v>3925.872164545287</v>
      </c>
      <c r="F37" s="72">
        <f t="shared" si="8"/>
        <v>4111.8613385416056</v>
      </c>
      <c r="G37" s="72">
        <f t="shared" si="8"/>
        <v>4315.8862258113313</v>
      </c>
      <c r="H37" s="72">
        <f t="shared" si="8"/>
        <v>4540.1064356823945</v>
      </c>
      <c r="I37" s="73">
        <f t="shared" si="8"/>
        <v>4786.9531520433611</v>
      </c>
    </row>
    <row r="38" spans="1:9" ht="15.75" customHeight="1" x14ac:dyDescent="0.4">
      <c r="A38" s="119" t="s">
        <v>88</v>
      </c>
      <c r="B38" s="120"/>
      <c r="C38" s="121">
        <f t="shared" ref="C38:I38" si="9">C37+C18</f>
        <v>16833</v>
      </c>
      <c r="D38" s="122">
        <f t="shared" si="9"/>
        <v>17667</v>
      </c>
      <c r="E38" s="121">
        <f t="shared" si="9"/>
        <v>18435.019086983077</v>
      </c>
      <c r="F38" s="121">
        <f t="shared" si="9"/>
        <v>19080.045088885865</v>
      </c>
      <c r="G38" s="121">
        <f t="shared" si="9"/>
        <v>19761.953870069854</v>
      </c>
      <c r="H38" s="121">
        <f t="shared" si="9"/>
        <v>20483.925856230959</v>
      </c>
      <c r="I38" s="122">
        <f t="shared" si="9"/>
        <v>21249.481476658031</v>
      </c>
    </row>
    <row r="39" spans="1:9" ht="12.3" x14ac:dyDescent="0.4">
      <c r="A39" s="1"/>
    </row>
    <row r="40" spans="1:9" ht="12.3" x14ac:dyDescent="0.4">
      <c r="A40" s="528" t="s">
        <v>96</v>
      </c>
      <c r="B40" s="489"/>
      <c r="C40" s="489"/>
      <c r="D40" s="489"/>
      <c r="E40" s="489"/>
      <c r="F40" s="489"/>
      <c r="G40" s="489"/>
      <c r="H40" s="489"/>
      <c r="I40" s="490"/>
    </row>
    <row r="41" spans="1:9" ht="14.1" x14ac:dyDescent="0.5">
      <c r="A41" s="123"/>
      <c r="B41" s="124"/>
      <c r="C41" s="125">
        <f t="shared" ref="C41:I41" si="10">C20</f>
        <v>2015</v>
      </c>
      <c r="D41" s="125">
        <f t="shared" si="10"/>
        <v>2016</v>
      </c>
      <c r="E41" s="126" t="str">
        <f t="shared" si="10"/>
        <v>2017E</v>
      </c>
      <c r="F41" s="125" t="str">
        <f t="shared" si="10"/>
        <v>2018E</v>
      </c>
      <c r="G41" s="125" t="str">
        <f t="shared" si="10"/>
        <v>2019E</v>
      </c>
      <c r="H41" s="125" t="str">
        <f t="shared" si="10"/>
        <v>2020E</v>
      </c>
      <c r="I41" s="127" t="str">
        <f t="shared" si="10"/>
        <v>2021E</v>
      </c>
    </row>
    <row r="42" spans="1:9" ht="12.3" x14ac:dyDescent="0.4">
      <c r="A42" s="128" t="s">
        <v>106</v>
      </c>
      <c r="B42" s="129"/>
      <c r="C42" s="129"/>
      <c r="D42" s="129"/>
      <c r="E42" s="130"/>
      <c r="F42" s="132"/>
      <c r="G42" s="132"/>
      <c r="H42" s="132"/>
      <c r="I42" s="133"/>
    </row>
    <row r="43" spans="1:9" ht="12.3" x14ac:dyDescent="0.4">
      <c r="A43" s="128" t="str">
        <f>Assumptions!E20</f>
        <v>Electricity generating facilities</v>
      </c>
      <c r="B43" s="129"/>
      <c r="C43" s="135">
        <f>'Source Data'!G105</f>
        <v>9860</v>
      </c>
      <c r="D43" s="135">
        <f>'Source Data'!H105</f>
        <v>11308</v>
      </c>
      <c r="E43" s="137">
        <f>Assumptions!$F$20*(E37+E18)</f>
        <v>11982.762406539001</v>
      </c>
      <c r="F43" s="139">
        <f>Assumptions!$F$20*(F37+F18)</f>
        <v>12402.029307775812</v>
      </c>
      <c r="G43" s="139">
        <f>Assumptions!$F$20*(G37+G18)</f>
        <v>12845.270015545406</v>
      </c>
      <c r="H43" s="139">
        <f>Assumptions!$F$20*(H37+H18)</f>
        <v>13314.551806550124</v>
      </c>
      <c r="I43" s="140">
        <f>Assumptions!$F$20*(I37+I18)</f>
        <v>13812.162959827721</v>
      </c>
    </row>
    <row r="44" spans="1:9" ht="12.3" x14ac:dyDescent="0.4">
      <c r="A44" s="141" t="s">
        <v>113</v>
      </c>
      <c r="B44" s="129"/>
      <c r="C44" s="135"/>
      <c r="D44" s="135"/>
      <c r="E44" s="137">
        <f t="shared" ref="E44:I44" si="11">E43-D43</f>
        <v>674.76240653900095</v>
      </c>
      <c r="F44" s="139">
        <f t="shared" si="11"/>
        <v>419.26690123681146</v>
      </c>
      <c r="G44" s="139">
        <f t="shared" si="11"/>
        <v>443.24070776959343</v>
      </c>
      <c r="H44" s="139">
        <f t="shared" si="11"/>
        <v>469.28179100471789</v>
      </c>
      <c r="I44" s="140">
        <f t="shared" si="11"/>
        <v>497.61115327759762</v>
      </c>
    </row>
    <row r="45" spans="1:9" ht="12.3" x14ac:dyDescent="0.4">
      <c r="A45" s="128" t="str">
        <f>Assumptions!E21</f>
        <v>Electricity distribution facilities</v>
      </c>
      <c r="B45" s="129"/>
      <c r="C45" s="135">
        <f>'Source Data'!G106</f>
        <v>28476</v>
      </c>
      <c r="D45" s="135">
        <f>'Source Data'!H106</f>
        <v>29836</v>
      </c>
      <c r="E45" s="137">
        <f>Assumptions!$F$21*(E37+E18)</f>
        <v>30024.521400383248</v>
      </c>
      <c r="F45" s="139">
        <f>Assumptions!$F$21*(F37+F18)</f>
        <v>31075.054459587325</v>
      </c>
      <c r="G45" s="139">
        <f>Assumptions!$F$21*(G37+G18)</f>
        <v>32185.657312622861</v>
      </c>
      <c r="H45" s="139">
        <f>Assumptions!$F$21*(H37+H18)</f>
        <v>33361.509816311198</v>
      </c>
      <c r="I45" s="140">
        <f>Assumptions!$F$21*(I37+I18)</f>
        <v>34608.345580366695</v>
      </c>
    </row>
    <row r="46" spans="1:9" ht="12.3" x14ac:dyDescent="0.4">
      <c r="A46" s="141" t="str">
        <f>A44</f>
        <v>New CapEx</v>
      </c>
      <c r="B46" s="129"/>
      <c r="C46" s="135"/>
      <c r="D46" s="135"/>
      <c r="E46" s="137">
        <f t="shared" ref="E46:I46" si="12">E45-D45</f>
        <v>188.52140038324796</v>
      </c>
      <c r="F46" s="139">
        <f t="shared" si="12"/>
        <v>1050.5330592040773</v>
      </c>
      <c r="G46" s="139">
        <f t="shared" si="12"/>
        <v>1110.6028530355361</v>
      </c>
      <c r="H46" s="139">
        <f t="shared" si="12"/>
        <v>1175.8525036883366</v>
      </c>
      <c r="I46" s="140">
        <f t="shared" si="12"/>
        <v>1246.8357640554968</v>
      </c>
    </row>
    <row r="47" spans="1:9" ht="12.3" x14ac:dyDescent="0.4">
      <c r="A47" s="128" t="str">
        <f>Assumptions!E22</f>
        <v>Electricity transmission facilities</v>
      </c>
      <c r="B47" s="129"/>
      <c r="C47" s="135">
        <f>'Source Data'!G107</f>
        <v>10196</v>
      </c>
      <c r="D47" s="135">
        <f>'Source Data'!H107</f>
        <v>11412</v>
      </c>
      <c r="E47" s="137">
        <f>Assumptions!$F$22*(E37+E18)</f>
        <v>12167.112597408832</v>
      </c>
      <c r="F47" s="139">
        <f>Assumptions!$F$22*(F37+F18)</f>
        <v>12592.829758664671</v>
      </c>
      <c r="G47" s="139">
        <f>Assumptions!$F$22*(G37+G18)</f>
        <v>13042.889554246105</v>
      </c>
      <c r="H47" s="139">
        <f>Assumptions!$F$22*(H37+H18)</f>
        <v>13519.391065112433</v>
      </c>
      <c r="I47" s="140">
        <f>Assumptions!$F$22*(I37+I18)</f>
        <v>14024.657774594301</v>
      </c>
    </row>
    <row r="48" spans="1:9" ht="12.3" x14ac:dyDescent="0.4">
      <c r="A48" s="141" t="str">
        <f>A46</f>
        <v>New CapEx</v>
      </c>
      <c r="B48" s="129"/>
      <c r="C48" s="135"/>
      <c r="D48" s="135"/>
      <c r="E48" s="137">
        <f t="shared" ref="E48:I48" si="13">E47-D47</f>
        <v>755.11259740883179</v>
      </c>
      <c r="F48" s="139">
        <f t="shared" si="13"/>
        <v>425.71716125583953</v>
      </c>
      <c r="G48" s="139">
        <f t="shared" si="13"/>
        <v>450.05979558143372</v>
      </c>
      <c r="H48" s="139">
        <f t="shared" si="13"/>
        <v>476.50151086632832</v>
      </c>
      <c r="I48" s="140">
        <f t="shared" si="13"/>
        <v>505.26670948186802</v>
      </c>
    </row>
    <row r="49" spans="1:9" ht="12.3" x14ac:dyDescent="0.4">
      <c r="A49" s="128" t="str">
        <f>Assumptions!E23</f>
        <v>Natural gas distribution facilities</v>
      </c>
      <c r="B49" s="129"/>
      <c r="C49" s="135">
        <f>'Source Data'!G108</f>
        <v>10397</v>
      </c>
      <c r="D49" s="135">
        <f>'Source Data'!H108</f>
        <v>11362</v>
      </c>
      <c r="E49" s="137">
        <f>Assumptions!$F$23*(E37+E18)</f>
        <v>12351.462788278663</v>
      </c>
      <c r="F49" s="139">
        <f>Assumptions!$F$23*(F37+F18)</f>
        <v>12783.63020955353</v>
      </c>
      <c r="G49" s="139">
        <f>Assumptions!$F$23*(G37+G18)</f>
        <v>13240.509092946802</v>
      </c>
      <c r="H49" s="139">
        <f>Assumptions!$F$23*(H37+H18)</f>
        <v>13724.230323674743</v>
      </c>
      <c r="I49" s="140">
        <f>Assumptions!$F$23*(I37+I18)</f>
        <v>14237.152589360881</v>
      </c>
    </row>
    <row r="50" spans="1:9" ht="12.3" x14ac:dyDescent="0.4">
      <c r="A50" s="141" t="str">
        <f>A48</f>
        <v>New CapEx</v>
      </c>
      <c r="B50" s="129"/>
      <c r="C50" s="135"/>
      <c r="D50" s="135"/>
      <c r="E50" s="137">
        <f t="shared" ref="E50:I50" si="14">E49-D49</f>
        <v>989.46278827866263</v>
      </c>
      <c r="F50" s="139">
        <f t="shared" si="14"/>
        <v>432.16742127486759</v>
      </c>
      <c r="G50" s="139">
        <f t="shared" si="14"/>
        <v>456.87888339327219</v>
      </c>
      <c r="H50" s="139">
        <f t="shared" si="14"/>
        <v>483.72123072794056</v>
      </c>
      <c r="I50" s="140">
        <f t="shared" si="14"/>
        <v>512.92226568613842</v>
      </c>
    </row>
    <row r="51" spans="1:9" ht="12.3" x14ac:dyDescent="0.4">
      <c r="A51" s="128" t="str">
        <f>Assumptions!E24</f>
        <v>Natural gas transmission and storage facilities</v>
      </c>
      <c r="B51" s="129"/>
      <c r="C51" s="135">
        <f>'Source Data'!G109</f>
        <v>6352</v>
      </c>
      <c r="D51" s="135">
        <f>'Source Data'!H109</f>
        <v>6491</v>
      </c>
      <c r="E51" s="137">
        <f>Assumptions!$F$24*(E37+E18)</f>
        <v>6636.6068713139075</v>
      </c>
      <c r="F51" s="139">
        <f>Assumptions!$F$24*(F37+F18)</f>
        <v>6868.8162319989115</v>
      </c>
      <c r="G51" s="139">
        <f>Assumptions!$F$24*(G37+G18)</f>
        <v>7114.3033932251474</v>
      </c>
      <c r="H51" s="139">
        <f>Assumptions!$F$24*(H37+H18)</f>
        <v>7374.2133082431446</v>
      </c>
      <c r="I51" s="140">
        <f>Assumptions!$F$24*(I37+I18)</f>
        <v>7649.8133315968907</v>
      </c>
    </row>
    <row r="52" spans="1:9" ht="12.3" x14ac:dyDescent="0.4">
      <c r="A52" s="141" t="str">
        <f>A50</f>
        <v>New CapEx</v>
      </c>
      <c r="B52" s="129"/>
      <c r="C52" s="135"/>
      <c r="D52" s="135"/>
      <c r="E52" s="137">
        <f t="shared" ref="E52:I52" si="15">E51-D51</f>
        <v>145.6068713139075</v>
      </c>
      <c r="F52" s="139">
        <f t="shared" si="15"/>
        <v>232.20936068500396</v>
      </c>
      <c r="G52" s="139">
        <f t="shared" si="15"/>
        <v>245.48716122623591</v>
      </c>
      <c r="H52" s="139">
        <f t="shared" si="15"/>
        <v>259.90991501799726</v>
      </c>
      <c r="I52" s="140">
        <f t="shared" si="15"/>
        <v>275.60002335374611</v>
      </c>
    </row>
    <row r="53" spans="1:9" ht="12.3" x14ac:dyDescent="0.4">
      <c r="A53" s="128" t="str">
        <f>Assumptions!E25</f>
        <v>Construction work in progress</v>
      </c>
      <c r="B53" s="129"/>
      <c r="C53" s="135">
        <f>'Source Data'!G110</f>
        <v>2059</v>
      </c>
      <c r="D53" s="135">
        <f>'Source Data'!H110</f>
        <v>2184</v>
      </c>
      <c r="E53" s="137">
        <f>D53*(1+Assumptions!$F$25)</f>
        <v>2293.2000000000003</v>
      </c>
      <c r="F53" s="139">
        <f>E53*(1+Assumptions!$F$25)</f>
        <v>2407.8600000000006</v>
      </c>
      <c r="G53" s="139">
        <f>F53*(1+Assumptions!$F$25)</f>
        <v>2528.2530000000006</v>
      </c>
      <c r="H53" s="139">
        <f>G53*(1+Assumptions!$F$25)</f>
        <v>2654.6656500000008</v>
      </c>
      <c r="I53" s="140">
        <f>H53*(1+Assumptions!$F$25)</f>
        <v>2787.3989325000011</v>
      </c>
    </row>
    <row r="54" spans="1:9" ht="14.1" x14ac:dyDescent="0.5">
      <c r="A54" s="157" t="str">
        <f>A52</f>
        <v>New CapEx</v>
      </c>
      <c r="B54" s="158"/>
      <c r="C54" s="158"/>
      <c r="D54" s="158"/>
      <c r="E54" s="159">
        <f t="shared" ref="E54:I54" si="16">E53-D53</f>
        <v>109.20000000000027</v>
      </c>
      <c r="F54" s="161">
        <f t="shared" si="16"/>
        <v>114.66000000000031</v>
      </c>
      <c r="G54" s="161">
        <f t="shared" si="16"/>
        <v>120.39300000000003</v>
      </c>
      <c r="H54" s="161">
        <f t="shared" si="16"/>
        <v>126.41265000000021</v>
      </c>
      <c r="I54" s="163">
        <f t="shared" si="16"/>
        <v>132.73328250000031</v>
      </c>
    </row>
    <row r="55" spans="1:9" ht="14.1" x14ac:dyDescent="0.5">
      <c r="A55" s="164"/>
      <c r="B55" s="165"/>
      <c r="C55" s="165"/>
      <c r="D55" s="165"/>
      <c r="E55" s="165"/>
      <c r="F55" s="165"/>
      <c r="G55" s="165"/>
      <c r="H55" s="165"/>
      <c r="I55" s="165"/>
    </row>
    <row r="56" spans="1:9" ht="12.3" x14ac:dyDescent="0.4">
      <c r="A56" s="531" t="s">
        <v>135</v>
      </c>
      <c r="B56" s="489"/>
      <c r="C56" s="489"/>
      <c r="D56" s="489"/>
      <c r="E56" s="489"/>
      <c r="F56" s="489"/>
      <c r="G56" s="489"/>
      <c r="H56" s="489"/>
      <c r="I56" s="490"/>
    </row>
    <row r="57" spans="1:9" ht="12.3" x14ac:dyDescent="0.4">
      <c r="A57" s="166"/>
      <c r="B57" s="124"/>
      <c r="C57" s="124">
        <f t="shared" ref="C57:I57" si="17">C41</f>
        <v>2015</v>
      </c>
      <c r="D57" s="168">
        <f t="shared" si="17"/>
        <v>2016</v>
      </c>
      <c r="E57" s="124" t="str">
        <f t="shared" si="17"/>
        <v>2017E</v>
      </c>
      <c r="F57" s="124" t="str">
        <f t="shared" si="17"/>
        <v>2018E</v>
      </c>
      <c r="G57" s="124" t="str">
        <f t="shared" si="17"/>
        <v>2019E</v>
      </c>
      <c r="H57" s="124" t="str">
        <f t="shared" si="17"/>
        <v>2020E</v>
      </c>
      <c r="I57" s="168" t="str">
        <f t="shared" si="17"/>
        <v>2021E</v>
      </c>
    </row>
    <row r="58" spans="1:9" ht="12.3" x14ac:dyDescent="0.4">
      <c r="A58" s="128" t="str">
        <f t="shared" ref="A58:A59" si="18">A42</f>
        <v>(in millions)</v>
      </c>
      <c r="B58" s="124"/>
      <c r="C58" s="124"/>
      <c r="D58" s="168"/>
      <c r="E58" s="124"/>
      <c r="F58" s="124"/>
      <c r="G58" s="124"/>
      <c r="H58" s="124"/>
      <c r="I58" s="168"/>
    </row>
    <row r="59" spans="1:9" ht="12.3" x14ac:dyDescent="0.4">
      <c r="A59" s="128" t="str">
        <f t="shared" si="18"/>
        <v>Electricity generating facilities</v>
      </c>
      <c r="B59" s="124"/>
      <c r="C59" s="124"/>
      <c r="D59" s="171">
        <f>D43</f>
        <v>11308</v>
      </c>
      <c r="E59" s="139">
        <f t="shared" ref="E59:I59" si="19">E44</f>
        <v>674.76240653900095</v>
      </c>
      <c r="F59" s="139">
        <f t="shared" si="19"/>
        <v>419.26690123681146</v>
      </c>
      <c r="G59" s="139">
        <f t="shared" si="19"/>
        <v>443.24070776959343</v>
      </c>
      <c r="H59" s="139">
        <f t="shared" si="19"/>
        <v>469.28179100471789</v>
      </c>
      <c r="I59" s="140">
        <f t="shared" si="19"/>
        <v>497.61115327759762</v>
      </c>
    </row>
    <row r="60" spans="1:9" ht="12.3" x14ac:dyDescent="0.4">
      <c r="A60" s="128" t="str">
        <f>A45</f>
        <v>Electricity distribution facilities</v>
      </c>
      <c r="B60" s="124"/>
      <c r="C60" s="124"/>
      <c r="D60" s="171">
        <f>D45</f>
        <v>29836</v>
      </c>
      <c r="E60" s="139">
        <f t="shared" ref="E60:I60" si="20">E46</f>
        <v>188.52140038324796</v>
      </c>
      <c r="F60" s="139">
        <f t="shared" si="20"/>
        <v>1050.5330592040773</v>
      </c>
      <c r="G60" s="139">
        <f t="shared" si="20"/>
        <v>1110.6028530355361</v>
      </c>
      <c r="H60" s="139">
        <f t="shared" si="20"/>
        <v>1175.8525036883366</v>
      </c>
      <c r="I60" s="140">
        <f t="shared" si="20"/>
        <v>1246.8357640554968</v>
      </c>
    </row>
    <row r="61" spans="1:9" ht="12.3" x14ac:dyDescent="0.4">
      <c r="A61" s="128" t="str">
        <f>A47</f>
        <v>Electricity transmission facilities</v>
      </c>
      <c r="B61" s="124"/>
      <c r="C61" s="124"/>
      <c r="D61" s="171">
        <f>D47</f>
        <v>11412</v>
      </c>
      <c r="E61" s="139">
        <f t="shared" ref="E61:I61" si="21">E48</f>
        <v>755.11259740883179</v>
      </c>
      <c r="F61" s="139">
        <f t="shared" si="21"/>
        <v>425.71716125583953</v>
      </c>
      <c r="G61" s="139">
        <f t="shared" si="21"/>
        <v>450.05979558143372</v>
      </c>
      <c r="H61" s="139">
        <f t="shared" si="21"/>
        <v>476.50151086632832</v>
      </c>
      <c r="I61" s="140">
        <f t="shared" si="21"/>
        <v>505.26670948186802</v>
      </c>
    </row>
    <row r="62" spans="1:9" ht="12.3" x14ac:dyDescent="0.4">
      <c r="A62" s="128" t="str">
        <f>A49</f>
        <v>Natural gas distribution facilities</v>
      </c>
      <c r="B62" s="124"/>
      <c r="C62" s="124"/>
      <c r="D62" s="171">
        <f>D49</f>
        <v>11362</v>
      </c>
      <c r="E62" s="139">
        <f t="shared" ref="E62:I62" si="22">E50</f>
        <v>989.46278827866263</v>
      </c>
      <c r="F62" s="139">
        <f t="shared" si="22"/>
        <v>432.16742127486759</v>
      </c>
      <c r="G62" s="139">
        <f t="shared" si="22"/>
        <v>456.87888339327219</v>
      </c>
      <c r="H62" s="139">
        <f t="shared" si="22"/>
        <v>483.72123072794056</v>
      </c>
      <c r="I62" s="140">
        <f t="shared" si="22"/>
        <v>512.92226568613842</v>
      </c>
    </row>
    <row r="63" spans="1:9" ht="12.3" x14ac:dyDescent="0.4">
      <c r="A63" s="128" t="str">
        <f>A51</f>
        <v>Natural gas transmission and storage facilities</v>
      </c>
      <c r="B63" s="124"/>
      <c r="C63" s="124"/>
      <c r="D63" s="171">
        <f>D51</f>
        <v>6491</v>
      </c>
      <c r="E63" s="139">
        <f t="shared" ref="E63:I63" si="23">E52</f>
        <v>145.6068713139075</v>
      </c>
      <c r="F63" s="139">
        <f t="shared" si="23"/>
        <v>232.20936068500396</v>
      </c>
      <c r="G63" s="139">
        <f t="shared" si="23"/>
        <v>245.48716122623591</v>
      </c>
      <c r="H63" s="139">
        <f t="shared" si="23"/>
        <v>259.90991501799726</v>
      </c>
      <c r="I63" s="140">
        <f t="shared" si="23"/>
        <v>275.60002335374611</v>
      </c>
    </row>
    <row r="64" spans="1:9" ht="12.3" x14ac:dyDescent="0.4">
      <c r="A64" s="183" t="str">
        <f>A53</f>
        <v>Construction work in progress</v>
      </c>
      <c r="B64" s="125"/>
      <c r="C64" s="125"/>
      <c r="D64" s="184">
        <f>D53</f>
        <v>2184</v>
      </c>
      <c r="E64" s="161">
        <f t="shared" ref="E64:I64" si="24">E54</f>
        <v>109.20000000000027</v>
      </c>
      <c r="F64" s="161">
        <f t="shared" si="24"/>
        <v>114.66000000000031</v>
      </c>
      <c r="G64" s="161">
        <f t="shared" si="24"/>
        <v>120.39300000000003</v>
      </c>
      <c r="H64" s="161">
        <f t="shared" si="24"/>
        <v>126.41265000000021</v>
      </c>
      <c r="I64" s="163">
        <f t="shared" si="24"/>
        <v>132.73328250000031</v>
      </c>
    </row>
    <row r="65" spans="1:9" ht="12.3" x14ac:dyDescent="0.4">
      <c r="A65" s="185" t="s">
        <v>149</v>
      </c>
      <c r="B65" s="186"/>
      <c r="C65" s="186"/>
      <c r="D65" s="187"/>
      <c r="E65" s="189">
        <f t="shared" ref="E65:I65" si="25">SUM(E59:E64)</f>
        <v>2862.6660639236511</v>
      </c>
      <c r="F65" s="189">
        <f t="shared" si="25"/>
        <v>2674.5539036566001</v>
      </c>
      <c r="G65" s="189">
        <f t="shared" si="25"/>
        <v>2826.6624010060714</v>
      </c>
      <c r="H65" s="189">
        <f t="shared" si="25"/>
        <v>2991.6796013053208</v>
      </c>
      <c r="I65" s="187">
        <f t="shared" si="25"/>
        <v>3170.9691983548473</v>
      </c>
    </row>
    <row r="66" spans="1:9" ht="12.3" x14ac:dyDescent="0.4">
      <c r="A66" s="124"/>
      <c r="B66" s="124"/>
      <c r="C66" s="124"/>
      <c r="D66" s="192"/>
      <c r="E66" s="192"/>
      <c r="F66" s="192"/>
      <c r="G66" s="192"/>
      <c r="H66" s="192"/>
      <c r="I66" s="192"/>
    </row>
    <row r="67" spans="1:9" ht="12.3" x14ac:dyDescent="0.4">
      <c r="A67" s="532" t="s">
        <v>152</v>
      </c>
      <c r="B67" s="489"/>
      <c r="C67" s="489"/>
      <c r="D67" s="489"/>
      <c r="E67" s="489"/>
      <c r="F67" s="489"/>
      <c r="G67" s="489"/>
      <c r="H67" s="489"/>
      <c r="I67" s="490"/>
    </row>
    <row r="68" spans="1:9" ht="12.3" x14ac:dyDescent="0.4">
      <c r="A68" s="166"/>
      <c r="B68" s="124"/>
      <c r="C68" s="125">
        <f t="shared" ref="C68:I68" si="26">C57</f>
        <v>2015</v>
      </c>
      <c r="D68" s="125">
        <f t="shared" si="26"/>
        <v>2016</v>
      </c>
      <c r="E68" s="125" t="str">
        <f t="shared" si="26"/>
        <v>2017E</v>
      </c>
      <c r="F68" s="125" t="str">
        <f t="shared" si="26"/>
        <v>2018E</v>
      </c>
      <c r="G68" s="125" t="str">
        <f t="shared" si="26"/>
        <v>2019E</v>
      </c>
      <c r="H68" s="125" t="str">
        <f t="shared" si="26"/>
        <v>2020E</v>
      </c>
      <c r="I68" s="127" t="str">
        <f t="shared" si="26"/>
        <v>2021E</v>
      </c>
    </row>
    <row r="69" spans="1:9" ht="12.3" x14ac:dyDescent="0.4">
      <c r="A69" s="197" t="str">
        <f>A59</f>
        <v>Electricity generating facilities</v>
      </c>
      <c r="B69" s="198"/>
      <c r="C69" s="164"/>
      <c r="D69" s="192"/>
      <c r="E69" s="192"/>
      <c r="F69" s="192"/>
      <c r="G69" s="192"/>
      <c r="H69" s="192"/>
      <c r="I69" s="199"/>
    </row>
    <row r="70" spans="1:9" ht="12.3" x14ac:dyDescent="0.4">
      <c r="A70" s="200">
        <f>Assumptions!C18</f>
        <v>55</v>
      </c>
      <c r="B70" s="201" t="s">
        <v>158</v>
      </c>
      <c r="C70" s="164"/>
      <c r="D70" s="192"/>
      <c r="E70" s="192"/>
      <c r="F70" s="192"/>
      <c r="G70" s="192"/>
      <c r="H70" s="192"/>
      <c r="I70" s="199"/>
    </row>
    <row r="71" spans="1:9" ht="12.3" x14ac:dyDescent="0.4">
      <c r="A71" s="128" t="s">
        <v>161</v>
      </c>
      <c r="B71" s="164"/>
      <c r="C71" s="164"/>
      <c r="D71" s="192"/>
      <c r="E71" s="139">
        <f>D59/A70</f>
        <v>205.6</v>
      </c>
      <c r="F71" s="139">
        <f t="shared" ref="F71:I71" si="27">E71</f>
        <v>205.6</v>
      </c>
      <c r="G71" s="139">
        <f t="shared" si="27"/>
        <v>205.6</v>
      </c>
      <c r="H71" s="139">
        <f t="shared" si="27"/>
        <v>205.6</v>
      </c>
      <c r="I71" s="140">
        <f t="shared" si="27"/>
        <v>205.6</v>
      </c>
    </row>
    <row r="72" spans="1:9" ht="12.3" x14ac:dyDescent="0.4">
      <c r="A72" s="7" t="s">
        <v>113</v>
      </c>
      <c r="B72" s="164"/>
      <c r="C72" s="164"/>
      <c r="D72" s="192"/>
      <c r="E72" s="139"/>
      <c r="F72" s="139"/>
      <c r="G72" s="139"/>
      <c r="H72" s="139"/>
      <c r="I72" s="140"/>
    </row>
    <row r="73" spans="1:9" ht="12.3" x14ac:dyDescent="0.4">
      <c r="A73" s="137">
        <f>E59</f>
        <v>674.76240653900095</v>
      </c>
      <c r="B73" s="164"/>
      <c r="C73" s="164"/>
      <c r="D73" s="192"/>
      <c r="E73" s="139"/>
      <c r="F73" s="139">
        <f>A73/A70</f>
        <v>12.268407391618199</v>
      </c>
      <c r="G73" s="139">
        <f t="shared" ref="G73:I73" si="28">F73</f>
        <v>12.268407391618199</v>
      </c>
      <c r="H73" s="139">
        <f t="shared" si="28"/>
        <v>12.268407391618199</v>
      </c>
      <c r="I73" s="140">
        <f t="shared" si="28"/>
        <v>12.268407391618199</v>
      </c>
    </row>
    <row r="74" spans="1:9" ht="12.3" x14ac:dyDescent="0.4">
      <c r="A74" s="137">
        <f>F59</f>
        <v>419.26690123681146</v>
      </c>
      <c r="B74" s="164"/>
      <c r="C74" s="164"/>
      <c r="D74" s="192"/>
      <c r="E74" s="139"/>
      <c r="F74" s="139"/>
      <c r="G74" s="139">
        <f>A74/A70</f>
        <v>7.6230345679420264</v>
      </c>
      <c r="H74" s="139">
        <f t="shared" ref="H74:I74" si="29">G74</f>
        <v>7.6230345679420264</v>
      </c>
      <c r="I74" s="140">
        <f t="shared" si="29"/>
        <v>7.6230345679420264</v>
      </c>
    </row>
    <row r="75" spans="1:9" ht="12.3" x14ac:dyDescent="0.4">
      <c r="A75" s="137">
        <f>G59</f>
        <v>443.24070776959343</v>
      </c>
      <c r="B75" s="164"/>
      <c r="C75" s="164"/>
      <c r="D75" s="192"/>
      <c r="E75" s="139"/>
      <c r="F75" s="139"/>
      <c r="G75" s="139"/>
      <c r="H75" s="139">
        <f>A75/A70</f>
        <v>8.0589219594471526</v>
      </c>
      <c r="I75" s="140">
        <f>H75</f>
        <v>8.0589219594471526</v>
      </c>
    </row>
    <row r="76" spans="1:9" ht="12.3" x14ac:dyDescent="0.4">
      <c r="A76" s="137">
        <f>H59</f>
        <v>469.28179100471789</v>
      </c>
      <c r="B76" s="164"/>
      <c r="C76" s="164"/>
      <c r="D76" s="192"/>
      <c r="E76" s="139"/>
      <c r="F76" s="139"/>
      <c r="G76" s="139"/>
      <c r="H76" s="139"/>
      <c r="I76" s="140">
        <f>A76/A70</f>
        <v>8.5323962000857794</v>
      </c>
    </row>
    <row r="77" spans="1:9" ht="12.3" x14ac:dyDescent="0.4">
      <c r="A77" s="137">
        <f>I59</f>
        <v>497.61115327759762</v>
      </c>
      <c r="B77" s="164"/>
      <c r="C77" s="164"/>
      <c r="D77" s="192"/>
      <c r="E77" s="139"/>
      <c r="F77" s="139"/>
      <c r="G77" s="139"/>
      <c r="H77" s="139"/>
      <c r="I77" s="140"/>
    </row>
    <row r="78" spans="1:9" ht="12.3" x14ac:dyDescent="0.4">
      <c r="A78" s="128" t="s">
        <v>175</v>
      </c>
      <c r="B78" s="164"/>
      <c r="C78" s="210"/>
      <c r="D78" s="211"/>
      <c r="E78" s="212">
        <f t="shared" ref="E78:I78" si="30">SUM(E71:E77)</f>
        <v>205.6</v>
      </c>
      <c r="F78" s="212">
        <f t="shared" si="30"/>
        <v>217.86840739161821</v>
      </c>
      <c r="G78" s="212">
        <f t="shared" si="30"/>
        <v>225.49144195956023</v>
      </c>
      <c r="H78" s="212">
        <f t="shared" si="30"/>
        <v>233.5503639190074</v>
      </c>
      <c r="I78" s="213">
        <f t="shared" si="30"/>
        <v>242.08276011909317</v>
      </c>
    </row>
    <row r="79" spans="1:9" ht="12.3" x14ac:dyDescent="0.4">
      <c r="A79" s="166"/>
      <c r="B79" s="124"/>
      <c r="C79" s="124"/>
      <c r="D79" s="192"/>
      <c r="E79" s="192"/>
      <c r="F79" s="192"/>
      <c r="G79" s="192"/>
      <c r="H79" s="192"/>
      <c r="I79" s="199"/>
    </row>
    <row r="80" spans="1:9" ht="12.3" x14ac:dyDescent="0.4">
      <c r="A80" s="197" t="str">
        <f>A60</f>
        <v>Electricity distribution facilities</v>
      </c>
      <c r="B80" s="214"/>
      <c r="C80" s="124"/>
      <c r="D80" s="192"/>
      <c r="E80" s="192"/>
      <c r="F80" s="192"/>
      <c r="G80" s="192"/>
      <c r="H80" s="192"/>
      <c r="I80" s="199"/>
    </row>
    <row r="81" spans="1:9" ht="12.3" x14ac:dyDescent="0.4">
      <c r="A81" s="200">
        <f>Assumptions!C19</f>
        <v>35</v>
      </c>
      <c r="B81" s="201" t="str">
        <f>B70</f>
        <v>years (useful life)</v>
      </c>
      <c r="C81" s="124"/>
      <c r="D81" s="192"/>
      <c r="E81" s="192"/>
      <c r="F81" s="192"/>
      <c r="G81" s="192"/>
      <c r="H81" s="192"/>
      <c r="I81" s="199"/>
    </row>
    <row r="82" spans="1:9" ht="12.3" x14ac:dyDescent="0.4">
      <c r="A82" s="128" t="str">
        <f t="shared" ref="A82:A83" si="31">A71</f>
        <v>Depreciation of Existing Asset</v>
      </c>
      <c r="B82" s="124"/>
      <c r="C82" s="124"/>
      <c r="D82" s="192"/>
      <c r="E82" s="139">
        <f>D60/A81</f>
        <v>852.45714285714291</v>
      </c>
      <c r="F82" s="139">
        <f t="shared" ref="F82:I82" si="32">E82</f>
        <v>852.45714285714291</v>
      </c>
      <c r="G82" s="139">
        <f t="shared" si="32"/>
        <v>852.45714285714291</v>
      </c>
      <c r="H82" s="139">
        <f t="shared" si="32"/>
        <v>852.45714285714291</v>
      </c>
      <c r="I82" s="140">
        <f t="shared" si="32"/>
        <v>852.45714285714291</v>
      </c>
    </row>
    <row r="83" spans="1:9" ht="12.3" x14ac:dyDescent="0.4">
      <c r="A83" s="128" t="str">
        <f t="shared" si="31"/>
        <v>New CapEx</v>
      </c>
      <c r="B83" s="124"/>
      <c r="C83" s="124"/>
      <c r="D83" s="192"/>
      <c r="E83" s="192"/>
      <c r="F83" s="192"/>
      <c r="G83" s="192"/>
      <c r="H83" s="192"/>
      <c r="I83" s="199"/>
    </row>
    <row r="84" spans="1:9" ht="12.3" x14ac:dyDescent="0.4">
      <c r="A84" s="137">
        <f>E60</f>
        <v>188.52140038324796</v>
      </c>
      <c r="B84" s="124"/>
      <c r="C84" s="124"/>
      <c r="D84" s="192"/>
      <c r="E84" s="192"/>
      <c r="F84" s="139">
        <f>A84/A81</f>
        <v>5.3863257252356558</v>
      </c>
      <c r="G84" s="139">
        <f t="shared" ref="G84:I84" si="33">F84</f>
        <v>5.3863257252356558</v>
      </c>
      <c r="H84" s="139">
        <f t="shared" si="33"/>
        <v>5.3863257252356558</v>
      </c>
      <c r="I84" s="140">
        <f t="shared" si="33"/>
        <v>5.3863257252356558</v>
      </c>
    </row>
    <row r="85" spans="1:9" ht="12.3" x14ac:dyDescent="0.4">
      <c r="A85" s="137">
        <f>F60</f>
        <v>1050.5330592040773</v>
      </c>
      <c r="B85" s="124"/>
      <c r="C85" s="124"/>
      <c r="D85" s="192"/>
      <c r="E85" s="192"/>
      <c r="F85" s="139"/>
      <c r="G85" s="139">
        <f>A85/A81</f>
        <v>30.015230262973638</v>
      </c>
      <c r="H85" s="139">
        <f t="shared" ref="H85:I85" si="34">G85</f>
        <v>30.015230262973638</v>
      </c>
      <c r="I85" s="140">
        <f t="shared" si="34"/>
        <v>30.015230262973638</v>
      </c>
    </row>
    <row r="86" spans="1:9" ht="12.3" x14ac:dyDescent="0.4">
      <c r="A86" s="137">
        <f>G60</f>
        <v>1110.6028530355361</v>
      </c>
      <c r="B86" s="124"/>
      <c r="C86" s="124"/>
      <c r="D86" s="192"/>
      <c r="E86" s="192"/>
      <c r="F86" s="139"/>
      <c r="G86" s="139"/>
      <c r="H86" s="139">
        <f>A86/A81</f>
        <v>31.731510086729603</v>
      </c>
      <c r="I86" s="140">
        <f>H86</f>
        <v>31.731510086729603</v>
      </c>
    </row>
    <row r="87" spans="1:9" ht="12.3" x14ac:dyDescent="0.4">
      <c r="A87" s="137">
        <f>H60</f>
        <v>1175.8525036883366</v>
      </c>
      <c r="B87" s="124"/>
      <c r="C87" s="124"/>
      <c r="D87" s="192"/>
      <c r="E87" s="192"/>
      <c r="F87" s="139"/>
      <c r="G87" s="139"/>
      <c r="H87" s="139"/>
      <c r="I87" s="140">
        <f>A87/A81</f>
        <v>33.595785819666759</v>
      </c>
    </row>
    <row r="88" spans="1:9" ht="12.3" x14ac:dyDescent="0.4">
      <c r="A88" s="137">
        <f>I60</f>
        <v>1246.8357640554968</v>
      </c>
      <c r="B88" s="124"/>
      <c r="C88" s="124"/>
      <c r="D88" s="192"/>
      <c r="E88" s="192"/>
      <c r="F88" s="192"/>
      <c r="G88" s="192"/>
      <c r="H88" s="192"/>
      <c r="I88" s="199"/>
    </row>
    <row r="89" spans="1:9" ht="12.3" x14ac:dyDescent="0.4">
      <c r="A89" s="128" t="str">
        <f>A78</f>
        <v>Total Depreciation</v>
      </c>
      <c r="B89" s="124"/>
      <c r="C89" s="219"/>
      <c r="D89" s="211"/>
      <c r="E89" s="212">
        <f t="shared" ref="E89:I89" si="35">SUM(E82:E88)</f>
        <v>852.45714285714291</v>
      </c>
      <c r="F89" s="212">
        <f t="shared" si="35"/>
        <v>857.84346858237859</v>
      </c>
      <c r="G89" s="212">
        <f t="shared" si="35"/>
        <v>887.85869884535225</v>
      </c>
      <c r="H89" s="212">
        <f t="shared" si="35"/>
        <v>919.59020893208185</v>
      </c>
      <c r="I89" s="213">
        <f t="shared" si="35"/>
        <v>953.18599475174858</v>
      </c>
    </row>
    <row r="90" spans="1:9" ht="12.3" x14ac:dyDescent="0.4">
      <c r="A90" s="166"/>
      <c r="B90" s="124"/>
      <c r="C90" s="124"/>
      <c r="D90" s="192"/>
      <c r="E90" s="192"/>
      <c r="F90" s="192"/>
      <c r="G90" s="192"/>
      <c r="H90" s="192"/>
      <c r="I90" s="199"/>
    </row>
    <row r="91" spans="1:9" ht="12.3" x14ac:dyDescent="0.4">
      <c r="A91" s="197" t="str">
        <f>A61</f>
        <v>Electricity transmission facilities</v>
      </c>
      <c r="B91" s="214"/>
      <c r="C91" s="124"/>
      <c r="D91" s="192"/>
      <c r="E91" s="192"/>
      <c r="F91" s="192"/>
      <c r="G91" s="192"/>
      <c r="H91" s="192"/>
      <c r="I91" s="199"/>
    </row>
    <row r="92" spans="1:9" ht="12.3" x14ac:dyDescent="0.4">
      <c r="A92" s="200">
        <f>Assumptions!C20</f>
        <v>45</v>
      </c>
      <c r="B92" s="201" t="str">
        <f>B81</f>
        <v>years (useful life)</v>
      </c>
      <c r="C92" s="124"/>
      <c r="D92" s="192"/>
      <c r="E92" s="192"/>
      <c r="F92" s="192"/>
      <c r="G92" s="192"/>
      <c r="H92" s="192"/>
      <c r="I92" s="199"/>
    </row>
    <row r="93" spans="1:9" ht="12.3" x14ac:dyDescent="0.4">
      <c r="A93" s="128" t="str">
        <f>A82</f>
        <v>Depreciation of Existing Asset</v>
      </c>
      <c r="B93" s="124"/>
      <c r="C93" s="124"/>
      <c r="D93" s="192"/>
      <c r="E93" s="139">
        <f>D61/A92</f>
        <v>253.6</v>
      </c>
      <c r="F93" s="139">
        <f t="shared" ref="F93:I93" si="36">E93</f>
        <v>253.6</v>
      </c>
      <c r="G93" s="139">
        <f t="shared" si="36"/>
        <v>253.6</v>
      </c>
      <c r="H93" s="139">
        <f t="shared" si="36"/>
        <v>253.6</v>
      </c>
      <c r="I93" s="140">
        <f t="shared" si="36"/>
        <v>253.6</v>
      </c>
    </row>
    <row r="94" spans="1:9" ht="12.3" x14ac:dyDescent="0.4">
      <c r="A94" s="128" t="s">
        <v>182</v>
      </c>
      <c r="B94" s="124"/>
      <c r="C94" s="124"/>
      <c r="D94" s="192"/>
      <c r="E94" s="139"/>
      <c r="F94" s="139"/>
      <c r="G94" s="139"/>
      <c r="H94" s="139"/>
      <c r="I94" s="140"/>
    </row>
    <row r="95" spans="1:9" ht="12.3" x14ac:dyDescent="0.4">
      <c r="A95" s="137">
        <f>E61</f>
        <v>755.11259740883179</v>
      </c>
      <c r="B95" s="124"/>
      <c r="C95" s="124"/>
      <c r="D95" s="192"/>
      <c r="E95" s="139"/>
      <c r="F95" s="139">
        <f>A95/A92</f>
        <v>16.780279942418485</v>
      </c>
      <c r="G95" s="139">
        <f t="shared" ref="G95:I95" si="37">F95</f>
        <v>16.780279942418485</v>
      </c>
      <c r="H95" s="139">
        <f t="shared" si="37"/>
        <v>16.780279942418485</v>
      </c>
      <c r="I95" s="140">
        <f t="shared" si="37"/>
        <v>16.780279942418485</v>
      </c>
    </row>
    <row r="96" spans="1:9" ht="12.3" x14ac:dyDescent="0.4">
      <c r="A96" s="137">
        <f>F61</f>
        <v>425.71716125583953</v>
      </c>
      <c r="B96" s="124"/>
      <c r="C96" s="124"/>
      <c r="D96" s="192"/>
      <c r="E96" s="139"/>
      <c r="F96" s="139"/>
      <c r="G96" s="139">
        <f>A96/A92</f>
        <v>9.4603813612408789</v>
      </c>
      <c r="H96" s="139">
        <f t="shared" ref="H96:I96" si="38">G96</f>
        <v>9.4603813612408789</v>
      </c>
      <c r="I96" s="140">
        <f t="shared" si="38"/>
        <v>9.4603813612408789</v>
      </c>
    </row>
    <row r="97" spans="1:9" ht="12.3" x14ac:dyDescent="0.4">
      <c r="A97" s="137">
        <f>G61</f>
        <v>450.05979558143372</v>
      </c>
      <c r="B97" s="124"/>
      <c r="C97" s="124"/>
      <c r="D97" s="192"/>
      <c r="E97" s="139"/>
      <c r="F97" s="139"/>
      <c r="G97" s="139"/>
      <c r="H97" s="139">
        <f>A97/A92</f>
        <v>10.001328790698526</v>
      </c>
      <c r="I97" s="140">
        <f>H97</f>
        <v>10.001328790698526</v>
      </c>
    </row>
    <row r="98" spans="1:9" ht="12.3" x14ac:dyDescent="0.4">
      <c r="A98" s="137">
        <f>H61</f>
        <v>476.50151086632832</v>
      </c>
      <c r="B98" s="124"/>
      <c r="C98" s="124"/>
      <c r="D98" s="192"/>
      <c r="E98" s="139"/>
      <c r="F98" s="139"/>
      <c r="G98" s="139"/>
      <c r="H98" s="139"/>
      <c r="I98" s="140">
        <f>A98/A92</f>
        <v>10.588922463696186</v>
      </c>
    </row>
    <row r="99" spans="1:9" ht="12.3" x14ac:dyDescent="0.4">
      <c r="A99" s="137">
        <f>I61</f>
        <v>505.26670948186802</v>
      </c>
      <c r="B99" s="124"/>
      <c r="C99" s="124"/>
      <c r="D99" s="192"/>
      <c r="E99" s="139"/>
      <c r="F99" s="139"/>
      <c r="G99" s="139"/>
      <c r="H99" s="139"/>
      <c r="I99" s="140"/>
    </row>
    <row r="100" spans="1:9" ht="12.3" x14ac:dyDescent="0.4">
      <c r="A100" s="128" t="str">
        <f>A89</f>
        <v>Total Depreciation</v>
      </c>
      <c r="B100" s="124"/>
      <c r="C100" s="219"/>
      <c r="D100" s="211"/>
      <c r="E100" s="212">
        <f t="shared" ref="E100:I100" si="39">SUM(E93:E99)</f>
        <v>253.6</v>
      </c>
      <c r="F100" s="212">
        <f t="shared" si="39"/>
        <v>270.3802799424185</v>
      </c>
      <c r="G100" s="212">
        <f t="shared" si="39"/>
        <v>279.84066130365937</v>
      </c>
      <c r="H100" s="212">
        <f t="shared" si="39"/>
        <v>289.84199009435793</v>
      </c>
      <c r="I100" s="213">
        <f t="shared" si="39"/>
        <v>300.4309125580541</v>
      </c>
    </row>
    <row r="101" spans="1:9" ht="12.3" x14ac:dyDescent="0.4">
      <c r="A101" s="166"/>
      <c r="B101" s="124"/>
      <c r="C101" s="124"/>
      <c r="D101" s="124"/>
      <c r="E101" s="124"/>
      <c r="F101" s="124"/>
      <c r="G101" s="124"/>
      <c r="H101" s="124"/>
      <c r="I101" s="168"/>
    </row>
    <row r="102" spans="1:9" ht="12.3" x14ac:dyDescent="0.4">
      <c r="A102" s="197" t="str">
        <f>A62</f>
        <v>Natural gas distribution facilities</v>
      </c>
      <c r="B102" s="214"/>
      <c r="C102" s="124"/>
      <c r="D102" s="124"/>
      <c r="E102" s="124"/>
      <c r="F102" s="124"/>
      <c r="G102" s="124"/>
      <c r="H102" s="124"/>
      <c r="I102" s="168"/>
    </row>
    <row r="103" spans="1:9" ht="12.3" x14ac:dyDescent="0.4">
      <c r="A103" s="200">
        <f>Assumptions!C21</f>
        <v>35</v>
      </c>
      <c r="B103" s="201" t="str">
        <f>B92</f>
        <v>years (useful life)</v>
      </c>
      <c r="C103" s="124"/>
      <c r="D103" s="124"/>
      <c r="E103" s="124"/>
      <c r="F103" s="124"/>
      <c r="G103" s="124"/>
      <c r="H103" s="124"/>
      <c r="I103" s="168"/>
    </row>
    <row r="104" spans="1:9" ht="12.3" x14ac:dyDescent="0.4">
      <c r="A104" s="128" t="str">
        <f t="shared" ref="A104:A105" si="40">A93</f>
        <v>Depreciation of Existing Asset</v>
      </c>
      <c r="B104" s="124"/>
      <c r="C104" s="124"/>
      <c r="D104" s="124"/>
      <c r="E104" s="139">
        <f>D62/A103</f>
        <v>324.62857142857143</v>
      </c>
      <c r="F104" s="139">
        <f t="shared" ref="F104:I104" si="41">E104</f>
        <v>324.62857142857143</v>
      </c>
      <c r="G104" s="139">
        <f t="shared" si="41"/>
        <v>324.62857142857143</v>
      </c>
      <c r="H104" s="139">
        <f t="shared" si="41"/>
        <v>324.62857142857143</v>
      </c>
      <c r="I104" s="140">
        <f t="shared" si="41"/>
        <v>324.62857142857143</v>
      </c>
    </row>
    <row r="105" spans="1:9" ht="12.3" x14ac:dyDescent="0.4">
      <c r="A105" s="128" t="str">
        <f t="shared" si="40"/>
        <v xml:space="preserve">New Capex </v>
      </c>
      <c r="B105" s="124"/>
      <c r="C105" s="124"/>
      <c r="D105" s="124"/>
      <c r="E105" s="164"/>
      <c r="F105" s="164"/>
      <c r="G105" s="164"/>
      <c r="H105" s="164"/>
      <c r="I105" s="224"/>
    </row>
    <row r="106" spans="1:9" ht="12.3" x14ac:dyDescent="0.4">
      <c r="A106" s="137">
        <f>E62</f>
        <v>989.46278827866263</v>
      </c>
      <c r="B106" s="124"/>
      <c r="C106" s="124"/>
      <c r="D106" s="124"/>
      <c r="E106" s="164"/>
      <c r="F106" s="139">
        <f>A106/A103</f>
        <v>28.270365379390359</v>
      </c>
      <c r="G106" s="139">
        <f t="shared" ref="G106:I106" si="42">F106</f>
        <v>28.270365379390359</v>
      </c>
      <c r="H106" s="139">
        <f t="shared" si="42"/>
        <v>28.270365379390359</v>
      </c>
      <c r="I106" s="140">
        <f t="shared" si="42"/>
        <v>28.270365379390359</v>
      </c>
    </row>
    <row r="107" spans="1:9" ht="12.3" x14ac:dyDescent="0.4">
      <c r="A107" s="137">
        <f>F62</f>
        <v>432.16742127486759</v>
      </c>
      <c r="B107" s="124"/>
      <c r="C107" s="124"/>
      <c r="D107" s="124"/>
      <c r="E107" s="164"/>
      <c r="F107" s="164"/>
      <c r="G107" s="139">
        <f>A107/A103</f>
        <v>12.347640607853359</v>
      </c>
      <c r="H107" s="139">
        <f t="shared" ref="H107:I107" si="43">G107</f>
        <v>12.347640607853359</v>
      </c>
      <c r="I107" s="140">
        <f t="shared" si="43"/>
        <v>12.347640607853359</v>
      </c>
    </row>
    <row r="108" spans="1:9" ht="12.3" x14ac:dyDescent="0.4">
      <c r="A108" s="137">
        <f>G62</f>
        <v>456.87888339327219</v>
      </c>
      <c r="B108" s="124"/>
      <c r="C108" s="124"/>
      <c r="D108" s="124"/>
      <c r="E108" s="164"/>
      <c r="F108" s="164"/>
      <c r="G108" s="164"/>
      <c r="H108" s="139">
        <f>A108/A103</f>
        <v>13.05368238266492</v>
      </c>
      <c r="I108" s="140">
        <f>H108</f>
        <v>13.05368238266492</v>
      </c>
    </row>
    <row r="109" spans="1:9" ht="12.3" x14ac:dyDescent="0.4">
      <c r="A109" s="137">
        <f>H62</f>
        <v>483.72123072794056</v>
      </c>
      <c r="B109" s="124"/>
      <c r="C109" s="124"/>
      <c r="D109" s="124"/>
      <c r="E109" s="164"/>
      <c r="F109" s="164"/>
      <c r="G109" s="164"/>
      <c r="H109" s="164"/>
      <c r="I109" s="140">
        <f>A109/A103</f>
        <v>13.820606592226873</v>
      </c>
    </row>
    <row r="110" spans="1:9" ht="12.3" x14ac:dyDescent="0.4">
      <c r="A110" s="137">
        <f>I62</f>
        <v>512.92226568613842</v>
      </c>
      <c r="B110" s="124"/>
      <c r="C110" s="124"/>
      <c r="D110" s="124"/>
      <c r="E110" s="164"/>
      <c r="F110" s="164"/>
      <c r="G110" s="164"/>
      <c r="H110" s="164"/>
      <c r="I110" s="224"/>
    </row>
    <row r="111" spans="1:9" ht="12.3" x14ac:dyDescent="0.4">
      <c r="A111" s="128" t="s">
        <v>175</v>
      </c>
      <c r="B111" s="124"/>
      <c r="C111" s="219"/>
      <c r="D111" s="219"/>
      <c r="E111" s="212">
        <f t="shared" ref="E111:I111" si="44">SUM(E104:E110)</f>
        <v>324.62857142857143</v>
      </c>
      <c r="F111" s="212">
        <f t="shared" si="44"/>
        <v>352.89893680796177</v>
      </c>
      <c r="G111" s="212">
        <f t="shared" si="44"/>
        <v>365.24657741581512</v>
      </c>
      <c r="H111" s="212">
        <f t="shared" si="44"/>
        <v>378.30025979848006</v>
      </c>
      <c r="I111" s="213">
        <f t="shared" si="44"/>
        <v>392.12086639070691</v>
      </c>
    </row>
    <row r="112" spans="1:9" ht="12.3" x14ac:dyDescent="0.4">
      <c r="A112" s="166"/>
      <c r="B112" s="124"/>
      <c r="C112" s="124"/>
      <c r="D112" s="124"/>
      <c r="E112" s="124"/>
      <c r="F112" s="124"/>
      <c r="G112" s="124"/>
      <c r="H112" s="124"/>
      <c r="I112" s="168"/>
    </row>
    <row r="113" spans="1:9" ht="12.3" x14ac:dyDescent="0.4">
      <c r="A113" s="197" t="str">
        <f>A63</f>
        <v>Natural gas transmission and storage facilities</v>
      </c>
      <c r="B113" s="214"/>
      <c r="C113" s="124"/>
      <c r="D113" s="124"/>
      <c r="E113" s="124"/>
      <c r="F113" s="124"/>
      <c r="G113" s="124"/>
      <c r="H113" s="124"/>
      <c r="I113" s="168"/>
    </row>
    <row r="114" spans="1:9" ht="12.3" x14ac:dyDescent="0.4">
      <c r="A114" s="200">
        <f>Assumptions!C22</f>
        <v>37</v>
      </c>
      <c r="B114" s="201" t="str">
        <f>B103</f>
        <v>years (useful life)</v>
      </c>
      <c r="C114" s="124"/>
      <c r="D114" s="124"/>
      <c r="E114" s="124"/>
      <c r="F114" s="124"/>
      <c r="G114" s="124"/>
      <c r="H114" s="124"/>
      <c r="I114" s="168"/>
    </row>
    <row r="115" spans="1:9" ht="12.3" x14ac:dyDescent="0.4">
      <c r="A115" s="128" t="str">
        <f t="shared" ref="A115:A116" si="45">A104</f>
        <v>Depreciation of Existing Asset</v>
      </c>
      <c r="B115" s="164"/>
      <c r="C115" s="124"/>
      <c r="D115" s="124"/>
      <c r="E115" s="139">
        <f>D63/A114</f>
        <v>175.43243243243242</v>
      </c>
      <c r="F115" s="139">
        <f t="shared" ref="F115:I115" si="46">E115</f>
        <v>175.43243243243242</v>
      </c>
      <c r="G115" s="139">
        <f t="shared" si="46"/>
        <v>175.43243243243242</v>
      </c>
      <c r="H115" s="139">
        <f t="shared" si="46"/>
        <v>175.43243243243242</v>
      </c>
      <c r="I115" s="140">
        <f t="shared" si="46"/>
        <v>175.43243243243242</v>
      </c>
    </row>
    <row r="116" spans="1:9" ht="12.3" x14ac:dyDescent="0.4">
      <c r="A116" s="128" t="str">
        <f t="shared" si="45"/>
        <v xml:space="preserve">New Capex </v>
      </c>
      <c r="B116" s="164"/>
      <c r="C116" s="124"/>
      <c r="D116" s="124"/>
      <c r="E116" s="164"/>
      <c r="F116" s="164"/>
      <c r="G116" s="164"/>
      <c r="H116" s="164"/>
      <c r="I116" s="224"/>
    </row>
    <row r="117" spans="1:9" ht="12.3" x14ac:dyDescent="0.4">
      <c r="A117" s="137">
        <f>E63</f>
        <v>145.6068713139075</v>
      </c>
      <c r="B117" s="124"/>
      <c r="C117" s="124"/>
      <c r="D117" s="124"/>
      <c r="E117" s="164"/>
      <c r="F117" s="139">
        <f>A117/A114</f>
        <v>3.9353208463218246</v>
      </c>
      <c r="G117" s="139">
        <f t="shared" ref="G117:I117" si="47">F117</f>
        <v>3.9353208463218246</v>
      </c>
      <c r="H117" s="139">
        <f t="shared" si="47"/>
        <v>3.9353208463218246</v>
      </c>
      <c r="I117" s="140">
        <f t="shared" si="47"/>
        <v>3.9353208463218246</v>
      </c>
    </row>
    <row r="118" spans="1:9" ht="12.3" x14ac:dyDescent="0.4">
      <c r="A118" s="137">
        <f>F63</f>
        <v>232.20936068500396</v>
      </c>
      <c r="B118" s="124"/>
      <c r="C118" s="124"/>
      <c r="D118" s="124"/>
      <c r="E118" s="164"/>
      <c r="F118" s="164"/>
      <c r="G118" s="139">
        <f>A118/A114</f>
        <v>6.2759286671622689</v>
      </c>
      <c r="H118" s="139">
        <f t="shared" ref="H118:I118" si="48">G118</f>
        <v>6.2759286671622689</v>
      </c>
      <c r="I118" s="140">
        <f t="shared" si="48"/>
        <v>6.2759286671622689</v>
      </c>
    </row>
    <row r="119" spans="1:9" ht="12.3" x14ac:dyDescent="0.4">
      <c r="A119" s="137">
        <f>G63</f>
        <v>245.48716122623591</v>
      </c>
      <c r="B119" s="124"/>
      <c r="C119" s="124"/>
      <c r="D119" s="124"/>
      <c r="E119" s="164"/>
      <c r="F119" s="164"/>
      <c r="G119" s="164"/>
      <c r="H119" s="139">
        <f>A119/A114</f>
        <v>6.6347881412496195</v>
      </c>
      <c r="I119" s="140">
        <f>H119</f>
        <v>6.6347881412496195</v>
      </c>
    </row>
    <row r="120" spans="1:9" ht="12.3" x14ac:dyDescent="0.4">
      <c r="A120" s="137">
        <f>H63</f>
        <v>259.90991501799726</v>
      </c>
      <c r="B120" s="124"/>
      <c r="C120" s="124"/>
      <c r="D120" s="124"/>
      <c r="E120" s="164"/>
      <c r="F120" s="164"/>
      <c r="G120" s="164"/>
      <c r="H120" s="164"/>
      <c r="I120" s="140">
        <f>A120/A114</f>
        <v>7.0245922977837099</v>
      </c>
    </row>
    <row r="121" spans="1:9" ht="12.3" x14ac:dyDescent="0.4">
      <c r="A121" s="137">
        <f>I63</f>
        <v>275.60002335374611</v>
      </c>
      <c r="B121" s="124"/>
      <c r="C121" s="124"/>
      <c r="D121" s="124"/>
      <c r="E121" s="164"/>
      <c r="F121" s="164"/>
      <c r="G121" s="164"/>
      <c r="H121" s="164"/>
      <c r="I121" s="224"/>
    </row>
    <row r="122" spans="1:9" ht="12.3" x14ac:dyDescent="0.4">
      <c r="A122" s="128" t="s">
        <v>175</v>
      </c>
      <c r="B122" s="124"/>
      <c r="C122" s="219"/>
      <c r="D122" s="219"/>
      <c r="E122" s="212">
        <f t="shared" ref="E122:I122" si="49">SUM(E115:E121)</f>
        <v>175.43243243243242</v>
      </c>
      <c r="F122" s="212">
        <f t="shared" si="49"/>
        <v>179.36775327875424</v>
      </c>
      <c r="G122" s="212">
        <f t="shared" si="49"/>
        <v>185.64368194591651</v>
      </c>
      <c r="H122" s="212">
        <f t="shared" si="49"/>
        <v>192.27847008716614</v>
      </c>
      <c r="I122" s="213">
        <f t="shared" si="49"/>
        <v>199.30306238494984</v>
      </c>
    </row>
    <row r="123" spans="1:9" ht="14.1" x14ac:dyDescent="0.5">
      <c r="A123" s="123"/>
      <c r="B123" s="165"/>
      <c r="C123" s="165"/>
      <c r="D123" s="165"/>
      <c r="E123" s="165"/>
      <c r="F123" s="165"/>
      <c r="G123" s="165"/>
      <c r="H123" s="165"/>
      <c r="I123" s="239"/>
    </row>
    <row r="124" spans="1:9" ht="12.3" x14ac:dyDescent="0.4">
      <c r="A124" s="197" t="str">
        <f>A53</f>
        <v>Construction work in progress</v>
      </c>
      <c r="B124" s="214"/>
      <c r="C124" s="124"/>
      <c r="D124" s="124"/>
      <c r="E124" s="124"/>
      <c r="F124" s="124"/>
      <c r="G124" s="124"/>
      <c r="H124" s="124"/>
      <c r="I124" s="168"/>
    </row>
    <row r="125" spans="1:9" ht="12.3" x14ac:dyDescent="0.4">
      <c r="A125" s="200">
        <f>Assumptions!C23</f>
        <v>25</v>
      </c>
      <c r="B125" s="201" t="s">
        <v>158</v>
      </c>
      <c r="C125" s="124"/>
      <c r="D125" s="124"/>
      <c r="E125" s="124"/>
      <c r="F125" s="124"/>
      <c r="G125" s="124"/>
      <c r="H125" s="124"/>
      <c r="I125" s="168"/>
    </row>
    <row r="126" spans="1:9" ht="12.3" x14ac:dyDescent="0.4">
      <c r="A126" s="128" t="str">
        <f t="shared" ref="A126:A127" si="50">A115</f>
        <v>Depreciation of Existing Asset</v>
      </c>
      <c r="B126" s="124"/>
      <c r="C126" s="124"/>
      <c r="D126" s="124"/>
      <c r="E126" s="139">
        <f>D64/A125</f>
        <v>87.36</v>
      </c>
      <c r="F126" s="139">
        <f t="shared" ref="F126:I126" si="51">E126</f>
        <v>87.36</v>
      </c>
      <c r="G126" s="139">
        <f t="shared" si="51"/>
        <v>87.36</v>
      </c>
      <c r="H126" s="139">
        <f t="shared" si="51"/>
        <v>87.36</v>
      </c>
      <c r="I126" s="140">
        <f t="shared" si="51"/>
        <v>87.36</v>
      </c>
    </row>
    <row r="127" spans="1:9" ht="12.3" x14ac:dyDescent="0.4">
      <c r="A127" s="128" t="str">
        <f t="shared" si="50"/>
        <v xml:space="preserve">New Capex </v>
      </c>
      <c r="B127" s="124"/>
      <c r="C127" s="124"/>
      <c r="D127" s="124"/>
      <c r="E127" s="164"/>
      <c r="F127" s="164"/>
      <c r="G127" s="164"/>
      <c r="H127" s="164"/>
      <c r="I127" s="224"/>
    </row>
    <row r="128" spans="1:9" ht="12.3" x14ac:dyDescent="0.4">
      <c r="A128" s="137">
        <f>E64</f>
        <v>109.20000000000027</v>
      </c>
      <c r="B128" s="124"/>
      <c r="C128" s="124"/>
      <c r="D128" s="124"/>
      <c r="E128" s="164"/>
      <c r="F128" s="139">
        <f>A128/A125</f>
        <v>4.368000000000011</v>
      </c>
      <c r="G128" s="139">
        <f t="shared" ref="G128:I128" si="52">F128</f>
        <v>4.368000000000011</v>
      </c>
      <c r="H128" s="139">
        <f t="shared" si="52"/>
        <v>4.368000000000011</v>
      </c>
      <c r="I128" s="140">
        <f t="shared" si="52"/>
        <v>4.368000000000011</v>
      </c>
    </row>
    <row r="129" spans="1:13" ht="12.3" x14ac:dyDescent="0.4">
      <c r="A129" s="137">
        <f>F64</f>
        <v>114.66000000000031</v>
      </c>
      <c r="B129" s="124"/>
      <c r="C129" s="124"/>
      <c r="D129" s="124"/>
      <c r="E129" s="164"/>
      <c r="F129" s="164"/>
      <c r="G129" s="139">
        <f>A129/A125</f>
        <v>4.5864000000000127</v>
      </c>
      <c r="H129" s="139">
        <f t="shared" ref="H129:I129" si="53">G129</f>
        <v>4.5864000000000127</v>
      </c>
      <c r="I129" s="140">
        <f t="shared" si="53"/>
        <v>4.5864000000000127</v>
      </c>
    </row>
    <row r="130" spans="1:13" ht="12.3" x14ac:dyDescent="0.4">
      <c r="A130" s="137">
        <f>G64</f>
        <v>120.39300000000003</v>
      </c>
      <c r="B130" s="124"/>
      <c r="C130" s="124"/>
      <c r="D130" s="124"/>
      <c r="E130" s="164"/>
      <c r="F130" s="164"/>
      <c r="G130" s="164"/>
      <c r="H130" s="139">
        <f>A130/A125</f>
        <v>4.8157200000000016</v>
      </c>
      <c r="I130" s="140">
        <f>H130</f>
        <v>4.8157200000000016</v>
      </c>
    </row>
    <row r="131" spans="1:13" ht="12.3" x14ac:dyDescent="0.4">
      <c r="A131" s="137">
        <f>H64</f>
        <v>126.41265000000021</v>
      </c>
      <c r="B131" s="124"/>
      <c r="C131" s="124"/>
      <c r="D131" s="124"/>
      <c r="E131" s="164"/>
      <c r="F131" s="164"/>
      <c r="G131" s="164"/>
      <c r="H131" s="164"/>
      <c r="I131" s="140">
        <f>A131/A125</f>
        <v>5.0565060000000086</v>
      </c>
    </row>
    <row r="132" spans="1:13" ht="12.3" x14ac:dyDescent="0.4">
      <c r="A132" s="137">
        <f>I64</f>
        <v>132.73328250000031</v>
      </c>
      <c r="B132" s="124"/>
      <c r="C132" s="124"/>
      <c r="D132" s="124"/>
      <c r="E132" s="164"/>
      <c r="F132" s="164"/>
      <c r="G132" s="164"/>
      <c r="H132" s="164"/>
      <c r="I132" s="224"/>
    </row>
    <row r="133" spans="1:13" ht="12.3" x14ac:dyDescent="0.4">
      <c r="A133" s="183" t="s">
        <v>175</v>
      </c>
      <c r="B133" s="125"/>
      <c r="C133" s="186"/>
      <c r="D133" s="186"/>
      <c r="E133" s="246">
        <f t="shared" ref="E133:I133" si="54">SUM(E126:E132)</f>
        <v>87.36</v>
      </c>
      <c r="F133" s="246">
        <f t="shared" si="54"/>
        <v>91.728000000000009</v>
      </c>
      <c r="G133" s="246">
        <f t="shared" si="54"/>
        <v>96.31440000000002</v>
      </c>
      <c r="H133" s="246">
        <f t="shared" si="54"/>
        <v>101.13012000000002</v>
      </c>
      <c r="I133" s="248">
        <f t="shared" si="54"/>
        <v>106.18662600000003</v>
      </c>
    </row>
    <row r="134" spans="1:13" ht="12.3" x14ac:dyDescent="0.4">
      <c r="A134" s="185" t="s">
        <v>217</v>
      </c>
      <c r="B134" s="186"/>
      <c r="C134" s="186"/>
      <c r="D134" s="186"/>
      <c r="E134" s="189">
        <f t="shared" ref="E134:I134" si="55">E133+E122+E111+E100+E89+E78</f>
        <v>1899.0781467181466</v>
      </c>
      <c r="F134" s="189">
        <f t="shared" si="55"/>
        <v>1970.0868460031313</v>
      </c>
      <c r="G134" s="189">
        <f t="shared" si="55"/>
        <v>2040.3954614703034</v>
      </c>
      <c r="H134" s="189">
        <f t="shared" si="55"/>
        <v>2114.6914128310937</v>
      </c>
      <c r="I134" s="187">
        <f t="shared" si="55"/>
        <v>2193.3102222045527</v>
      </c>
      <c r="J134" s="249"/>
      <c r="K134" s="249"/>
      <c r="L134" s="249"/>
      <c r="M134" s="249"/>
    </row>
    <row r="135" spans="1:13" ht="14.1" x14ac:dyDescent="0.5">
      <c r="A135" s="165"/>
      <c r="B135" s="165"/>
      <c r="C135" s="165"/>
      <c r="D135" s="165"/>
      <c r="E135" s="165"/>
      <c r="F135" s="165"/>
      <c r="G135" s="165"/>
      <c r="H135" s="165"/>
      <c r="I135" s="165"/>
    </row>
    <row r="136" spans="1:13" ht="12.3" x14ac:dyDescent="0.4">
      <c r="A136" s="532" t="s">
        <v>219</v>
      </c>
      <c r="B136" s="489"/>
      <c r="C136" s="489"/>
      <c r="D136" s="489"/>
      <c r="E136" s="489"/>
      <c r="F136" s="489"/>
      <c r="G136" s="489"/>
      <c r="H136" s="489"/>
      <c r="I136" s="490"/>
    </row>
    <row r="137" spans="1:13" ht="12.3" x14ac:dyDescent="0.4">
      <c r="A137" s="533" t="s">
        <v>106</v>
      </c>
      <c r="B137" s="486"/>
      <c r="C137" s="486"/>
      <c r="D137" s="486"/>
      <c r="E137" s="486"/>
      <c r="F137" s="486"/>
      <c r="G137" s="486"/>
      <c r="H137" s="486"/>
      <c r="I137" s="487"/>
    </row>
    <row r="138" spans="1:13" ht="12.3" x14ac:dyDescent="0.4">
      <c r="A138" s="536" t="s">
        <v>44</v>
      </c>
      <c r="B138" s="489"/>
      <c r="C138" s="489"/>
      <c r="D138" s="489"/>
      <c r="E138" s="489"/>
      <c r="F138" s="489"/>
      <c r="G138" s="489"/>
      <c r="H138" s="489"/>
      <c r="I138" s="490"/>
    </row>
    <row r="139" spans="1:13" ht="12.3" x14ac:dyDescent="0.4">
      <c r="A139" s="166"/>
      <c r="B139" s="124"/>
      <c r="C139" s="250">
        <f t="shared" ref="C139:I139" si="56">C41</f>
        <v>2015</v>
      </c>
      <c r="D139" s="251">
        <f t="shared" si="56"/>
        <v>2016</v>
      </c>
      <c r="E139" s="250" t="str">
        <f t="shared" si="56"/>
        <v>2017E</v>
      </c>
      <c r="F139" s="250" t="str">
        <f t="shared" si="56"/>
        <v>2018E</v>
      </c>
      <c r="G139" s="250" t="str">
        <f t="shared" si="56"/>
        <v>2019E</v>
      </c>
      <c r="H139" s="250" t="str">
        <f t="shared" si="56"/>
        <v>2020E</v>
      </c>
      <c r="I139" s="251" t="str">
        <f t="shared" si="56"/>
        <v>2021E</v>
      </c>
    </row>
    <row r="140" spans="1:13" ht="12.3" x14ac:dyDescent="0.4">
      <c r="A140" s="128" t="str">
        <f>'Source Data'!B116</f>
        <v>Cost of purchased power</v>
      </c>
      <c r="B140" s="124"/>
      <c r="C140" s="135">
        <f>'Source Data'!F116</f>
        <v>4805</v>
      </c>
      <c r="D140" s="252">
        <f>'Source Data'!G116</f>
        <v>4510</v>
      </c>
      <c r="E140" s="208">
        <f>D140*(1+Assumptions!$C$27)</f>
        <v>4718.5193567552451</v>
      </c>
      <c r="F140" s="208">
        <f>E140*(1+Assumptions!$C$27)</f>
        <v>4936.6795831649515</v>
      </c>
      <c r="G140" s="208">
        <f>F140*(1+Assumptions!$C$27)</f>
        <v>5164.9264237832012</v>
      </c>
      <c r="H140" s="208">
        <f>G140*(1+Assumptions!$C$27)</f>
        <v>5403.7262321147846</v>
      </c>
      <c r="I140" s="209">
        <f>H140*(1+Assumptions!$C$27)</f>
        <v>5653.5669234677825</v>
      </c>
    </row>
    <row r="141" spans="1:13" ht="12.3" x14ac:dyDescent="0.4">
      <c r="A141" s="128" t="str">
        <f>'Source Data'!B117</f>
        <v>Fuel used in own generation facilities</v>
      </c>
      <c r="B141" s="124"/>
      <c r="C141" s="135">
        <f>'Source Data'!F117</f>
        <v>294</v>
      </c>
      <c r="D141" s="252">
        <f>'Source Data'!G117</f>
        <v>255</v>
      </c>
      <c r="E141" s="208">
        <f>D141*(1+Assumptions!$C$28)</f>
        <v>249.11238478647189</v>
      </c>
      <c r="F141" s="208">
        <f>E141*(1+Assumptions!$C$28)</f>
        <v>243.36070687844403</v>
      </c>
      <c r="G141" s="208">
        <f>F141*(1+Assumptions!$C$28)</f>
        <v>237.74182766200292</v>
      </c>
      <c r="H141" s="208">
        <f>G141*(1+Assumptions!$C$28)</f>
        <v>232.25268098970963</v>
      </c>
      <c r="I141" s="209">
        <f>H141*(1+Assumptions!$C$28)</f>
        <v>226.89027150744411</v>
      </c>
    </row>
    <row r="142" spans="1:13" ht="12.3" x14ac:dyDescent="0.4">
      <c r="A142" s="128" t="str">
        <f>'Source Data'!B118</f>
        <v>Total cost of electricity</v>
      </c>
      <c r="B142" s="124"/>
      <c r="C142" s="135">
        <f>'Source Data'!F118</f>
        <v>5099</v>
      </c>
      <c r="D142" s="252">
        <f>'Source Data'!G118</f>
        <v>4765</v>
      </c>
      <c r="E142" s="208">
        <f t="shared" ref="E142:I142" si="57">SUM(E140:E141)</f>
        <v>4967.631741541717</v>
      </c>
      <c r="F142" s="208">
        <f t="shared" si="57"/>
        <v>5180.0402900433955</v>
      </c>
      <c r="G142" s="208">
        <f t="shared" si="57"/>
        <v>5402.6682514452041</v>
      </c>
      <c r="H142" s="208">
        <f t="shared" si="57"/>
        <v>5635.9789131044945</v>
      </c>
      <c r="I142" s="209">
        <f t="shared" si="57"/>
        <v>5880.4571949752262</v>
      </c>
    </row>
    <row r="143" spans="1:13" ht="12.3" x14ac:dyDescent="0.4">
      <c r="A143" s="128" t="str">
        <f>'Source Data'!B119</f>
        <v>Average cost of purchased power per kWh</v>
      </c>
      <c r="B143" s="124"/>
      <c r="C143" s="253">
        <f>'Source Data'!F119</f>
        <v>0.1</v>
      </c>
      <c r="D143" s="254">
        <f>'Source Data'!G119</f>
        <v>0.109</v>
      </c>
      <c r="E143" s="255">
        <f>D143*(1+Assumptions!$C$29)</f>
        <v>0.11009000000000001</v>
      </c>
      <c r="F143" s="255">
        <f>E143*(1+Assumptions!$C$29)</f>
        <v>0.11119090000000001</v>
      </c>
      <c r="G143" s="255">
        <f>F143*(1+Assumptions!$C$29)</f>
        <v>0.112302809</v>
      </c>
      <c r="H143" s="255">
        <f>G143*(1+Assumptions!$C$29)</f>
        <v>0.11342583709000001</v>
      </c>
      <c r="I143" s="256">
        <f>H143*(1+Assumptions!$C$29)</f>
        <v>0.11456009546090001</v>
      </c>
    </row>
    <row r="144" spans="1:13" ht="12.3" x14ac:dyDescent="0.4">
      <c r="A144" s="128" t="str">
        <f>'Source Data'!B120</f>
        <v>Total purchased power (in millions of kWh)</v>
      </c>
      <c r="B144" s="124"/>
      <c r="C144" s="257">
        <f>'Source Data'!F120</f>
        <v>48175</v>
      </c>
      <c r="D144" s="258">
        <f>'Source Data'!G120</f>
        <v>41324</v>
      </c>
      <c r="E144" s="259">
        <f t="shared" ref="E144:I144" si="58">E140/E143</f>
        <v>42860.562782770867</v>
      </c>
      <c r="F144" s="259">
        <f t="shared" si="58"/>
        <v>44398.233876737671</v>
      </c>
      <c r="G144" s="259">
        <f t="shared" si="58"/>
        <v>45991.070657753546</v>
      </c>
      <c r="H144" s="259">
        <f t="shared" si="58"/>
        <v>47641.052257142168</v>
      </c>
      <c r="I144" s="260">
        <f t="shared" si="58"/>
        <v>49350.228809798573</v>
      </c>
    </row>
    <row r="145" spans="1:9" ht="12.3" x14ac:dyDescent="0.4">
      <c r="A145" s="535" t="s">
        <v>51</v>
      </c>
      <c r="B145" s="486"/>
      <c r="C145" s="486"/>
      <c r="D145" s="486"/>
      <c r="E145" s="486"/>
      <c r="F145" s="486"/>
      <c r="G145" s="486"/>
      <c r="H145" s="486"/>
      <c r="I145" s="487"/>
    </row>
    <row r="146" spans="1:9" ht="12.3" x14ac:dyDescent="0.4">
      <c r="A146" s="128" t="str">
        <f>'Source Data'!B125</f>
        <v>Cost of natural gas sold</v>
      </c>
      <c r="B146" s="124"/>
      <c r="C146" s="135">
        <f>'Source Data'!F125</f>
        <v>518</v>
      </c>
      <c r="D146" s="252">
        <f>'Source Data'!G125</f>
        <v>481</v>
      </c>
      <c r="E146" s="208">
        <f>D146*(1+Assumptions!$C$32)</f>
        <v>452.97450211422029</v>
      </c>
      <c r="F146" s="208">
        <f>E146*(1+Assumptions!$C$32)</f>
        <v>426.58191177884771</v>
      </c>
      <c r="G146" s="208">
        <f>F146*(1+Assumptions!$C$32)</f>
        <v>401.72708752381658</v>
      </c>
      <c r="H146" s="208">
        <f>G146*(1+Assumptions!$C$32)</f>
        <v>378.32043130331937</v>
      </c>
      <c r="I146" s="209">
        <f>H146*(1+Assumptions!$C$32)</f>
        <v>356.27756550781322</v>
      </c>
    </row>
    <row r="147" spans="1:9" ht="12.3" x14ac:dyDescent="0.4">
      <c r="A147" s="128" t="str">
        <f>'Source Data'!B126</f>
        <v xml:space="preserve">Transportation cost </v>
      </c>
      <c r="B147" s="124"/>
      <c r="C147" s="135">
        <f>'Source Data'!F126</f>
        <v>145</v>
      </c>
      <c r="D147" s="252">
        <f>'Source Data'!G126</f>
        <v>134</v>
      </c>
      <c r="E147" s="208">
        <f>D147*(1+Assumptions!$C$33)</f>
        <v>123.90153867040848</v>
      </c>
      <c r="F147" s="208">
        <f>E147*(1+Assumptions!$C$33)</f>
        <v>114.56411406637858</v>
      </c>
      <c r="G147" s="208">
        <f>F147*(1+Assumptions!$C$33)</f>
        <v>105.93037320325742</v>
      </c>
      <c r="H147" s="208">
        <f>G147*(1+Assumptions!$C$33)</f>
        <v>97.947285312046276</v>
      </c>
      <c r="I147" s="209">
        <f>H147*(1+Assumptions!$C$33)</f>
        <v>90.565816110089813</v>
      </c>
    </row>
    <row r="148" spans="1:9" ht="12.3" x14ac:dyDescent="0.4">
      <c r="A148" s="128" t="str">
        <f>'Source Data'!B127</f>
        <v>Total cost of natural gas</v>
      </c>
      <c r="B148" s="124"/>
      <c r="C148" s="135">
        <f>'Source Data'!F127</f>
        <v>663</v>
      </c>
      <c r="D148" s="252">
        <f>'Source Data'!G127</f>
        <v>615</v>
      </c>
      <c r="E148" s="208">
        <f t="shared" ref="E148:I148" si="59">SUM(E146:E147)</f>
        <v>576.8760407846288</v>
      </c>
      <c r="F148" s="208">
        <f t="shared" si="59"/>
        <v>541.14602584522629</v>
      </c>
      <c r="G148" s="208">
        <f t="shared" si="59"/>
        <v>507.65746072707401</v>
      </c>
      <c r="H148" s="208">
        <f t="shared" si="59"/>
        <v>476.26771661536566</v>
      </c>
      <c r="I148" s="209">
        <f t="shared" si="59"/>
        <v>446.84338161790305</v>
      </c>
    </row>
    <row r="149" spans="1:9" ht="12.3" x14ac:dyDescent="0.4">
      <c r="A149" s="128" t="str">
        <f>'Source Data'!B128</f>
        <v>Average cost per Mcf of natural gas sold</v>
      </c>
      <c r="B149" s="124"/>
      <c r="C149" s="263">
        <f>'Source Data'!F128</f>
        <v>2.74</v>
      </c>
      <c r="D149" s="264">
        <f>'Source Data'!G128</f>
        <v>2.4500000000000002</v>
      </c>
      <c r="E149" s="266">
        <f>D149*(1+Assumptions!$C$34)</f>
        <v>2.4329241091117164</v>
      </c>
      <c r="F149" s="266">
        <f>E149*(1+Assumptions!$C$34)</f>
        <v>2.4159672329375668</v>
      </c>
      <c r="G149" s="266">
        <f>F149*(1+Assumptions!$C$34)</f>
        <v>2.3991285419745827</v>
      </c>
      <c r="H149" s="266">
        <f>G149*(1+Assumptions!$C$34)</f>
        <v>2.3824072125012257</v>
      </c>
      <c r="I149" s="268">
        <f>H149*(1+Assumptions!$C$34)</f>
        <v>2.3658024265370905</v>
      </c>
    </row>
    <row r="150" spans="1:9" ht="12.3" x14ac:dyDescent="0.4">
      <c r="A150" s="183" t="str">
        <f>'Source Data'!B129</f>
        <v>Total natural gas sold (in millions of Mcf)</v>
      </c>
      <c r="B150" s="125"/>
      <c r="C150" s="269">
        <f>'Source Data'!F129</f>
        <v>189</v>
      </c>
      <c r="D150" s="270">
        <f>'Source Data'!G129</f>
        <v>196</v>
      </c>
      <c r="E150" s="271">
        <f t="shared" ref="E150:I150" si="60">E146/E149</f>
        <v>186.18521655392101</v>
      </c>
      <c r="F150" s="271">
        <f t="shared" si="60"/>
        <v>176.56775554036307</v>
      </c>
      <c r="G150" s="271">
        <f t="shared" si="60"/>
        <v>167.44708776345033</v>
      </c>
      <c r="H150" s="271">
        <f t="shared" si="60"/>
        <v>158.7975511987016</v>
      </c>
      <c r="I150" s="272">
        <f t="shared" si="60"/>
        <v>150.5948094022836</v>
      </c>
    </row>
    <row r="151" spans="1:9" ht="12.3" x14ac:dyDescent="0.4">
      <c r="A151" s="534" t="s">
        <v>246</v>
      </c>
      <c r="B151" s="489"/>
      <c r="C151" s="489"/>
      <c r="D151" s="489"/>
      <c r="E151" s="489"/>
      <c r="F151" s="489"/>
      <c r="G151" s="489"/>
      <c r="H151" s="489"/>
      <c r="I151" s="490"/>
    </row>
    <row r="152" spans="1:9" ht="12.3" x14ac:dyDescent="0.4">
      <c r="A152" s="273"/>
      <c r="B152" s="274"/>
      <c r="C152" s="275">
        <v>2015</v>
      </c>
      <c r="D152" s="275">
        <v>2016</v>
      </c>
      <c r="E152" s="276" t="str">
        <f t="shared" ref="E152:I152" si="61">E139</f>
        <v>2017E</v>
      </c>
      <c r="F152" s="276" t="str">
        <f t="shared" si="61"/>
        <v>2018E</v>
      </c>
      <c r="G152" s="276" t="str">
        <f t="shared" si="61"/>
        <v>2019E</v>
      </c>
      <c r="H152" s="276" t="str">
        <f t="shared" si="61"/>
        <v>2020E</v>
      </c>
      <c r="I152" s="277" t="str">
        <f t="shared" si="61"/>
        <v>2021E</v>
      </c>
    </row>
    <row r="153" spans="1:9" ht="12.3" x14ac:dyDescent="0.4">
      <c r="A153" s="99" t="s">
        <v>194</v>
      </c>
      <c r="B153" s="89"/>
      <c r="C153" s="278">
        <f>'Source Data'!F178</f>
        <v>5099</v>
      </c>
      <c r="D153" s="279">
        <f>'Source Data'!G178</f>
        <v>4765</v>
      </c>
      <c r="E153" s="280">
        <f t="shared" ref="E153:I153" si="62">E142</f>
        <v>4967.631741541717</v>
      </c>
      <c r="F153" s="280">
        <f t="shared" si="62"/>
        <v>5180.0402900433955</v>
      </c>
      <c r="G153" s="280">
        <f t="shared" si="62"/>
        <v>5402.6682514452041</v>
      </c>
      <c r="H153" s="280">
        <f t="shared" si="62"/>
        <v>5635.9789131044945</v>
      </c>
      <c r="I153" s="282">
        <f t="shared" si="62"/>
        <v>5880.4571949752262</v>
      </c>
    </row>
    <row r="154" spans="1:9" ht="12.3" x14ac:dyDescent="0.4">
      <c r="A154" s="99" t="s">
        <v>195</v>
      </c>
      <c r="B154" s="89"/>
      <c r="C154" s="283">
        <f>'Source Data'!F179</f>
        <v>663</v>
      </c>
      <c r="D154" s="284">
        <f>'Source Data'!G179</f>
        <v>615</v>
      </c>
      <c r="E154" s="280">
        <f t="shared" ref="E154:I154" si="63">E148</f>
        <v>576.8760407846288</v>
      </c>
      <c r="F154" s="280">
        <f t="shared" si="63"/>
        <v>541.14602584522629</v>
      </c>
      <c r="G154" s="280">
        <f t="shared" si="63"/>
        <v>507.65746072707401</v>
      </c>
      <c r="H154" s="280">
        <f t="shared" si="63"/>
        <v>476.26771661536566</v>
      </c>
      <c r="I154" s="282">
        <f t="shared" si="63"/>
        <v>446.84338161790305</v>
      </c>
    </row>
    <row r="155" spans="1:9" ht="12.3" x14ac:dyDescent="0.4">
      <c r="A155" s="99" t="s">
        <v>54</v>
      </c>
      <c r="B155" s="228"/>
      <c r="C155" s="278">
        <f>'Source Data'!F180</f>
        <v>6951</v>
      </c>
      <c r="D155" s="279">
        <f>'Source Data'!G180</f>
        <v>7354</v>
      </c>
      <c r="E155" s="289">
        <f>(Assumptions!$C$36+1)*D155</f>
        <v>7760.9856816233059</v>
      </c>
      <c r="F155" s="289">
        <f>(Assumptions!$C$36+1)*E155</f>
        <v>8190.4947987982005</v>
      </c>
      <c r="G155" s="289">
        <f>(Assumptions!$C$36+1)*F155</f>
        <v>8643.7738453743532</v>
      </c>
      <c r="H155" s="289">
        <f>(Assumptions!$C$36+1)*G155</f>
        <v>9122.1382987680681</v>
      </c>
      <c r="I155" s="291">
        <f>(Assumptions!$C$36+1)*H155</f>
        <v>9626.976437656589</v>
      </c>
    </row>
    <row r="156" spans="1:9" ht="12.3" x14ac:dyDescent="0.4">
      <c r="A156" s="87" t="s">
        <v>196</v>
      </c>
      <c r="B156" s="292"/>
      <c r="C156" s="294">
        <f>'Source Data'!F181</f>
        <v>2612</v>
      </c>
      <c r="D156" s="295">
        <f>'Source Data'!G181</f>
        <v>2755</v>
      </c>
      <c r="E156" s="296">
        <f t="shared" ref="E156:I156" si="64">E134+1000</f>
        <v>2899.0781467181469</v>
      </c>
      <c r="F156" s="296">
        <f t="shared" si="64"/>
        <v>2970.0868460031315</v>
      </c>
      <c r="G156" s="296">
        <f t="shared" si="64"/>
        <v>3040.3954614703034</v>
      </c>
      <c r="H156" s="296">
        <f t="shared" si="64"/>
        <v>3114.6914128310937</v>
      </c>
      <c r="I156" s="297">
        <f t="shared" si="64"/>
        <v>3193.3102222045527</v>
      </c>
    </row>
    <row r="157" spans="1:9" ht="12.3" x14ac:dyDescent="0.4">
      <c r="A157" s="298"/>
      <c r="B157" s="298"/>
      <c r="C157" s="298"/>
      <c r="D157" s="298"/>
      <c r="E157" s="298"/>
      <c r="F157" s="298"/>
      <c r="G157" s="298"/>
      <c r="H157" s="298"/>
      <c r="I157" s="298"/>
    </row>
    <row r="158" spans="1:9" ht="12.3" x14ac:dyDescent="0.4">
      <c r="A158" s="298"/>
      <c r="B158" s="298"/>
      <c r="C158" s="298"/>
      <c r="D158" s="298"/>
      <c r="E158" s="298"/>
      <c r="F158" s="298"/>
      <c r="G158" s="298"/>
      <c r="H158" s="298"/>
      <c r="I158" s="298"/>
    </row>
    <row r="159" spans="1:9" ht="12.3" x14ac:dyDescent="0.4">
      <c r="A159" s="534" t="s">
        <v>55</v>
      </c>
      <c r="B159" s="489"/>
      <c r="C159" s="489"/>
      <c r="D159" s="489"/>
      <c r="E159" s="489"/>
      <c r="F159" s="489"/>
      <c r="G159" s="489"/>
      <c r="H159" s="489"/>
      <c r="I159" s="490"/>
    </row>
    <row r="160" spans="1:9" ht="12.3" x14ac:dyDescent="0.4">
      <c r="A160" s="534" t="s">
        <v>277</v>
      </c>
      <c r="B160" s="489"/>
      <c r="C160" s="489"/>
      <c r="D160" s="489"/>
      <c r="E160" s="489"/>
      <c r="F160" s="489"/>
      <c r="G160" s="489"/>
      <c r="H160" s="489"/>
      <c r="I160" s="490"/>
    </row>
    <row r="161" spans="1:10" ht="12.3" x14ac:dyDescent="0.4">
      <c r="A161" s="299" t="s">
        <v>283</v>
      </c>
      <c r="B161" s="300"/>
      <c r="C161" s="301">
        <v>2015</v>
      </c>
      <c r="D161" s="302">
        <v>2016</v>
      </c>
      <c r="E161" s="303" t="str">
        <f t="shared" ref="E161:I161" si="65">E152</f>
        <v>2017E</v>
      </c>
      <c r="F161" s="303" t="str">
        <f t="shared" si="65"/>
        <v>2018E</v>
      </c>
      <c r="G161" s="303" t="str">
        <f t="shared" si="65"/>
        <v>2019E</v>
      </c>
      <c r="H161" s="303" t="str">
        <f t="shared" si="65"/>
        <v>2020E</v>
      </c>
      <c r="I161" s="304" t="str">
        <f t="shared" si="65"/>
        <v>2021E</v>
      </c>
    </row>
    <row r="162" spans="1:10" ht="12.3" x14ac:dyDescent="0.4">
      <c r="A162" s="299" t="str">
        <f>Assumptions!B40</f>
        <v>Accounts receivable</v>
      </c>
      <c r="B162" s="298"/>
      <c r="C162" s="298"/>
      <c r="D162" s="305"/>
      <c r="E162" s="280"/>
      <c r="F162" s="280"/>
      <c r="G162" s="280"/>
      <c r="H162" s="280"/>
      <c r="I162" s="282"/>
      <c r="J162" s="2"/>
    </row>
    <row r="163" spans="1:10" ht="12.3" x14ac:dyDescent="0.4">
      <c r="A163" s="299" t="str">
        <f>Assumptions!B41</f>
        <v>Customers</v>
      </c>
      <c r="B163" s="306"/>
      <c r="C163" s="307">
        <f>'Source Data'!F207</f>
        <v>1106</v>
      </c>
      <c r="D163" s="308">
        <f>'Source Data'!G207</f>
        <v>1252</v>
      </c>
      <c r="E163" s="309">
        <f>Assumptions!$C$41*E38</f>
        <v>1198.2521556905895</v>
      </c>
      <c r="F163" s="309">
        <f>Assumptions!$C$41*F38</f>
        <v>1240.1780031014146</v>
      </c>
      <c r="G163" s="309">
        <f>Assumptions!$C$41*G38</f>
        <v>1284.5011829789448</v>
      </c>
      <c r="H163" s="309">
        <f>Assumptions!$C$41*H38</f>
        <v>1331.4284188382562</v>
      </c>
      <c r="I163" s="311">
        <f>Assumptions!$C$41*I38</f>
        <v>1381.1885339837572</v>
      </c>
      <c r="J163" s="2"/>
    </row>
    <row r="164" spans="1:10" ht="12.3" x14ac:dyDescent="0.4">
      <c r="A164" s="299" t="str">
        <f>Assumptions!B42</f>
        <v>Accrued unbilled revenue</v>
      </c>
      <c r="B164" s="298"/>
      <c r="C164" s="307">
        <f>'Source Data'!F208</f>
        <v>855</v>
      </c>
      <c r="D164" s="308">
        <f>'Source Data'!G208</f>
        <v>1098</v>
      </c>
      <c r="E164" s="309">
        <f>Assumptions!$C$42*E38</f>
        <v>951.46934347282536</v>
      </c>
      <c r="F164" s="309">
        <f>Assumptions!$C$42*F38</f>
        <v>984.76046531314364</v>
      </c>
      <c r="G164" s="309">
        <f>Assumptions!$C$42*G38</f>
        <v>1019.955183435221</v>
      </c>
      <c r="H164" s="309">
        <f>Assumptions!$C$42*H38</f>
        <v>1057.2176461664649</v>
      </c>
      <c r="I164" s="311">
        <f>Assumptions!$C$42*I38</f>
        <v>1096.729550120717</v>
      </c>
      <c r="J164" s="2"/>
    </row>
    <row r="165" spans="1:10" ht="12.3" x14ac:dyDescent="0.4">
      <c r="A165" s="299" t="str">
        <f>Assumptions!B43</f>
        <v>Regulatory balancing accounts</v>
      </c>
      <c r="B165" s="298"/>
      <c r="C165" s="307">
        <f>'Source Data'!F209</f>
        <v>1760</v>
      </c>
      <c r="D165" s="308">
        <f>'Source Data'!G209</f>
        <v>1500</v>
      </c>
      <c r="E165" s="309">
        <f>Assumptions!$C$43*E38</f>
        <v>1682.5719814079987</v>
      </c>
      <c r="F165" s="309">
        <f>Assumptions!$C$43*F38</f>
        <v>1741.4437771441683</v>
      </c>
      <c r="G165" s="309">
        <f>Assumptions!$C$43*G38</f>
        <v>1803.6818797293945</v>
      </c>
      <c r="H165" s="309">
        <f>Assumptions!$C$43*H38</f>
        <v>1869.5765679607673</v>
      </c>
      <c r="I165" s="311">
        <f>Assumptions!$C$43*I38</f>
        <v>1939.4491529069655</v>
      </c>
    </row>
    <row r="166" spans="1:10" ht="12.3" x14ac:dyDescent="0.4">
      <c r="A166" s="299" t="str">
        <f>Assumptions!B44</f>
        <v>Other</v>
      </c>
      <c r="B166" s="280"/>
      <c r="C166" s="307">
        <f>'Source Data'!F210</f>
        <v>286</v>
      </c>
      <c r="D166" s="308">
        <f>'Source Data'!G210</f>
        <v>801</v>
      </c>
      <c r="E166" s="309">
        <f>Assumptions!$C$44*E38</f>
        <v>474.37962480763287</v>
      </c>
      <c r="F166" s="309">
        <f>Assumptions!$C$44*F38</f>
        <v>490.97777376153709</v>
      </c>
      <c r="G166" s="309">
        <f>Assumptions!$C$44*G38</f>
        <v>508.52500982594137</v>
      </c>
      <c r="H166" s="309">
        <f>Assumptions!$C$44*H38</f>
        <v>527.10317339066239</v>
      </c>
      <c r="I166" s="311">
        <f>Assumptions!$C$44*I38</f>
        <v>546.80285399712295</v>
      </c>
      <c r="J166" s="2"/>
    </row>
    <row r="167" spans="1:10" ht="12.3" x14ac:dyDescent="0.4">
      <c r="A167" s="299" t="str">
        <f>Assumptions!B45</f>
        <v>Inventories</v>
      </c>
      <c r="B167" s="280"/>
      <c r="C167" s="316"/>
      <c r="D167" s="318"/>
      <c r="E167" s="309"/>
      <c r="F167" s="309"/>
      <c r="G167" s="309"/>
      <c r="H167" s="309"/>
      <c r="I167" s="311"/>
      <c r="J167" s="2"/>
    </row>
    <row r="168" spans="1:10" ht="12.3" x14ac:dyDescent="0.4">
      <c r="A168" s="299" t="str">
        <f>Assumptions!B46</f>
        <v>Gas stored underground and fuel oil</v>
      </c>
      <c r="B168" s="280"/>
      <c r="C168" s="316">
        <f>'Source Data'!F213</f>
        <v>126</v>
      </c>
      <c r="D168" s="318">
        <f>'Source Data'!G213</f>
        <v>117</v>
      </c>
      <c r="E168" s="309">
        <f>Assumptions!$C$46*E38</f>
        <v>154.60268622378592</v>
      </c>
      <c r="F168" s="309">
        <f>Assumptions!$C$46*F38</f>
        <v>160.01210576969646</v>
      </c>
      <c r="G168" s="309">
        <f>Assumptions!$C$46*G38</f>
        <v>165.73083753955248</v>
      </c>
      <c r="H168" s="309">
        <f>Assumptions!$C$46*H38</f>
        <v>171.78555372466576</v>
      </c>
      <c r="I168" s="311">
        <f>Assumptions!$C$46*I38</f>
        <v>178.2057779085026</v>
      </c>
      <c r="J168" s="2"/>
    </row>
    <row r="169" spans="1:10" ht="12.3" x14ac:dyDescent="0.4">
      <c r="A169" s="299" t="str">
        <f>Assumptions!B47</f>
        <v>Materials and supplies</v>
      </c>
      <c r="B169" s="280"/>
      <c r="C169" s="316">
        <f>'Source Data'!F214</f>
        <v>313</v>
      </c>
      <c r="D169" s="318">
        <f>'Source Data'!G214</f>
        <v>346</v>
      </c>
      <c r="E169" s="309">
        <f>Assumptions!$C$47*E38</f>
        <v>357.03685373072267</v>
      </c>
      <c r="F169" s="309">
        <f>Assumptions!$C$47*F38</f>
        <v>369.52927661389134</v>
      </c>
      <c r="G169" s="309">
        <f>Assumptions!$C$47*G38</f>
        <v>382.73601996558091</v>
      </c>
      <c r="H169" s="309">
        <f>Assumptions!$C$47*H38</f>
        <v>396.71868009760607</v>
      </c>
      <c r="I169" s="311">
        <f>Assumptions!$C$47*I38</f>
        <v>411.54543827905826</v>
      </c>
      <c r="J169" s="2"/>
    </row>
    <row r="170" spans="1:10" ht="12.3" x14ac:dyDescent="0.4">
      <c r="A170" s="299" t="str">
        <f>Assumptions!B48</f>
        <v>Accounts payable</v>
      </c>
      <c r="B170" s="289"/>
      <c r="C170" s="307"/>
      <c r="D170" s="318"/>
      <c r="E170" s="309"/>
      <c r="F170" s="309"/>
      <c r="G170" s="309"/>
      <c r="H170" s="309"/>
      <c r="I170" s="311"/>
      <c r="J170" s="2"/>
    </row>
    <row r="171" spans="1:10" ht="12.3" x14ac:dyDescent="0.4">
      <c r="A171" s="299" t="str">
        <f>Assumptions!B49</f>
        <v>Trade creditors</v>
      </c>
      <c r="B171" s="289"/>
      <c r="C171" s="307">
        <f>'Source Data'!F239</f>
        <v>1414</v>
      </c>
      <c r="D171" s="308">
        <f>'Source Data'!G239</f>
        <v>1495</v>
      </c>
      <c r="E171" s="309">
        <f>Assumptions!$C$49*E38</f>
        <v>1560.078882318561</v>
      </c>
      <c r="F171" s="309">
        <f>Assumptions!$C$49*F38</f>
        <v>1614.6647462857675</v>
      </c>
      <c r="G171" s="309">
        <f>Assumptions!$C$49*G38</f>
        <v>1672.3718462444488</v>
      </c>
      <c r="H171" s="309">
        <f>Assumptions!$C$49*H38</f>
        <v>1733.4693283745773</v>
      </c>
      <c r="I171" s="311">
        <f>Assumptions!$C$49*I38</f>
        <v>1798.2551119440595</v>
      </c>
      <c r="J171" s="2"/>
    </row>
    <row r="172" spans="1:10" ht="12.3" x14ac:dyDescent="0.4">
      <c r="A172" s="299" t="str">
        <f>Assumptions!B50</f>
        <v>Regulatory balancing accounts</v>
      </c>
      <c r="B172" s="280"/>
      <c r="C172" s="307">
        <f>'Source Data'!F240</f>
        <v>715</v>
      </c>
      <c r="D172" s="308">
        <f>'Source Data'!G240</f>
        <v>645</v>
      </c>
      <c r="E172" s="309">
        <f>Assumptions!$C$50*E38</f>
        <v>673.0775111006501</v>
      </c>
      <c r="F172" s="309">
        <f>Assumptions!$C$50*F38</f>
        <v>696.62793401626755</v>
      </c>
      <c r="G172" s="309">
        <f>Assumptions!$C$50*G38</f>
        <v>721.52497714225376</v>
      </c>
      <c r="H172" s="309">
        <f>Assumptions!$C$50*H38</f>
        <v>747.8847604024096</v>
      </c>
      <c r="I172" s="311">
        <f>Assumptions!$C$50*I38</f>
        <v>775.83581752770453</v>
      </c>
      <c r="J172" s="2"/>
    </row>
    <row r="173" spans="1:10" ht="12.3" x14ac:dyDescent="0.4">
      <c r="A173" s="299" t="str">
        <f>Assumptions!B51</f>
        <v>Other</v>
      </c>
      <c r="C173" s="307">
        <f>'Source Data'!F241</f>
        <v>398</v>
      </c>
      <c r="D173" s="308">
        <f>'Source Data'!G241</f>
        <v>433</v>
      </c>
      <c r="E173" s="78">
        <f>Assumptions!$C$51*E38</f>
        <v>451.84893380865344</v>
      </c>
      <c r="F173" s="78">
        <f>Assumptions!$C$51*F38</f>
        <v>467.65875260316875</v>
      </c>
      <c r="G173" s="78">
        <f>Assumptions!$C$51*G38</f>
        <v>484.37258155441225</v>
      </c>
      <c r="H173" s="78">
        <f>Assumptions!$C$51*H38</f>
        <v>502.06837403758664</v>
      </c>
      <c r="I173" s="326">
        <f>Assumptions!$C$51*I38</f>
        <v>520.83241703797842</v>
      </c>
    </row>
    <row r="174" spans="1:10" ht="12.3" x14ac:dyDescent="0.4">
      <c r="A174" s="7" t="s">
        <v>319</v>
      </c>
      <c r="C174" s="33">
        <f t="shared" ref="C174:I174" si="66">SUM(C163:C169)-SUM(C171:C173)</f>
        <v>1919</v>
      </c>
      <c r="D174" s="328">
        <f t="shared" si="66"/>
        <v>2541</v>
      </c>
      <c r="E174" s="37">
        <f t="shared" si="66"/>
        <v>2133.3073181056911</v>
      </c>
      <c r="F174" s="37">
        <f t="shared" si="66"/>
        <v>2207.9499687986463</v>
      </c>
      <c r="G174" s="37">
        <f t="shared" si="66"/>
        <v>2286.8607085335207</v>
      </c>
      <c r="H174" s="37">
        <f t="shared" si="66"/>
        <v>2370.4075773638492</v>
      </c>
      <c r="I174" s="42">
        <f t="shared" si="66"/>
        <v>2458.9979606863817</v>
      </c>
    </row>
    <row r="175" spans="1:10" ht="12.3" x14ac:dyDescent="0.4">
      <c r="A175" s="119" t="s">
        <v>321</v>
      </c>
      <c r="B175" s="120"/>
      <c r="C175" s="330"/>
      <c r="D175" s="121">
        <f t="shared" ref="D175:I175" si="67">D174-C174</f>
        <v>622</v>
      </c>
      <c r="E175" s="332">
        <f t="shared" si="67"/>
        <v>-407.69268189430886</v>
      </c>
      <c r="F175" s="121">
        <f t="shared" si="67"/>
        <v>74.642650692955158</v>
      </c>
      <c r="G175" s="121">
        <f t="shared" si="67"/>
        <v>78.910739734874369</v>
      </c>
      <c r="H175" s="121">
        <f t="shared" si="67"/>
        <v>83.546868830328549</v>
      </c>
      <c r="I175" s="122">
        <f t="shared" si="67"/>
        <v>88.590383322532489</v>
      </c>
    </row>
    <row r="177" spans="1:16" ht="14.4" x14ac:dyDescent="0.55000000000000004">
      <c r="A177" s="538" t="s">
        <v>322</v>
      </c>
      <c r="B177" s="492"/>
      <c r="C177" s="492"/>
      <c r="D177" s="492"/>
      <c r="E177" s="492"/>
      <c r="F177" s="492"/>
      <c r="G177" s="492"/>
      <c r="H177" s="492"/>
      <c r="I177" s="493"/>
      <c r="J177" s="124"/>
      <c r="K177" s="124"/>
      <c r="L177" s="124"/>
      <c r="M177" s="124"/>
      <c r="N177" s="124"/>
      <c r="P177" s="335"/>
    </row>
    <row r="178" spans="1:16" ht="12.3" x14ac:dyDescent="0.4">
      <c r="A178" s="299" t="s">
        <v>324</v>
      </c>
      <c r="C178" s="301">
        <v>2015</v>
      </c>
      <c r="D178" s="300">
        <v>2016</v>
      </c>
      <c r="E178" s="303" t="str">
        <f t="shared" ref="E178:I178" si="68">E161</f>
        <v>2017E</v>
      </c>
      <c r="F178" s="303" t="str">
        <f t="shared" si="68"/>
        <v>2018E</v>
      </c>
      <c r="G178" s="303" t="str">
        <f t="shared" si="68"/>
        <v>2019E</v>
      </c>
      <c r="H178" s="303" t="str">
        <f t="shared" si="68"/>
        <v>2020E</v>
      </c>
      <c r="I178" s="304" t="str">
        <f t="shared" si="68"/>
        <v>2021E</v>
      </c>
    </row>
    <row r="179" spans="1:16" ht="12.3" x14ac:dyDescent="0.4">
      <c r="A179" s="299"/>
      <c r="B179" s="299" t="s">
        <v>326</v>
      </c>
      <c r="C179" s="280"/>
      <c r="D179" s="9"/>
      <c r="E179" s="194">
        <f>Assumptions!F40</f>
        <v>6.9024338668167262E-2</v>
      </c>
      <c r="F179" s="194">
        <f t="shared" ref="F179:I179" si="69">E179</f>
        <v>6.9024338668167262E-2</v>
      </c>
      <c r="G179" s="194">
        <f t="shared" si="69"/>
        <v>6.9024338668167262E-2</v>
      </c>
      <c r="H179" s="194">
        <f t="shared" si="69"/>
        <v>6.9024338668167262E-2</v>
      </c>
      <c r="I179" s="336">
        <f t="shared" si="69"/>
        <v>6.9024338668167262E-2</v>
      </c>
    </row>
    <row r="180" spans="1:16" ht="12.3" x14ac:dyDescent="0.4">
      <c r="A180" s="299" t="s">
        <v>327</v>
      </c>
      <c r="B180" s="299" t="s">
        <v>328</v>
      </c>
      <c r="C180" s="33">
        <f>'Source Data'!F247</f>
        <v>15925</v>
      </c>
      <c r="D180" s="328">
        <f>'Source Data'!G247</f>
        <v>16220</v>
      </c>
      <c r="E180" s="2">
        <f>Assumptions!F39</f>
        <v>14978</v>
      </c>
      <c r="F180" s="2">
        <f t="shared" ref="F180:I180" si="70">E180*(F179+1)</f>
        <v>16011.846544571808</v>
      </c>
      <c r="G180" s="2">
        <f t="shared" si="70"/>
        <v>17117.053663167058</v>
      </c>
      <c r="H180" s="2">
        <f t="shared" si="70"/>
        <v>18298.546972214695</v>
      </c>
      <c r="I180" s="14">
        <f t="shared" si="70"/>
        <v>19561.592075560209</v>
      </c>
    </row>
    <row r="181" spans="1:16" ht="14.4" x14ac:dyDescent="0.55000000000000004">
      <c r="A181" s="299" t="s">
        <v>331</v>
      </c>
      <c r="C181" s="337">
        <v>0</v>
      </c>
      <c r="D181" s="338">
        <v>0</v>
      </c>
      <c r="E181" s="339">
        <v>0</v>
      </c>
      <c r="F181" s="339">
        <v>0</v>
      </c>
      <c r="G181" s="339">
        <v>0</v>
      </c>
      <c r="H181" s="339">
        <v>0</v>
      </c>
      <c r="I181" s="340">
        <v>0</v>
      </c>
    </row>
    <row r="182" spans="1:16" ht="14.4" x14ac:dyDescent="0.55000000000000004">
      <c r="A182" s="299" t="s">
        <v>333</v>
      </c>
      <c r="C182" s="337">
        <v>0</v>
      </c>
      <c r="D182" s="338">
        <v>0</v>
      </c>
      <c r="E182" s="67"/>
      <c r="F182" s="155">
        <f t="shared" ref="F182:I182" si="71">F180-E180</f>
        <v>1033.8465445718084</v>
      </c>
      <c r="G182" s="155">
        <f t="shared" si="71"/>
        <v>1105.20711859525</v>
      </c>
      <c r="H182" s="155">
        <f t="shared" si="71"/>
        <v>1181.493309047637</v>
      </c>
      <c r="I182" s="156">
        <f t="shared" si="71"/>
        <v>1263.0451033455138</v>
      </c>
    </row>
    <row r="183" spans="1:16" ht="12.3" x14ac:dyDescent="0.4">
      <c r="A183" s="299" t="s">
        <v>335</v>
      </c>
      <c r="C183" s="33">
        <f t="shared" ref="C183:I183" si="72">C180-C181+C182</f>
        <v>15925</v>
      </c>
      <c r="D183" s="328">
        <f t="shared" si="72"/>
        <v>16220</v>
      </c>
      <c r="E183" s="2">
        <f t="shared" si="72"/>
        <v>14978</v>
      </c>
      <c r="F183" s="2">
        <f t="shared" si="72"/>
        <v>17045.693089143617</v>
      </c>
      <c r="G183" s="2">
        <f t="shared" si="72"/>
        <v>18222.260781762307</v>
      </c>
      <c r="H183" s="2">
        <f t="shared" si="72"/>
        <v>19480.040281262332</v>
      </c>
      <c r="I183" s="14">
        <f t="shared" si="72"/>
        <v>20824.637178905723</v>
      </c>
    </row>
    <row r="184" spans="1:16" ht="12.3" x14ac:dyDescent="0.4">
      <c r="A184" s="299"/>
      <c r="D184" s="15"/>
      <c r="E184" s="299"/>
      <c r="I184" s="15"/>
    </row>
    <row r="185" spans="1:16" ht="12.3" x14ac:dyDescent="0.4">
      <c r="A185" s="299" t="s">
        <v>336</v>
      </c>
      <c r="D185" s="15"/>
      <c r="E185" s="341">
        <f>Assumptions!F41</f>
        <v>5.5E-2</v>
      </c>
      <c r="F185" s="342">
        <f>E185</f>
        <v>5.5E-2</v>
      </c>
      <c r="G185" s="17">
        <f>E185</f>
        <v>5.5E-2</v>
      </c>
      <c r="H185" s="17">
        <f>E185</f>
        <v>5.5E-2</v>
      </c>
      <c r="I185" s="21">
        <f>E185</f>
        <v>5.5E-2</v>
      </c>
    </row>
    <row r="186" spans="1:16" ht="12.3" x14ac:dyDescent="0.4">
      <c r="A186" s="343" t="s">
        <v>337</v>
      </c>
      <c r="B186" s="67"/>
      <c r="C186" s="67"/>
      <c r="D186" s="57"/>
      <c r="E186" s="344">
        <f t="shared" ref="E186:I186" si="73">E185*D180</f>
        <v>892.1</v>
      </c>
      <c r="F186" s="345">
        <f t="shared" si="73"/>
        <v>823.79</v>
      </c>
      <c r="G186" s="345">
        <f t="shared" si="73"/>
        <v>880.65155995144949</v>
      </c>
      <c r="H186" s="345">
        <f t="shared" si="73"/>
        <v>941.43795147418825</v>
      </c>
      <c r="I186" s="180">
        <f t="shared" si="73"/>
        <v>1006.4200834718082</v>
      </c>
    </row>
    <row r="187" spans="1:16" ht="12.3" x14ac:dyDescent="0.4">
      <c r="A187" s="299"/>
      <c r="E187" s="306"/>
    </row>
    <row r="188" spans="1:16" ht="12.3" x14ac:dyDescent="0.4">
      <c r="A188" s="528" t="s">
        <v>172</v>
      </c>
      <c r="B188" s="489"/>
      <c r="C188" s="489"/>
      <c r="D188" s="489"/>
      <c r="E188" s="489"/>
      <c r="F188" s="489"/>
      <c r="G188" s="489"/>
      <c r="H188" s="489"/>
      <c r="I188" s="490"/>
    </row>
    <row r="189" spans="1:16" ht="12.3" x14ac:dyDescent="0.4">
      <c r="A189" s="51" t="s">
        <v>106</v>
      </c>
      <c r="B189" s="48"/>
      <c r="C189" s="206">
        <f t="shared" ref="C189:I189" si="74">C200</f>
        <v>2015</v>
      </c>
      <c r="D189" s="346">
        <f t="shared" si="74"/>
        <v>2016</v>
      </c>
      <c r="E189" s="206" t="str">
        <f t="shared" si="74"/>
        <v>2017E</v>
      </c>
      <c r="F189" s="206" t="str">
        <f t="shared" si="74"/>
        <v>2018E</v>
      </c>
      <c r="G189" s="206" t="str">
        <f t="shared" si="74"/>
        <v>2019E</v>
      </c>
      <c r="H189" s="206" t="str">
        <f t="shared" si="74"/>
        <v>2020E</v>
      </c>
      <c r="I189" s="346" t="str">
        <f t="shared" si="74"/>
        <v>2021E</v>
      </c>
    </row>
    <row r="190" spans="1:16" ht="12.3" x14ac:dyDescent="0.4">
      <c r="A190" s="51" t="str">
        <f>'Source Data'!B147</f>
        <v>Current</v>
      </c>
      <c r="B190" s="48"/>
      <c r="C190" s="48"/>
      <c r="D190" s="204"/>
      <c r="E190" s="48"/>
      <c r="F190" s="48"/>
      <c r="G190" s="48"/>
      <c r="H190" s="48"/>
      <c r="I190" s="204"/>
    </row>
    <row r="191" spans="1:16" ht="12.3" x14ac:dyDescent="0.4">
      <c r="A191" s="51" t="str">
        <f>'Source Data'!B148</f>
        <v>Federal</v>
      </c>
      <c r="B191" s="48"/>
      <c r="C191" s="347">
        <f>'Source Data'!F148</f>
        <v>-89</v>
      </c>
      <c r="D191" s="348">
        <f>'Source Data'!G148</f>
        <v>-105</v>
      </c>
      <c r="E191" s="349">
        <f>Assumptions!$F$46*E215</f>
        <v>-132.1054518312053</v>
      </c>
      <c r="F191" s="349">
        <f>Assumptions!$F$46*F215</f>
        <v>-135.64889190486011</v>
      </c>
      <c r="G191" s="349">
        <f>Assumptions!$F$46*G215</f>
        <v>-127.05201196151808</v>
      </c>
      <c r="H191" s="349">
        <f>Assumptions!$F$46*H215</f>
        <v>-117.89469729769995</v>
      </c>
      <c r="I191" s="350">
        <f>Assumptions!$F$46*I215</f>
        <v>-108.29207763834624</v>
      </c>
    </row>
    <row r="192" spans="1:16" ht="12.3" x14ac:dyDescent="0.4">
      <c r="A192" s="51" t="str">
        <f>'Source Data'!B149</f>
        <v>State</v>
      </c>
      <c r="B192" s="48"/>
      <c r="C192" s="347">
        <f>'Source Data'!F149</f>
        <v>11</v>
      </c>
      <c r="D192" s="348">
        <f>'Source Data'!G149</f>
        <v>-70</v>
      </c>
      <c r="E192" s="349">
        <f>Assumptions!$F$47*E215</f>
        <v>-13.672826471803811</v>
      </c>
      <c r="F192" s="349">
        <f>Assumptions!$F$47*F215</f>
        <v>-14.03957016457905</v>
      </c>
      <c r="G192" s="349">
        <f>Assumptions!$F$47*G215</f>
        <v>-13.149798803632988</v>
      </c>
      <c r="H192" s="349">
        <f>Assumptions!$F$47*H215</f>
        <v>-12.202022821563229</v>
      </c>
      <c r="I192" s="350">
        <f>Assumptions!$F$47*I215</f>
        <v>-11.208158068389876</v>
      </c>
    </row>
    <row r="193" spans="1:9" ht="12.3" x14ac:dyDescent="0.4">
      <c r="A193" s="51" t="str">
        <f>'Source Data'!B150</f>
        <v>Deferred</v>
      </c>
      <c r="B193" s="48"/>
      <c r="C193" s="347">
        <f>'Source Data'!F150</f>
        <v>0</v>
      </c>
      <c r="D193" s="348">
        <f>'Source Data'!G150</f>
        <v>0</v>
      </c>
      <c r="E193" s="349"/>
      <c r="F193" s="349"/>
      <c r="G193" s="349"/>
      <c r="H193" s="349"/>
      <c r="I193" s="350"/>
    </row>
    <row r="194" spans="1:9" ht="12.3" x14ac:dyDescent="0.4">
      <c r="A194" s="51" t="str">
        <f>'Source Data'!B151</f>
        <v>Federal</v>
      </c>
      <c r="B194" s="48"/>
      <c r="C194" s="347">
        <f>'Source Data'!F151</f>
        <v>131</v>
      </c>
      <c r="D194" s="348">
        <f>'Source Data'!G151</f>
        <v>218</v>
      </c>
      <c r="E194" s="349">
        <f>Assumptions!$F$49*E215</f>
        <v>370.80009927078436</v>
      </c>
      <c r="F194" s="349">
        <f>Assumptions!$F$49*F215</f>
        <v>380.74600167570622</v>
      </c>
      <c r="G194" s="349">
        <f>Assumptions!$F$49*G215</f>
        <v>356.61585494653656</v>
      </c>
      <c r="H194" s="349">
        <f>Assumptions!$F$49*H215</f>
        <v>330.91265239637886</v>
      </c>
      <c r="I194" s="350">
        <f>Assumptions!$F$49*I215</f>
        <v>303.9595458168148</v>
      </c>
    </row>
    <row r="195" spans="1:9" ht="12.3" x14ac:dyDescent="0.4">
      <c r="A195" s="51" t="str">
        <f>'Source Data'!B152</f>
        <v>State</v>
      </c>
      <c r="B195" s="48"/>
      <c r="C195" s="347">
        <f>'Source Data'!F152</f>
        <v>-76</v>
      </c>
      <c r="D195" s="348">
        <f>'Source Data'!G152</f>
        <v>16</v>
      </c>
      <c r="E195" s="349">
        <f>Assumptions!$F$50*E215</f>
        <v>-40.96714139348385</v>
      </c>
      <c r="F195" s="349">
        <f>Assumptions!$F$50*F215</f>
        <v>-42.06599544155322</v>
      </c>
      <c r="G195" s="349">
        <f>Assumptions!$F$50*G215</f>
        <v>-39.40002222621839</v>
      </c>
      <c r="H195" s="349">
        <f>Assumptions!$F$50*H215</f>
        <v>-36.560252940264938</v>
      </c>
      <c r="I195" s="350">
        <f>Assumptions!$F$50*I215</f>
        <v>-33.582390392735569</v>
      </c>
    </row>
    <row r="196" spans="1:9" ht="12.3" x14ac:dyDescent="0.4">
      <c r="A196" s="51" t="str">
        <f>'Source Data'!B153</f>
        <v>Tax credits</v>
      </c>
      <c r="B196" s="48"/>
      <c r="C196" s="347">
        <f>'Source Data'!F153</f>
        <v>-4</v>
      </c>
      <c r="D196" s="348">
        <f>'Source Data'!G153</f>
        <v>-4</v>
      </c>
      <c r="E196" s="349">
        <f t="shared" ref="E196:I196" si="75">D196</f>
        <v>-4</v>
      </c>
      <c r="F196" s="349">
        <f t="shared" si="75"/>
        <v>-4</v>
      </c>
      <c r="G196" s="349">
        <f t="shared" si="75"/>
        <v>-4</v>
      </c>
      <c r="H196" s="349">
        <f t="shared" si="75"/>
        <v>-4</v>
      </c>
      <c r="I196" s="350">
        <f t="shared" si="75"/>
        <v>-4</v>
      </c>
    </row>
    <row r="197" spans="1:9" ht="12.3" x14ac:dyDescent="0.4">
      <c r="A197" s="215" t="str">
        <f>'Source Data'!B154</f>
        <v>Income Tax Provision (benefit)</v>
      </c>
      <c r="B197" s="351"/>
      <c r="C197" s="352">
        <f>'Source Data'!F154</f>
        <v>-27</v>
      </c>
      <c r="D197" s="353">
        <f>'Source Data'!G154</f>
        <v>55</v>
      </c>
      <c r="E197" s="354">
        <f t="shared" ref="E197:I197" si="76">SUM(E191:E196)</f>
        <v>180.05467957429141</v>
      </c>
      <c r="F197" s="354">
        <f t="shared" si="76"/>
        <v>184.99154416471384</v>
      </c>
      <c r="G197" s="354">
        <f t="shared" si="76"/>
        <v>173.0140219551671</v>
      </c>
      <c r="H197" s="354">
        <f t="shared" si="76"/>
        <v>160.25567933685073</v>
      </c>
      <c r="I197" s="355">
        <f t="shared" si="76"/>
        <v>146.8769197173431</v>
      </c>
    </row>
    <row r="198" spans="1:9" ht="12.3" x14ac:dyDescent="0.4">
      <c r="A198" s="356"/>
      <c r="B198" s="48"/>
      <c r="C198" s="48"/>
      <c r="D198" s="48"/>
      <c r="E198" s="48"/>
      <c r="F198" s="48"/>
      <c r="G198" s="48"/>
      <c r="H198" s="48"/>
      <c r="I198" s="48"/>
    </row>
    <row r="199" spans="1:9" ht="12.3" x14ac:dyDescent="0.4">
      <c r="A199" s="528" t="s">
        <v>188</v>
      </c>
      <c r="B199" s="489"/>
      <c r="C199" s="489"/>
      <c r="D199" s="489"/>
      <c r="E199" s="489"/>
      <c r="F199" s="489"/>
      <c r="G199" s="489"/>
      <c r="H199" s="489"/>
      <c r="I199" s="490"/>
    </row>
    <row r="200" spans="1:9" ht="14.1" x14ac:dyDescent="0.5">
      <c r="A200" s="123"/>
      <c r="B200" s="165"/>
      <c r="C200" s="125">
        <f t="shared" ref="C200:I200" si="77">C178</f>
        <v>2015</v>
      </c>
      <c r="D200" s="127">
        <f t="shared" si="77"/>
        <v>2016</v>
      </c>
      <c r="E200" s="125" t="str">
        <f t="shared" si="77"/>
        <v>2017E</v>
      </c>
      <c r="F200" s="125" t="str">
        <f t="shared" si="77"/>
        <v>2018E</v>
      </c>
      <c r="G200" s="125" t="str">
        <f t="shared" si="77"/>
        <v>2019E</v>
      </c>
      <c r="H200" s="125" t="str">
        <f t="shared" si="77"/>
        <v>2020E</v>
      </c>
      <c r="I200" s="127" t="str">
        <f t="shared" si="77"/>
        <v>2021E</v>
      </c>
    </row>
    <row r="201" spans="1:9" ht="14.1" x14ac:dyDescent="0.5">
      <c r="A201" s="128" t="str">
        <f>'Source Data'!B173</f>
        <v>Operating Revenues</v>
      </c>
      <c r="B201" s="165"/>
      <c r="C201" s="165"/>
      <c r="D201" s="239"/>
      <c r="E201" s="165"/>
      <c r="F201" s="165"/>
      <c r="G201" s="165"/>
      <c r="H201" s="165"/>
      <c r="I201" s="239"/>
    </row>
    <row r="202" spans="1:9" ht="14.1" x14ac:dyDescent="0.5">
      <c r="A202" s="128" t="str">
        <f>'Source Data'!B174</f>
        <v>Electric</v>
      </c>
      <c r="B202" s="165"/>
      <c r="C202" s="357">
        <f>'Source Data'!F174</f>
        <v>13657</v>
      </c>
      <c r="D202" s="358">
        <f>'Source Data'!G174</f>
        <v>13864</v>
      </c>
      <c r="E202" s="359">
        <f t="shared" ref="E202:I202" si="78">E18</f>
        <v>14509.146922437791</v>
      </c>
      <c r="F202" s="359">
        <f t="shared" si="78"/>
        <v>14968.18375034426</v>
      </c>
      <c r="G202" s="359">
        <f t="shared" si="78"/>
        <v>15446.067644258521</v>
      </c>
      <c r="H202" s="359">
        <f t="shared" si="78"/>
        <v>15943.819420548563</v>
      </c>
      <c r="I202" s="360">
        <f t="shared" si="78"/>
        <v>16462.528324614672</v>
      </c>
    </row>
    <row r="203" spans="1:9" ht="14.1" x14ac:dyDescent="0.5">
      <c r="A203" s="128" t="str">
        <f>'Source Data'!B175</f>
        <v>Natural gas</v>
      </c>
      <c r="B203" s="165"/>
      <c r="C203" s="357">
        <f>'Source Data'!F175</f>
        <v>3176</v>
      </c>
      <c r="D203" s="358">
        <f>'Source Data'!G175</f>
        <v>3802</v>
      </c>
      <c r="E203" s="359">
        <f t="shared" ref="E203:I203" si="79">E37</f>
        <v>3925.872164545287</v>
      </c>
      <c r="F203" s="359">
        <f t="shared" si="79"/>
        <v>4111.8613385416056</v>
      </c>
      <c r="G203" s="359">
        <f t="shared" si="79"/>
        <v>4315.8862258113313</v>
      </c>
      <c r="H203" s="359">
        <f t="shared" si="79"/>
        <v>4540.1064356823945</v>
      </c>
      <c r="I203" s="360">
        <f t="shared" si="79"/>
        <v>4786.9531520433611</v>
      </c>
    </row>
    <row r="204" spans="1:9" ht="14.1" x14ac:dyDescent="0.5">
      <c r="A204" s="361" t="str">
        <f>'Source Data'!B176</f>
        <v>Total operating revenues</v>
      </c>
      <c r="B204" s="165"/>
      <c r="C204" s="362">
        <f>'Source Data'!F176</f>
        <v>16833</v>
      </c>
      <c r="D204" s="363">
        <f>'Source Data'!G176</f>
        <v>17666</v>
      </c>
      <c r="E204" s="364">
        <f t="shared" ref="E204:I204" si="80">SUM(E202:E203)</f>
        <v>18435.019086983077</v>
      </c>
      <c r="F204" s="364">
        <f t="shared" si="80"/>
        <v>19080.045088885865</v>
      </c>
      <c r="G204" s="364">
        <f t="shared" si="80"/>
        <v>19761.953870069854</v>
      </c>
      <c r="H204" s="364">
        <f t="shared" si="80"/>
        <v>20483.925856230959</v>
      </c>
      <c r="I204" s="365">
        <f t="shared" si="80"/>
        <v>21249.481476658031</v>
      </c>
    </row>
    <row r="205" spans="1:9" ht="14.1" x14ac:dyDescent="0.5">
      <c r="A205" s="128" t="str">
        <f>'Source Data'!B177</f>
        <v>Operating Expenses</v>
      </c>
      <c r="B205" s="165"/>
      <c r="C205" s="357">
        <f>'Source Data'!F177</f>
        <v>0</v>
      </c>
      <c r="D205" s="358">
        <f>'Source Data'!G177</f>
        <v>0</v>
      </c>
      <c r="E205" s="359"/>
      <c r="F205" s="359"/>
      <c r="G205" s="359"/>
      <c r="H205" s="359"/>
      <c r="I205" s="360"/>
    </row>
    <row r="206" spans="1:9" ht="14.1" x14ac:dyDescent="0.5">
      <c r="A206" s="128" t="str">
        <f>'Source Data'!B178</f>
        <v>Cost of electricity</v>
      </c>
      <c r="B206" s="165"/>
      <c r="C206" s="357">
        <f>'Source Data'!F178</f>
        <v>5099</v>
      </c>
      <c r="D206" s="358">
        <f>'Source Data'!G178</f>
        <v>4765</v>
      </c>
      <c r="E206" s="359">
        <f t="shared" ref="E206:I206" si="81">E153</f>
        <v>4967.631741541717</v>
      </c>
      <c r="F206" s="359">
        <f t="shared" si="81"/>
        <v>5180.0402900433955</v>
      </c>
      <c r="G206" s="359">
        <f t="shared" si="81"/>
        <v>5402.6682514452041</v>
      </c>
      <c r="H206" s="359">
        <f t="shared" si="81"/>
        <v>5635.9789131044945</v>
      </c>
      <c r="I206" s="360">
        <f t="shared" si="81"/>
        <v>5880.4571949752262</v>
      </c>
    </row>
    <row r="207" spans="1:9" ht="14.1" x14ac:dyDescent="0.5">
      <c r="A207" s="128" t="str">
        <f>'Source Data'!B179</f>
        <v>Cost of natural gas</v>
      </c>
      <c r="B207" s="165"/>
      <c r="C207" s="357">
        <f>'Source Data'!F179</f>
        <v>663</v>
      </c>
      <c r="D207" s="358">
        <f>'Source Data'!G179</f>
        <v>615</v>
      </c>
      <c r="E207" s="359">
        <f t="shared" ref="E207:I207" si="82">E154</f>
        <v>576.8760407846288</v>
      </c>
      <c r="F207" s="359">
        <f t="shared" si="82"/>
        <v>541.14602584522629</v>
      </c>
      <c r="G207" s="359">
        <f t="shared" si="82"/>
        <v>507.65746072707401</v>
      </c>
      <c r="H207" s="359">
        <f t="shared" si="82"/>
        <v>476.26771661536566</v>
      </c>
      <c r="I207" s="360">
        <f t="shared" si="82"/>
        <v>446.84338161790305</v>
      </c>
    </row>
    <row r="208" spans="1:9" ht="14.1" x14ac:dyDescent="0.5">
      <c r="A208" s="128" t="str">
        <f>'Source Data'!B180</f>
        <v>Operating and maintenance</v>
      </c>
      <c r="B208" s="165"/>
      <c r="C208" s="357">
        <f>'Source Data'!F180</f>
        <v>6951</v>
      </c>
      <c r="D208" s="358">
        <f>'Source Data'!G180</f>
        <v>7354</v>
      </c>
      <c r="E208" s="359">
        <f t="shared" ref="E208:I208" si="83">E155</f>
        <v>7760.9856816233059</v>
      </c>
      <c r="F208" s="359">
        <f t="shared" si="83"/>
        <v>8190.4947987982005</v>
      </c>
      <c r="G208" s="359">
        <f t="shared" si="83"/>
        <v>8643.7738453743532</v>
      </c>
      <c r="H208" s="359">
        <f t="shared" si="83"/>
        <v>9122.1382987680681</v>
      </c>
      <c r="I208" s="360">
        <f t="shared" si="83"/>
        <v>9626.976437656589</v>
      </c>
    </row>
    <row r="209" spans="1:9" ht="14.1" x14ac:dyDescent="0.5">
      <c r="A209" s="128" t="str">
        <f>'Source Data'!B181</f>
        <v>Depreciation, amortization, and decommissioning</v>
      </c>
      <c r="B209" s="165"/>
      <c r="C209" s="357">
        <f>'Source Data'!F181</f>
        <v>2612</v>
      </c>
      <c r="D209" s="358">
        <f>'Source Data'!G181</f>
        <v>2755</v>
      </c>
      <c r="E209" s="359">
        <f t="shared" ref="E209:I209" si="84">E156</f>
        <v>2899.0781467181469</v>
      </c>
      <c r="F209" s="359">
        <f t="shared" si="84"/>
        <v>2970.0868460031315</v>
      </c>
      <c r="G209" s="359">
        <f t="shared" si="84"/>
        <v>3040.3954614703034</v>
      </c>
      <c r="H209" s="359">
        <f t="shared" si="84"/>
        <v>3114.6914128310937</v>
      </c>
      <c r="I209" s="360">
        <f t="shared" si="84"/>
        <v>3193.3102222045527</v>
      </c>
    </row>
    <row r="210" spans="1:9" ht="14.1" x14ac:dyDescent="0.5">
      <c r="A210" s="361" t="s">
        <v>338</v>
      </c>
      <c r="B210" s="165"/>
      <c r="C210" s="362">
        <f>'Source Data'!F182</f>
        <v>15325</v>
      </c>
      <c r="D210" s="363">
        <f>'Source Data'!G182</f>
        <v>15489</v>
      </c>
      <c r="E210" s="364">
        <f t="shared" ref="E210:I210" si="85">SUM(E206:E209)</f>
        <v>16204.571610667797</v>
      </c>
      <c r="F210" s="364">
        <f t="shared" si="85"/>
        <v>16881.767960689955</v>
      </c>
      <c r="G210" s="364">
        <f t="shared" si="85"/>
        <v>17594.495019016933</v>
      </c>
      <c r="H210" s="364">
        <f t="shared" si="85"/>
        <v>18349.076341319022</v>
      </c>
      <c r="I210" s="365">
        <f t="shared" si="85"/>
        <v>19147.58723645427</v>
      </c>
    </row>
    <row r="211" spans="1:9" ht="14.1" x14ac:dyDescent="0.5">
      <c r="A211" s="128" t="str">
        <f>'Source Data'!B183</f>
        <v>Operating Income</v>
      </c>
      <c r="B211" s="165"/>
      <c r="C211" s="357">
        <f>'Source Data'!F183</f>
        <v>1508</v>
      </c>
      <c r="D211" s="358">
        <f>'Source Data'!G183</f>
        <v>2177</v>
      </c>
      <c r="E211" s="359">
        <f t="shared" ref="E211:I211" si="86">E204-E210</f>
        <v>2230.4474763152793</v>
      </c>
      <c r="F211" s="359">
        <f t="shared" si="86"/>
        <v>2198.2771281959103</v>
      </c>
      <c r="G211" s="359">
        <f t="shared" si="86"/>
        <v>2167.4588510529211</v>
      </c>
      <c r="H211" s="359">
        <f t="shared" si="86"/>
        <v>2134.8495149119371</v>
      </c>
      <c r="I211" s="360">
        <f t="shared" si="86"/>
        <v>2101.894240203761</v>
      </c>
    </row>
    <row r="212" spans="1:9" ht="14.1" x14ac:dyDescent="0.5">
      <c r="A212" s="128" t="str">
        <f>'Source Data'!B184</f>
        <v>Interest income</v>
      </c>
      <c r="B212" s="165"/>
      <c r="C212" s="357">
        <f>'Source Data'!F184</f>
        <v>9</v>
      </c>
      <c r="D212" s="358">
        <f>'Source Data'!G184</f>
        <v>23</v>
      </c>
      <c r="E212" s="359">
        <f>9</f>
        <v>9</v>
      </c>
      <c r="F212" s="359">
        <f t="shared" ref="F212:I212" si="87">E212</f>
        <v>9</v>
      </c>
      <c r="G212" s="359">
        <f t="shared" si="87"/>
        <v>9</v>
      </c>
      <c r="H212" s="359">
        <f t="shared" si="87"/>
        <v>9</v>
      </c>
      <c r="I212" s="360">
        <f t="shared" si="87"/>
        <v>9</v>
      </c>
    </row>
    <row r="213" spans="1:9" ht="14.1" x14ac:dyDescent="0.5">
      <c r="A213" s="128" t="str">
        <f>'Source Data'!B185</f>
        <v>Interest expense</v>
      </c>
      <c r="B213" s="165"/>
      <c r="C213" s="357">
        <f>'Source Data'!F185</f>
        <v>-773</v>
      </c>
      <c r="D213" s="358">
        <f>'Source Data'!G185</f>
        <v>-829</v>
      </c>
      <c r="E213" s="359">
        <f t="shared" ref="E213:I213" si="88">-E186</f>
        <v>-892.1</v>
      </c>
      <c r="F213" s="359">
        <f t="shared" si="88"/>
        <v>-823.79</v>
      </c>
      <c r="G213" s="359">
        <f t="shared" si="88"/>
        <v>-880.65155995144949</v>
      </c>
      <c r="H213" s="359">
        <f t="shared" si="88"/>
        <v>-941.43795147418825</v>
      </c>
      <c r="I213" s="360">
        <f t="shared" si="88"/>
        <v>-1006.4200834718082</v>
      </c>
    </row>
    <row r="214" spans="1:9" ht="14.1" x14ac:dyDescent="0.5">
      <c r="A214" s="128" t="str">
        <f>'Source Data'!B186</f>
        <v>Other income, net</v>
      </c>
      <c r="B214" s="165"/>
      <c r="C214" s="357">
        <f>'Source Data'!F186</f>
        <v>117</v>
      </c>
      <c r="D214" s="358">
        <f>'Source Data'!G186</f>
        <v>91</v>
      </c>
      <c r="E214" s="366"/>
      <c r="F214" s="366"/>
      <c r="G214" s="366"/>
      <c r="H214" s="366"/>
      <c r="I214" s="367"/>
    </row>
    <row r="215" spans="1:9" ht="14.1" x14ac:dyDescent="0.5">
      <c r="A215" s="361" t="str">
        <f>'Source Data'!B187</f>
        <v>Income Before Income Taxes</v>
      </c>
      <c r="B215" s="165"/>
      <c r="C215" s="362">
        <f>'Source Data'!F187</f>
        <v>861</v>
      </c>
      <c r="D215" s="363">
        <f>'Source Data'!G187</f>
        <v>1462</v>
      </c>
      <c r="E215" s="364">
        <f t="shared" ref="E215:I215" si="89">SUM(E211:E214)</f>
        <v>1347.3474763152794</v>
      </c>
      <c r="F215" s="364">
        <f t="shared" si="89"/>
        <v>1383.4871281959104</v>
      </c>
      <c r="G215" s="364">
        <f t="shared" si="89"/>
        <v>1295.8072911014715</v>
      </c>
      <c r="H215" s="364">
        <f t="shared" si="89"/>
        <v>1202.411563437749</v>
      </c>
      <c r="I215" s="365">
        <f t="shared" si="89"/>
        <v>1104.4741567319529</v>
      </c>
    </row>
    <row r="216" spans="1:9" ht="14.1" x14ac:dyDescent="0.5">
      <c r="A216" s="128" t="str">
        <f>'Source Data'!B188</f>
        <v>Income tax provision (benefit)</v>
      </c>
      <c r="B216" s="165"/>
      <c r="C216" s="357">
        <f>'Source Data'!F188</f>
        <v>-27</v>
      </c>
      <c r="D216" s="358">
        <f>'Source Data'!G188</f>
        <v>55</v>
      </c>
      <c r="E216" s="359">
        <f t="shared" ref="E216:I216" si="90">E197</f>
        <v>180.05467957429141</v>
      </c>
      <c r="F216" s="359">
        <f t="shared" si="90"/>
        <v>184.99154416471384</v>
      </c>
      <c r="G216" s="359">
        <f t="shared" si="90"/>
        <v>173.0140219551671</v>
      </c>
      <c r="H216" s="359">
        <f t="shared" si="90"/>
        <v>160.25567933685073</v>
      </c>
      <c r="I216" s="360">
        <f t="shared" si="90"/>
        <v>146.8769197173431</v>
      </c>
    </row>
    <row r="217" spans="1:9" ht="14.1" x14ac:dyDescent="0.5">
      <c r="A217" s="368" t="str">
        <f>'Source Data'!B189</f>
        <v>Net Income</v>
      </c>
      <c r="B217" s="158"/>
      <c r="C217" s="369">
        <f>'Source Data'!F189</f>
        <v>888</v>
      </c>
      <c r="D217" s="370">
        <f>'Source Data'!G189</f>
        <v>1407</v>
      </c>
      <c r="E217" s="371">
        <f t="shared" ref="E217:I217" si="91">SUM(E215:E216)</f>
        <v>1527.4021558895708</v>
      </c>
      <c r="F217" s="371">
        <f t="shared" si="91"/>
        <v>1568.4786723606242</v>
      </c>
      <c r="G217" s="371">
        <f t="shared" si="91"/>
        <v>1468.8213130566387</v>
      </c>
      <c r="H217" s="371">
        <f t="shared" si="91"/>
        <v>1362.6672427745998</v>
      </c>
      <c r="I217" s="372">
        <f t="shared" si="91"/>
        <v>1251.351076449296</v>
      </c>
    </row>
    <row r="218" spans="1:9" ht="14.1" x14ac:dyDescent="0.5">
      <c r="A218" s="165"/>
      <c r="B218" s="165"/>
      <c r="C218" s="165"/>
      <c r="D218" s="165"/>
      <c r="E218" s="165"/>
      <c r="F218" s="165"/>
      <c r="G218" s="165"/>
      <c r="H218" s="165"/>
      <c r="I218" s="165"/>
    </row>
    <row r="219" spans="1:9" ht="14.1" x14ac:dyDescent="0.5">
      <c r="A219" s="165"/>
      <c r="B219" s="165"/>
      <c r="C219" s="165"/>
      <c r="D219" s="165"/>
      <c r="E219" s="165"/>
      <c r="F219" s="165"/>
      <c r="G219" s="165"/>
      <c r="H219" s="165"/>
      <c r="I219" s="165"/>
    </row>
    <row r="220" spans="1:9" ht="12.3" x14ac:dyDescent="0.4">
      <c r="A220" s="534" t="s">
        <v>210</v>
      </c>
      <c r="B220" s="489"/>
      <c r="C220" s="489"/>
      <c r="D220" s="489"/>
      <c r="E220" s="489"/>
      <c r="F220" s="489"/>
      <c r="G220" s="489"/>
      <c r="H220" s="489"/>
      <c r="I220" s="490"/>
    </row>
    <row r="221" spans="1:9" ht="12.3" x14ac:dyDescent="0.4">
      <c r="A221" s="537" t="s">
        <v>106</v>
      </c>
      <c r="B221" s="486"/>
      <c r="C221" s="486"/>
      <c r="D221" s="486"/>
      <c r="E221" s="486"/>
      <c r="F221" s="486"/>
      <c r="G221" s="486"/>
      <c r="H221" s="486"/>
      <c r="I221" s="487"/>
    </row>
    <row r="222" spans="1:9" ht="12.3" x14ac:dyDescent="0.4">
      <c r="A222" s="26"/>
      <c r="C222" s="152">
        <v>2015</v>
      </c>
      <c r="D222" s="152">
        <v>2016</v>
      </c>
      <c r="E222" s="18" t="s">
        <v>8</v>
      </c>
      <c r="F222" s="18" t="s">
        <v>10</v>
      </c>
      <c r="G222" s="18" t="s">
        <v>11</v>
      </c>
      <c r="H222" s="18" t="s">
        <v>12</v>
      </c>
      <c r="I222" s="23" t="s">
        <v>13</v>
      </c>
    </row>
    <row r="223" spans="1:9" ht="12.3" x14ac:dyDescent="0.4">
      <c r="A223" s="247" t="s">
        <v>211</v>
      </c>
      <c r="I223" s="15"/>
    </row>
    <row r="224" spans="1:9" ht="12.3" x14ac:dyDescent="0.4">
      <c r="A224" s="99" t="s">
        <v>212</v>
      </c>
      <c r="I224" s="15"/>
    </row>
    <row r="225" spans="1:9" ht="12.3" x14ac:dyDescent="0.4">
      <c r="A225" s="99" t="s">
        <v>213</v>
      </c>
      <c r="C225" s="58">
        <f>'Source Data'!F204+'Source Data'!F203</f>
        <v>357</v>
      </c>
      <c r="D225" s="58">
        <f>'Source Data'!G203+'Source Data'!G204</f>
        <v>184</v>
      </c>
      <c r="E225" s="61">
        <f t="shared" ref="E225:I225" si="92">E237-SUM(E227:E236)</f>
        <v>595.44789757454691</v>
      </c>
      <c r="F225" s="61">
        <f t="shared" si="92"/>
        <v>2675.5587338306486</v>
      </c>
      <c r="G225" s="61">
        <f t="shared" si="92"/>
        <v>4645.1853763700674</v>
      </c>
      <c r="H225" s="61">
        <f t="shared" si="92"/>
        <v>6494.079626262871</v>
      </c>
      <c r="I225" s="64">
        <f t="shared" si="92"/>
        <v>8212.3755416385684</v>
      </c>
    </row>
    <row r="226" spans="1:9" ht="12.3" x14ac:dyDescent="0.4">
      <c r="A226" s="99" t="s">
        <v>215</v>
      </c>
      <c r="C226" s="58"/>
      <c r="D226" s="58"/>
      <c r="E226" s="61"/>
      <c r="F226" s="61"/>
      <c r="G226" s="61"/>
      <c r="H226" s="61"/>
      <c r="I226" s="64"/>
    </row>
    <row r="227" spans="1:9" ht="12.3" x14ac:dyDescent="0.4">
      <c r="A227" s="99" t="s">
        <v>339</v>
      </c>
      <c r="C227" s="58">
        <f>'Source Data'!F207</f>
        <v>1106</v>
      </c>
      <c r="D227" s="58">
        <f>'Source Data'!G207</f>
        <v>1252</v>
      </c>
      <c r="E227" s="61">
        <f t="shared" ref="E227:I227" si="93">E163</f>
        <v>1198.2521556905895</v>
      </c>
      <c r="F227" s="61">
        <f t="shared" si="93"/>
        <v>1240.1780031014146</v>
      </c>
      <c r="G227" s="61">
        <f t="shared" si="93"/>
        <v>1284.5011829789448</v>
      </c>
      <c r="H227" s="61">
        <f t="shared" si="93"/>
        <v>1331.4284188382562</v>
      </c>
      <c r="I227" s="64">
        <f t="shared" si="93"/>
        <v>1381.1885339837572</v>
      </c>
    </row>
    <row r="228" spans="1:9" ht="12.3" x14ac:dyDescent="0.4">
      <c r="A228" s="99" t="s">
        <v>220</v>
      </c>
      <c r="C228" s="58">
        <f>'Source Data'!F208</f>
        <v>855</v>
      </c>
      <c r="D228" s="58">
        <f>'Source Data'!G208</f>
        <v>1098</v>
      </c>
      <c r="E228" s="61">
        <f t="shared" ref="E228:I228" si="94">E164</f>
        <v>951.46934347282536</v>
      </c>
      <c r="F228" s="61">
        <f t="shared" si="94"/>
        <v>984.76046531314364</v>
      </c>
      <c r="G228" s="61">
        <f t="shared" si="94"/>
        <v>1019.955183435221</v>
      </c>
      <c r="H228" s="61">
        <f t="shared" si="94"/>
        <v>1057.2176461664649</v>
      </c>
      <c r="I228" s="64">
        <f t="shared" si="94"/>
        <v>1096.729550120717</v>
      </c>
    </row>
    <row r="229" spans="1:9" ht="12.3" x14ac:dyDescent="0.4">
      <c r="A229" s="99" t="s">
        <v>62</v>
      </c>
      <c r="C229" s="58">
        <f>'Source Data'!F209</f>
        <v>1760</v>
      </c>
      <c r="D229" s="58">
        <f>'Source Data'!G209</f>
        <v>1500</v>
      </c>
      <c r="E229" s="61">
        <f t="shared" ref="E229:I229" si="95">E165</f>
        <v>1682.5719814079987</v>
      </c>
      <c r="F229" s="61">
        <f t="shared" si="95"/>
        <v>1741.4437771441683</v>
      </c>
      <c r="G229" s="61">
        <f t="shared" si="95"/>
        <v>1803.6818797293945</v>
      </c>
      <c r="H229" s="61">
        <f t="shared" si="95"/>
        <v>1869.5765679607673</v>
      </c>
      <c r="I229" s="64">
        <f t="shared" si="95"/>
        <v>1939.4491529069655</v>
      </c>
    </row>
    <row r="230" spans="1:9" ht="12.3" x14ac:dyDescent="0.4">
      <c r="A230" s="99" t="s">
        <v>30</v>
      </c>
      <c r="C230" s="58">
        <f>'Source Data'!F210</f>
        <v>286</v>
      </c>
      <c r="D230" s="58">
        <f>'Source Data'!G210</f>
        <v>801</v>
      </c>
      <c r="E230" s="61">
        <f t="shared" ref="E230:I230" si="96">E166</f>
        <v>474.37962480763287</v>
      </c>
      <c r="F230" s="61">
        <f t="shared" si="96"/>
        <v>490.97777376153709</v>
      </c>
      <c r="G230" s="61">
        <f t="shared" si="96"/>
        <v>508.52500982594137</v>
      </c>
      <c r="H230" s="61">
        <f t="shared" si="96"/>
        <v>527.10317339066239</v>
      </c>
      <c r="I230" s="64">
        <f t="shared" si="96"/>
        <v>546.80285399712295</v>
      </c>
    </row>
    <row r="231" spans="1:9" ht="12.3" x14ac:dyDescent="0.4">
      <c r="A231" s="99" t="s">
        <v>221</v>
      </c>
      <c r="C231" s="58">
        <f>'Source Data'!F211</f>
        <v>517</v>
      </c>
      <c r="D231" s="58">
        <f>'Source Data'!G211</f>
        <v>423</v>
      </c>
      <c r="E231" s="61">
        <f>'Source Data'!$N$211*E204</f>
        <v>541.47159450113691</v>
      </c>
      <c r="F231" s="61">
        <f>'Source Data'!$N$211*F204</f>
        <v>560.41723573411014</v>
      </c>
      <c r="G231" s="61">
        <f>'Source Data'!$N$211*G204</f>
        <v>580.44619438665291</v>
      </c>
      <c r="H231" s="61">
        <f>'Source Data'!$N$211*H204</f>
        <v>601.65188561416232</v>
      </c>
      <c r="I231" s="64">
        <f>'Source Data'!$N$211*I204</f>
        <v>624.1377111246253</v>
      </c>
    </row>
    <row r="232" spans="1:9" ht="12.3" x14ac:dyDescent="0.4">
      <c r="A232" s="99" t="s">
        <v>222</v>
      </c>
      <c r="C232" s="58">
        <f>'Source Data'!F212</f>
        <v>0</v>
      </c>
      <c r="D232" s="58">
        <f>'Source Data'!G212</f>
        <v>0</v>
      </c>
      <c r="E232" s="61"/>
      <c r="F232" s="61"/>
      <c r="G232" s="61"/>
      <c r="H232" s="61"/>
      <c r="I232" s="64"/>
    </row>
    <row r="233" spans="1:9" ht="12.3" x14ac:dyDescent="0.4">
      <c r="A233" s="99" t="s">
        <v>223</v>
      </c>
      <c r="C233" s="58">
        <f>'Source Data'!F213</f>
        <v>126</v>
      </c>
      <c r="D233" s="58">
        <f>'Source Data'!G213</f>
        <v>117</v>
      </c>
      <c r="E233" s="61">
        <f t="shared" ref="E233:I233" si="97">E168</f>
        <v>154.60268622378592</v>
      </c>
      <c r="F233" s="61">
        <f t="shared" si="97"/>
        <v>160.01210576969646</v>
      </c>
      <c r="G233" s="61">
        <f t="shared" si="97"/>
        <v>165.73083753955248</v>
      </c>
      <c r="H233" s="61">
        <f t="shared" si="97"/>
        <v>171.78555372466576</v>
      </c>
      <c r="I233" s="64">
        <f t="shared" si="97"/>
        <v>178.2057779085026</v>
      </c>
    </row>
    <row r="234" spans="1:9" ht="12.3" x14ac:dyDescent="0.4">
      <c r="A234" s="99" t="s">
        <v>224</v>
      </c>
      <c r="C234" s="58">
        <f>'Source Data'!F214</f>
        <v>313</v>
      </c>
      <c r="D234" s="58">
        <f>'Source Data'!G214</f>
        <v>346</v>
      </c>
      <c r="E234" s="61">
        <f t="shared" ref="E234:I234" si="98">E169</f>
        <v>357.03685373072267</v>
      </c>
      <c r="F234" s="61">
        <f t="shared" si="98"/>
        <v>369.52927661389134</v>
      </c>
      <c r="G234" s="61">
        <f t="shared" si="98"/>
        <v>382.73601996558091</v>
      </c>
      <c r="H234" s="61">
        <f t="shared" si="98"/>
        <v>396.71868009760607</v>
      </c>
      <c r="I234" s="64">
        <f t="shared" si="98"/>
        <v>411.54543827905826</v>
      </c>
    </row>
    <row r="235" spans="1:9" ht="12.3" x14ac:dyDescent="0.4">
      <c r="A235" s="99" t="s">
        <v>225</v>
      </c>
      <c r="C235" s="58">
        <f>'Source Data'!F215</f>
        <v>155</v>
      </c>
      <c r="D235" s="58">
        <f>'Source Data'!G215</f>
        <v>160</v>
      </c>
      <c r="E235" s="61">
        <f>D235*(1+0.05)</f>
        <v>168</v>
      </c>
      <c r="F235" s="61">
        <f t="shared" ref="F235:I235" si="99">E235*(1+0.03)</f>
        <v>173.04</v>
      </c>
      <c r="G235" s="61">
        <f t="shared" si="99"/>
        <v>178.2312</v>
      </c>
      <c r="H235" s="61">
        <f t="shared" si="99"/>
        <v>183.578136</v>
      </c>
      <c r="I235" s="64">
        <f t="shared" si="99"/>
        <v>189.08548008</v>
      </c>
    </row>
    <row r="236" spans="1:9" ht="12.3" x14ac:dyDescent="0.4">
      <c r="A236" s="99" t="s">
        <v>30</v>
      </c>
      <c r="C236" s="58">
        <f>'Source Data'!F216</f>
        <v>338</v>
      </c>
      <c r="D236" s="58">
        <f>'Source Data'!G216</f>
        <v>283</v>
      </c>
      <c r="E236" s="61">
        <f t="shared" ref="E236:I236" si="100">D236*(1-0.15)</f>
        <v>240.54999999999998</v>
      </c>
      <c r="F236" s="61">
        <f t="shared" si="100"/>
        <v>204.46749999999997</v>
      </c>
      <c r="G236" s="61">
        <f t="shared" si="100"/>
        <v>173.79737499999996</v>
      </c>
      <c r="H236" s="61">
        <f t="shared" si="100"/>
        <v>147.72776874999997</v>
      </c>
      <c r="I236" s="64">
        <f t="shared" si="100"/>
        <v>125.56860343749997</v>
      </c>
    </row>
    <row r="237" spans="1:9" ht="12.3" x14ac:dyDescent="0.4">
      <c r="A237" s="247" t="s">
        <v>226</v>
      </c>
      <c r="C237" s="58">
        <f>'Source Data'!F217</f>
        <v>5813</v>
      </c>
      <c r="D237" s="58">
        <f>'Source Data'!G217</f>
        <v>6164</v>
      </c>
      <c r="E237" s="61">
        <f t="shared" ref="E237:I237" si="101">E252-E251-E245</f>
        <v>6363.7821374092382</v>
      </c>
      <c r="F237" s="61">
        <f t="shared" si="101"/>
        <v>8600.3848712686085</v>
      </c>
      <c r="G237" s="61">
        <f t="shared" si="101"/>
        <v>10742.790259231355</v>
      </c>
      <c r="H237" s="61">
        <f t="shared" si="101"/>
        <v>12780.867456805456</v>
      </c>
      <c r="I237" s="64">
        <f t="shared" si="101"/>
        <v>14705.088643476818</v>
      </c>
    </row>
    <row r="238" spans="1:9" ht="12.3" x14ac:dyDescent="0.4">
      <c r="A238" s="99" t="s">
        <v>117</v>
      </c>
      <c r="C238" s="58">
        <f>'Source Data'!F218</f>
        <v>0</v>
      </c>
      <c r="D238" s="58"/>
      <c r="E238" s="61"/>
      <c r="F238" s="61"/>
      <c r="G238" s="61"/>
      <c r="H238" s="61"/>
      <c r="I238" s="64"/>
    </row>
    <row r="239" spans="1:9" ht="12.3" x14ac:dyDescent="0.4">
      <c r="A239" s="99" t="s">
        <v>191</v>
      </c>
      <c r="C239" s="58">
        <f>'Source Data'!F219</f>
        <v>48532</v>
      </c>
      <c r="D239" s="58">
        <f>'Source Data'!G219</f>
        <v>52556</v>
      </c>
      <c r="E239" s="61">
        <f t="shared" ref="E239:I239" si="102">E43+E45+E47</f>
        <v>54174.396404331084</v>
      </c>
      <c r="F239" s="61">
        <f t="shared" si="102"/>
        <v>56069.913526027813</v>
      </c>
      <c r="G239" s="61">
        <f t="shared" si="102"/>
        <v>58073.816882414372</v>
      </c>
      <c r="H239" s="61">
        <f t="shared" si="102"/>
        <v>60195.452687973753</v>
      </c>
      <c r="I239" s="64">
        <f t="shared" si="102"/>
        <v>62445.166314788716</v>
      </c>
    </row>
    <row r="240" spans="1:9" ht="12.3" x14ac:dyDescent="0.4">
      <c r="A240" s="99" t="s">
        <v>227</v>
      </c>
      <c r="C240" s="58">
        <f>'Source Data'!F220</f>
        <v>16749</v>
      </c>
      <c r="D240" s="58">
        <f>'Source Data'!G220</f>
        <v>17853</v>
      </c>
      <c r="E240" s="61">
        <f t="shared" ref="E240:I240" si="103">E49+E51</f>
        <v>18988.069659592569</v>
      </c>
      <c r="F240" s="61">
        <f t="shared" si="103"/>
        <v>19652.446441552442</v>
      </c>
      <c r="G240" s="61">
        <f t="shared" si="103"/>
        <v>20354.812486171948</v>
      </c>
      <c r="H240" s="61">
        <f t="shared" si="103"/>
        <v>21098.443631917886</v>
      </c>
      <c r="I240" s="64">
        <f t="shared" si="103"/>
        <v>21886.965920957773</v>
      </c>
    </row>
    <row r="241" spans="1:9" ht="12.3" x14ac:dyDescent="0.4">
      <c r="A241" s="99" t="s">
        <v>127</v>
      </c>
      <c r="C241" s="58">
        <f>'Source Data'!F221</f>
        <v>2059</v>
      </c>
      <c r="D241" s="58">
        <f>'Source Data'!G221</f>
        <v>2184</v>
      </c>
      <c r="E241" s="61">
        <f t="shared" ref="E241:I241" si="104">E53</f>
        <v>2293.2000000000003</v>
      </c>
      <c r="F241" s="61">
        <f t="shared" si="104"/>
        <v>2407.8600000000006</v>
      </c>
      <c r="G241" s="61">
        <f t="shared" si="104"/>
        <v>2528.2530000000006</v>
      </c>
      <c r="H241" s="61">
        <f t="shared" si="104"/>
        <v>2654.6656500000008</v>
      </c>
      <c r="I241" s="64">
        <f t="shared" si="104"/>
        <v>2787.3989325000011</v>
      </c>
    </row>
    <row r="242" spans="1:9" ht="12.3" x14ac:dyDescent="0.4">
      <c r="A242" s="99" t="s">
        <v>30</v>
      </c>
      <c r="C242" s="58">
        <f>'Source Data'!F222</f>
        <v>2</v>
      </c>
      <c r="D242" s="58">
        <f>'Source Data'!G222</f>
        <v>2</v>
      </c>
      <c r="E242" s="61">
        <f t="shared" ref="E242:I242" si="105">D242</f>
        <v>2</v>
      </c>
      <c r="F242" s="61">
        <f t="shared" si="105"/>
        <v>2</v>
      </c>
      <c r="G242" s="61">
        <f t="shared" si="105"/>
        <v>2</v>
      </c>
      <c r="H242" s="61">
        <f t="shared" si="105"/>
        <v>2</v>
      </c>
      <c r="I242" s="64">
        <f t="shared" si="105"/>
        <v>2</v>
      </c>
    </row>
    <row r="243" spans="1:9" ht="12.3" x14ac:dyDescent="0.4">
      <c r="A243" s="99" t="s">
        <v>129</v>
      </c>
      <c r="C243" s="58">
        <f>'Source Data'!F223</f>
        <v>67342</v>
      </c>
      <c r="D243" s="58">
        <f>'Source Data'!G223</f>
        <v>72595</v>
      </c>
      <c r="E243" s="61">
        <f t="shared" ref="E243:I243" si="106">SUM(E239:E242)</f>
        <v>75457.666063923651</v>
      </c>
      <c r="F243" s="61">
        <f t="shared" si="106"/>
        <v>78132.219967580255</v>
      </c>
      <c r="G243" s="61">
        <f t="shared" si="106"/>
        <v>80958.882368586317</v>
      </c>
      <c r="H243" s="61">
        <f t="shared" si="106"/>
        <v>83950.561969891642</v>
      </c>
      <c r="I243" s="64">
        <f t="shared" si="106"/>
        <v>87121.531168246482</v>
      </c>
    </row>
    <row r="244" spans="1:9" ht="12.3" x14ac:dyDescent="0.4">
      <c r="A244" s="99" t="s">
        <v>228</v>
      </c>
      <c r="C244" s="58">
        <f>'Source Data'!F224</f>
        <v>-20619</v>
      </c>
      <c r="D244" s="58">
        <f>'Source Data'!G224</f>
        <v>-22014</v>
      </c>
      <c r="E244" s="61">
        <f t="shared" ref="E244:I244" si="107">D244-E134</f>
        <v>-23913.078146718148</v>
      </c>
      <c r="F244" s="61">
        <f t="shared" si="107"/>
        <v>-25883.164992721278</v>
      </c>
      <c r="G244" s="61">
        <f t="shared" si="107"/>
        <v>-27923.560454191582</v>
      </c>
      <c r="H244" s="61">
        <f t="shared" si="107"/>
        <v>-30038.251867022675</v>
      </c>
      <c r="I244" s="64">
        <f t="shared" si="107"/>
        <v>-32231.562089227227</v>
      </c>
    </row>
    <row r="245" spans="1:9" ht="12.3" x14ac:dyDescent="0.4">
      <c r="A245" s="99" t="s">
        <v>229</v>
      </c>
      <c r="C245" s="58">
        <f>'Source Data'!F225</f>
        <v>46723</v>
      </c>
      <c r="D245" s="58">
        <f>'Source Data'!G225</f>
        <v>50581</v>
      </c>
      <c r="E245" s="61">
        <f t="shared" ref="E245:I245" si="108">SUM(E243:E244)</f>
        <v>51544.587917205499</v>
      </c>
      <c r="F245" s="61">
        <f t="shared" si="108"/>
        <v>52249.054974858976</v>
      </c>
      <c r="G245" s="61">
        <f t="shared" si="108"/>
        <v>53035.321914394735</v>
      </c>
      <c r="H245" s="61">
        <f t="shared" si="108"/>
        <v>53912.310102868971</v>
      </c>
      <c r="I245" s="64">
        <f t="shared" si="108"/>
        <v>54889.969079019254</v>
      </c>
    </row>
    <row r="246" spans="1:9" ht="12.3" x14ac:dyDescent="0.4">
      <c r="A246" s="99" t="s">
        <v>230</v>
      </c>
      <c r="C246" s="58">
        <f>'Source Data'!F226</f>
        <v>0</v>
      </c>
      <c r="D246" s="58">
        <f>'Source Data'!G226</f>
        <v>0</v>
      </c>
      <c r="E246" s="61"/>
      <c r="F246" s="61"/>
      <c r="G246" s="61"/>
      <c r="H246" s="61"/>
      <c r="I246" s="64"/>
    </row>
    <row r="247" spans="1:9" ht="12.3" x14ac:dyDescent="0.4">
      <c r="A247" s="99" t="s">
        <v>221</v>
      </c>
      <c r="C247" s="58">
        <f>'Source Data'!F227</f>
        <v>7029</v>
      </c>
      <c r="D247" s="58">
        <f>'Source Data'!G227</f>
        <v>7951</v>
      </c>
      <c r="E247" s="61">
        <f>Assumptions!$F$29*E204</f>
        <v>6394.8700940924264</v>
      </c>
      <c r="F247" s="61">
        <f>Assumptions!$F$29*F204</f>
        <v>6618.6212857791606</v>
      </c>
      <c r="G247" s="61">
        <f>Assumptions!$F$29*G204</f>
        <v>6855.1666373796697</v>
      </c>
      <c r="H247" s="61">
        <f>Assumptions!$F$29*H204</f>
        <v>7105.6093975032081</v>
      </c>
      <c r="I247" s="64">
        <f>Assumptions!$F$29*I204</f>
        <v>7371.1707576154004</v>
      </c>
    </row>
    <row r="248" spans="1:9" ht="12.3" x14ac:dyDescent="0.4">
      <c r="A248" s="99" t="s">
        <v>231</v>
      </c>
      <c r="C248" s="58">
        <f>'Source Data'!F228</f>
        <v>2470</v>
      </c>
      <c r="D248" s="58">
        <f>'Source Data'!G228</f>
        <v>2606</v>
      </c>
      <c r="E248" s="61">
        <f>Assumptions!$F$30*E204</f>
        <v>2693.4401940973089</v>
      </c>
      <c r="F248" s="61">
        <f>Assumptions!$F$30*F204</f>
        <v>2787.6814287586599</v>
      </c>
      <c r="G248" s="61">
        <f>Assumptions!$F$30*G204</f>
        <v>2887.3114053419627</v>
      </c>
      <c r="H248" s="61">
        <f>Assumptions!$F$30*H204</f>
        <v>2992.7947985168389</v>
      </c>
      <c r="I248" s="64">
        <f>Assumptions!$F$30*I204</f>
        <v>3104.6459590253376</v>
      </c>
    </row>
    <row r="249" spans="1:9" ht="12.3" x14ac:dyDescent="0.4">
      <c r="A249" s="99" t="s">
        <v>225</v>
      </c>
      <c r="C249" s="58">
        <f>'Source Data'!F229</f>
        <v>135</v>
      </c>
      <c r="D249" s="58">
        <f>'Source Data'!G229</f>
        <v>70</v>
      </c>
      <c r="E249" s="61">
        <f>Assumptions!$F$31*E204</f>
        <v>127.04924796254369</v>
      </c>
      <c r="F249" s="61">
        <f>Assumptions!$F$31*F204</f>
        <v>131.49459559529447</v>
      </c>
      <c r="G249" s="61">
        <f>Assumptions!$F$31*G204</f>
        <v>136.19412953229232</v>
      </c>
      <c r="H249" s="61">
        <f>Assumptions!$F$31*H204</f>
        <v>141.16976842146278</v>
      </c>
      <c r="I249" s="64">
        <f>Assumptions!$F$31*I204</f>
        <v>146.44577412505521</v>
      </c>
    </row>
    <row r="250" spans="1:9" ht="12.3" x14ac:dyDescent="0.4">
      <c r="A250" s="99" t="s">
        <v>30</v>
      </c>
      <c r="C250" s="58">
        <f>'Source Data'!F230</f>
        <v>1064</v>
      </c>
      <c r="D250" s="58">
        <f>'Source Data'!G230</f>
        <v>1226</v>
      </c>
      <c r="E250" s="61">
        <f>Assumptions!$F$32*E204</f>
        <v>1103.1221222776253</v>
      </c>
      <c r="F250" s="61">
        <f>Assumptions!$F$32*F204</f>
        <v>1141.7194488540688</v>
      </c>
      <c r="G250" s="61">
        <f>Assumptions!$F$32*G204</f>
        <v>1182.5237820825914</v>
      </c>
      <c r="H250" s="61">
        <f>Assumptions!$F$32*H204</f>
        <v>1225.7254335612918</v>
      </c>
      <c r="I250" s="64">
        <f>Assumptions!$F$32*I204</f>
        <v>1271.5350601606683</v>
      </c>
    </row>
    <row r="251" spans="1:9" ht="12.3" x14ac:dyDescent="0.4">
      <c r="A251" s="247" t="s">
        <v>232</v>
      </c>
      <c r="C251" s="58">
        <f>'Source Data'!F231</f>
        <v>10698</v>
      </c>
      <c r="D251" s="58">
        <f>'Source Data'!G231</f>
        <v>11853</v>
      </c>
      <c r="E251" s="61">
        <f t="shared" ref="E251:I251" si="109">SUM(E247:E250)</f>
        <v>10318.481658429906</v>
      </c>
      <c r="F251" s="61">
        <f t="shared" si="109"/>
        <v>10679.516758987183</v>
      </c>
      <c r="G251" s="61">
        <f t="shared" si="109"/>
        <v>11061.195954336516</v>
      </c>
      <c r="H251" s="61">
        <f t="shared" si="109"/>
        <v>11465.299398002802</v>
      </c>
      <c r="I251" s="64">
        <f t="shared" si="109"/>
        <v>11893.797550926462</v>
      </c>
    </row>
    <row r="252" spans="1:9" ht="12.3" x14ac:dyDescent="0.4">
      <c r="A252" s="247" t="s">
        <v>233</v>
      </c>
      <c r="C252" s="58">
        <f>'Source Data'!F232</f>
        <v>63234</v>
      </c>
      <c r="D252" s="58">
        <f>'Source Data'!G232</f>
        <v>68598</v>
      </c>
      <c r="E252" s="61">
        <f t="shared" ref="E252:I252" si="110">E276</f>
        <v>68226.851713044642</v>
      </c>
      <c r="F252" s="61">
        <f t="shared" si="110"/>
        <v>71528.95660511477</v>
      </c>
      <c r="G252" s="61">
        <f t="shared" si="110"/>
        <v>74839.308127962606</v>
      </c>
      <c r="H252" s="61">
        <f t="shared" si="110"/>
        <v>78158.476957677223</v>
      </c>
      <c r="I252" s="64">
        <f t="shared" si="110"/>
        <v>81488.855273422538</v>
      </c>
    </row>
    <row r="253" spans="1:9" ht="12.3" x14ac:dyDescent="0.4">
      <c r="A253" s="26"/>
      <c r="C253" s="32">
        <f>'Source Data'!F233</f>
        <v>0</v>
      </c>
      <c r="D253" s="32"/>
      <c r="I253" s="15"/>
    </row>
    <row r="254" spans="1:9" ht="12.3" x14ac:dyDescent="0.4">
      <c r="A254" s="247" t="s">
        <v>234</v>
      </c>
      <c r="C254" s="32">
        <f>'Source Data'!F234</f>
        <v>0</v>
      </c>
      <c r="D254" s="32">
        <f>'Source Data'!G234</f>
        <v>0</v>
      </c>
      <c r="I254" s="15"/>
    </row>
    <row r="255" spans="1:9" ht="12.3" x14ac:dyDescent="0.4">
      <c r="A255" s="99" t="s">
        <v>235</v>
      </c>
      <c r="C255" s="32">
        <f>'Source Data'!F235</f>
        <v>0</v>
      </c>
      <c r="D255" s="32">
        <f>'Source Data'!G235</f>
        <v>0</v>
      </c>
      <c r="I255" s="15"/>
    </row>
    <row r="256" spans="1:9" ht="12.3" x14ac:dyDescent="0.4">
      <c r="A256" s="99" t="s">
        <v>236</v>
      </c>
      <c r="C256" s="58">
        <f>'Source Data'!F236</f>
        <v>1019</v>
      </c>
      <c r="D256" s="58">
        <f>'Source Data'!G236</f>
        <v>1516</v>
      </c>
      <c r="E256" s="61">
        <f>Assumptions!$F$35*E204</f>
        <v>1074.2765548138152</v>
      </c>
      <c r="F256" s="61">
        <f>Assumptions!$F$35*F204</f>
        <v>1111.8645989498118</v>
      </c>
      <c r="G256" s="61">
        <f>Assumptions!$F$35*G204</f>
        <v>1151.6019386667465</v>
      </c>
      <c r="H256" s="61">
        <f>Assumptions!$F$35*H204</f>
        <v>1193.6739091000663</v>
      </c>
      <c r="I256" s="64">
        <f>Assumptions!$F$35*I204</f>
        <v>1238.2856586485905</v>
      </c>
    </row>
    <row r="257" spans="1:9" ht="12.3" x14ac:dyDescent="0.4">
      <c r="A257" s="99" t="s">
        <v>237</v>
      </c>
      <c r="C257" s="58">
        <f>'Source Data'!F237</f>
        <v>160</v>
      </c>
      <c r="D257" s="58">
        <f>'Source Data'!G237</f>
        <v>700</v>
      </c>
      <c r="E257" s="61">
        <f>'Source Data'!$N$237*E267</f>
        <v>464.51767511338647</v>
      </c>
      <c r="F257" s="61">
        <f>'Source Data'!$N$237*F267</f>
        <v>496.58070043776252</v>
      </c>
      <c r="G257" s="61">
        <f>'Source Data'!$N$237*G267</f>
        <v>530.85685488085448</v>
      </c>
      <c r="H257" s="61">
        <f>'Source Data'!$N$237*H267</f>
        <v>567.49889821646866</v>
      </c>
      <c r="I257" s="64">
        <f>'Source Data'!$N$237*I267</f>
        <v>606.670134360774</v>
      </c>
    </row>
    <row r="258" spans="1:9" ht="12.3" x14ac:dyDescent="0.4">
      <c r="A258" s="99" t="s">
        <v>238</v>
      </c>
      <c r="C258" s="58">
        <f>'Source Data'!F238</f>
        <v>0</v>
      </c>
      <c r="D258" s="58">
        <f>'Source Data'!G238</f>
        <v>0</v>
      </c>
      <c r="E258" s="61"/>
      <c r="F258" s="61"/>
      <c r="G258" s="61"/>
      <c r="H258" s="61"/>
      <c r="I258" s="64"/>
    </row>
    <row r="259" spans="1:9" ht="12.3" x14ac:dyDescent="0.4">
      <c r="A259" s="99" t="s">
        <v>239</v>
      </c>
      <c r="C259" s="58">
        <f>'Source Data'!F239</f>
        <v>1414</v>
      </c>
      <c r="D259" s="58">
        <f>'Source Data'!G239</f>
        <v>1495</v>
      </c>
      <c r="E259" s="61">
        <f t="shared" ref="E259:I259" si="111">E171</f>
        <v>1560.078882318561</v>
      </c>
      <c r="F259" s="61">
        <f t="shared" si="111"/>
        <v>1614.6647462857675</v>
      </c>
      <c r="G259" s="61">
        <f t="shared" si="111"/>
        <v>1672.3718462444488</v>
      </c>
      <c r="H259" s="61">
        <f t="shared" si="111"/>
        <v>1733.4693283745773</v>
      </c>
      <c r="I259" s="64">
        <f t="shared" si="111"/>
        <v>1798.2551119440595</v>
      </c>
    </row>
    <row r="260" spans="1:9" ht="12.3" x14ac:dyDescent="0.4">
      <c r="A260" s="99" t="s">
        <v>62</v>
      </c>
      <c r="C260" s="58">
        <f>'Source Data'!F240</f>
        <v>715</v>
      </c>
      <c r="D260" s="58">
        <f>'Source Data'!G240</f>
        <v>645</v>
      </c>
      <c r="E260" s="61">
        <f t="shared" ref="E260:I260" si="112">E172</f>
        <v>673.0775111006501</v>
      </c>
      <c r="F260" s="61">
        <f t="shared" si="112"/>
        <v>696.62793401626755</v>
      </c>
      <c r="G260" s="61">
        <f t="shared" si="112"/>
        <v>721.52497714225376</v>
      </c>
      <c r="H260" s="61">
        <f t="shared" si="112"/>
        <v>747.8847604024096</v>
      </c>
      <c r="I260" s="64">
        <f t="shared" si="112"/>
        <v>775.83581752770453</v>
      </c>
    </row>
    <row r="261" spans="1:9" ht="12.3" x14ac:dyDescent="0.4">
      <c r="A261" s="99" t="s">
        <v>30</v>
      </c>
      <c r="C261" s="58">
        <f>'Source Data'!F241</f>
        <v>398</v>
      </c>
      <c r="D261" s="58">
        <f>'Source Data'!G241</f>
        <v>433</v>
      </c>
      <c r="E261" s="61">
        <f t="shared" ref="E261:I261" si="113">E173</f>
        <v>451.84893380865344</v>
      </c>
      <c r="F261" s="61">
        <f t="shared" si="113"/>
        <v>467.65875260316875</v>
      </c>
      <c r="G261" s="61">
        <f t="shared" si="113"/>
        <v>484.37258155441225</v>
      </c>
      <c r="H261" s="61">
        <f t="shared" si="113"/>
        <v>502.06837403758664</v>
      </c>
      <c r="I261" s="64">
        <f t="shared" si="113"/>
        <v>520.83241703797842</v>
      </c>
    </row>
    <row r="262" spans="1:9" ht="12.3" x14ac:dyDescent="0.4">
      <c r="A262" s="99" t="str">
        <f>'Source Data'!B242</f>
        <v>Disputed claims and customer refunds</v>
      </c>
      <c r="C262" s="58">
        <f>'Source Data'!F242</f>
        <v>454</v>
      </c>
      <c r="D262" s="58">
        <f>'Source Data'!G242</f>
        <v>236</v>
      </c>
      <c r="E262" s="61">
        <f t="shared" ref="E262:I262" si="114">D262</f>
        <v>236</v>
      </c>
      <c r="F262" s="61">
        <f t="shared" si="114"/>
        <v>236</v>
      </c>
      <c r="G262" s="61">
        <f t="shared" si="114"/>
        <v>236</v>
      </c>
      <c r="H262" s="61">
        <f t="shared" si="114"/>
        <v>236</v>
      </c>
      <c r="I262" s="64">
        <f t="shared" si="114"/>
        <v>236</v>
      </c>
    </row>
    <row r="263" spans="1:9" ht="12.3" x14ac:dyDescent="0.4">
      <c r="A263" s="99" t="s">
        <v>241</v>
      </c>
      <c r="C263" s="58">
        <f>'Source Data'!F243</f>
        <v>206</v>
      </c>
      <c r="D263" s="58">
        <f>'Source Data'!G243</f>
        <v>216</v>
      </c>
      <c r="E263" s="61">
        <f t="shared" ref="E263:I263" si="115">D263</f>
        <v>216</v>
      </c>
      <c r="F263" s="61">
        <f t="shared" si="115"/>
        <v>216</v>
      </c>
      <c r="G263" s="61">
        <f t="shared" si="115"/>
        <v>216</v>
      </c>
      <c r="H263" s="61">
        <f t="shared" si="115"/>
        <v>216</v>
      </c>
      <c r="I263" s="64">
        <f t="shared" si="115"/>
        <v>216</v>
      </c>
    </row>
    <row r="264" spans="1:9" ht="12.3" x14ac:dyDescent="0.4">
      <c r="A264" s="99" t="s">
        <v>30</v>
      </c>
      <c r="C264" s="58">
        <f>'Source Data'!F244</f>
        <v>1997</v>
      </c>
      <c r="D264" s="58">
        <f>'Source Data'!G244</f>
        <v>2323</v>
      </c>
      <c r="E264" s="61">
        <f t="shared" ref="E264:I264" si="116">2000</f>
        <v>2000</v>
      </c>
      <c r="F264" s="61">
        <f t="shared" si="116"/>
        <v>2000</v>
      </c>
      <c r="G264" s="61">
        <f t="shared" si="116"/>
        <v>2000</v>
      </c>
      <c r="H264" s="61">
        <f t="shared" si="116"/>
        <v>2000</v>
      </c>
      <c r="I264" s="61">
        <f t="shared" si="116"/>
        <v>2000</v>
      </c>
    </row>
    <row r="265" spans="1:9" ht="12.3" x14ac:dyDescent="0.4">
      <c r="A265" s="247" t="s">
        <v>242</v>
      </c>
      <c r="C265" s="58">
        <f>'Source Data'!F245</f>
        <v>6363</v>
      </c>
      <c r="D265" s="58">
        <f>'Source Data'!G245</f>
        <v>7564</v>
      </c>
      <c r="E265" s="61">
        <f t="shared" ref="E265:I265" si="117">SUM(E256:E264)</f>
        <v>6675.7995571550664</v>
      </c>
      <c r="F265" s="61">
        <f t="shared" si="117"/>
        <v>6839.3967322927783</v>
      </c>
      <c r="G265" s="61">
        <f t="shared" si="117"/>
        <v>7012.7281984887159</v>
      </c>
      <c r="H265" s="61">
        <f t="shared" si="117"/>
        <v>7196.5952701311089</v>
      </c>
      <c r="I265" s="64">
        <f t="shared" si="117"/>
        <v>7391.8791395191065</v>
      </c>
    </row>
    <row r="266" spans="1:9" ht="12.3" x14ac:dyDescent="0.4">
      <c r="A266" s="99" t="s">
        <v>243</v>
      </c>
      <c r="C266" s="58">
        <f>'Source Data'!F246</f>
        <v>0</v>
      </c>
      <c r="D266" s="58">
        <f>'Source Data'!G246</f>
        <v>0</v>
      </c>
      <c r="E266" s="61"/>
      <c r="F266" s="61"/>
      <c r="G266" s="61"/>
      <c r="H266" s="61"/>
      <c r="I266" s="64"/>
    </row>
    <row r="267" spans="1:9" ht="12.3" x14ac:dyDescent="0.4">
      <c r="A267" s="99" t="s">
        <v>244</v>
      </c>
      <c r="C267" s="58">
        <f>'Source Data'!F247</f>
        <v>15925</v>
      </c>
      <c r="D267" s="58">
        <f>'Source Data'!G247</f>
        <v>16220</v>
      </c>
      <c r="E267" s="61">
        <f t="shared" ref="E267:I267" si="118">E180</f>
        <v>14978</v>
      </c>
      <c r="F267" s="61">
        <f t="shared" si="118"/>
        <v>16011.846544571808</v>
      </c>
      <c r="G267" s="61">
        <f t="shared" si="118"/>
        <v>17117.053663167058</v>
      </c>
      <c r="H267" s="61">
        <f t="shared" si="118"/>
        <v>18298.546972214695</v>
      </c>
      <c r="I267" s="64">
        <f t="shared" si="118"/>
        <v>19561.592075560209</v>
      </c>
    </row>
    <row r="268" spans="1:9" ht="12.3" x14ac:dyDescent="0.4">
      <c r="A268" s="99" t="s">
        <v>245</v>
      </c>
      <c r="C268" s="58">
        <f>'Source Data'!F248</f>
        <v>6321</v>
      </c>
      <c r="D268" s="58">
        <f>'Source Data'!G248</f>
        <v>6805</v>
      </c>
      <c r="E268" s="61">
        <f t="shared" ref="E268:I268" si="119">D268</f>
        <v>6805</v>
      </c>
      <c r="F268" s="61">
        <f t="shared" si="119"/>
        <v>6805</v>
      </c>
      <c r="G268" s="61">
        <f t="shared" si="119"/>
        <v>6805</v>
      </c>
      <c r="H268" s="61">
        <f t="shared" si="119"/>
        <v>6805</v>
      </c>
      <c r="I268" s="64">
        <f t="shared" si="119"/>
        <v>6805</v>
      </c>
    </row>
    <row r="269" spans="1:9" ht="12.3" x14ac:dyDescent="0.4">
      <c r="A269" s="99" t="s">
        <v>247</v>
      </c>
      <c r="C269" s="58">
        <f>'Source Data'!F249</f>
        <v>2622</v>
      </c>
      <c r="D269" s="58">
        <f>'Source Data'!G249</f>
        <v>2641</v>
      </c>
      <c r="E269" s="61">
        <f t="shared" ref="E269:I269" si="120">D269</f>
        <v>2641</v>
      </c>
      <c r="F269" s="61">
        <f t="shared" si="120"/>
        <v>2641</v>
      </c>
      <c r="G269" s="61">
        <f t="shared" si="120"/>
        <v>2641</v>
      </c>
      <c r="H269" s="61">
        <f t="shared" si="120"/>
        <v>2641</v>
      </c>
      <c r="I269" s="64">
        <f t="shared" si="120"/>
        <v>2641</v>
      </c>
    </row>
    <row r="270" spans="1:9" ht="12.3" x14ac:dyDescent="0.4">
      <c r="A270" s="99" t="s">
        <v>248</v>
      </c>
      <c r="C270" s="58">
        <f>'Source Data'!F250</f>
        <v>3643</v>
      </c>
      <c r="D270" s="58">
        <f>'Source Data'!G250</f>
        <v>4684</v>
      </c>
      <c r="E270" s="61">
        <f t="shared" ref="E270:I270" si="121">D270</f>
        <v>4684</v>
      </c>
      <c r="F270" s="61">
        <f t="shared" si="121"/>
        <v>4684</v>
      </c>
      <c r="G270" s="61">
        <f t="shared" si="121"/>
        <v>4684</v>
      </c>
      <c r="H270" s="61">
        <f t="shared" si="121"/>
        <v>4684</v>
      </c>
      <c r="I270" s="64">
        <f t="shared" si="121"/>
        <v>4684</v>
      </c>
    </row>
    <row r="271" spans="1:9" ht="12.3" x14ac:dyDescent="0.4">
      <c r="A271" s="99" t="s">
        <v>249</v>
      </c>
      <c r="C271" s="58">
        <f>'Source Data'!F251</f>
        <v>9206</v>
      </c>
      <c r="D271" s="58">
        <f>'Source Data'!G251</f>
        <v>10213</v>
      </c>
      <c r="E271" s="61">
        <f>D271*(1+Assumptions!$F$54)</f>
        <v>10723.65</v>
      </c>
      <c r="F271" s="61">
        <f>E271*(1+Assumptions!$F$54)</f>
        <v>11259.8325</v>
      </c>
      <c r="G271" s="61">
        <f>F271*(1+Assumptions!$F$54)</f>
        <v>11822.824125000001</v>
      </c>
      <c r="H271" s="61">
        <f>G271*(1+Assumptions!$F$54)</f>
        <v>12413.965331250001</v>
      </c>
      <c r="I271" s="64">
        <f>H271*(1+Assumptions!$F$54)</f>
        <v>13034.663597812501</v>
      </c>
    </row>
    <row r="272" spans="1:9" ht="12.3" x14ac:dyDescent="0.4">
      <c r="A272" s="99" t="s">
        <v>30</v>
      </c>
      <c r="C272" s="58">
        <f>'Source Data'!F252</f>
        <v>2326</v>
      </c>
      <c r="D272" s="58">
        <f>'Source Data'!G252</f>
        <v>2279</v>
      </c>
      <c r="E272" s="61">
        <f t="shared" ref="E272:I272" si="122">2000</f>
        <v>2000</v>
      </c>
      <c r="F272" s="61">
        <f t="shared" si="122"/>
        <v>2000</v>
      </c>
      <c r="G272" s="61">
        <f t="shared" si="122"/>
        <v>2000</v>
      </c>
      <c r="H272" s="61">
        <f t="shared" si="122"/>
        <v>2000</v>
      </c>
      <c r="I272" s="61">
        <f t="shared" si="122"/>
        <v>2000</v>
      </c>
    </row>
    <row r="273" spans="1:9" ht="12.3" x14ac:dyDescent="0.4">
      <c r="A273" s="247" t="s">
        <v>250</v>
      </c>
      <c r="C273" s="58">
        <f>'Source Data'!F253</f>
        <v>40043</v>
      </c>
      <c r="D273" s="58">
        <f>'Source Data'!G253</f>
        <v>42842</v>
      </c>
      <c r="E273" s="373">
        <f t="shared" ref="E273:I273" si="123">SUM(E267:E272)</f>
        <v>41831.65</v>
      </c>
      <c r="F273" s="373">
        <f t="shared" si="123"/>
        <v>43401.679044571807</v>
      </c>
      <c r="G273" s="373">
        <f t="shared" si="123"/>
        <v>45069.877788167061</v>
      </c>
      <c r="H273" s="373">
        <f t="shared" si="123"/>
        <v>46842.512303464697</v>
      </c>
      <c r="I273" s="374">
        <f t="shared" si="123"/>
        <v>48726.255673372711</v>
      </c>
    </row>
    <row r="274" spans="1:9" ht="12.3" x14ac:dyDescent="0.4">
      <c r="A274" s="99"/>
      <c r="C274" s="58">
        <f>'Source Data'!F255</f>
        <v>0</v>
      </c>
      <c r="D274" s="58">
        <f>'Source Data'!G255</f>
        <v>0</v>
      </c>
      <c r="E274" s="61"/>
      <c r="F274" s="61"/>
      <c r="G274" s="61"/>
      <c r="H274" s="61"/>
      <c r="I274" s="64"/>
    </row>
    <row r="275" spans="1:9" ht="12.3" x14ac:dyDescent="0.4">
      <c r="A275" s="99" t="s">
        <v>340</v>
      </c>
      <c r="C275" s="58">
        <f>'Source Data'!F262</f>
        <v>16828</v>
      </c>
      <c r="D275" s="58">
        <f>'Source Data'!G262</f>
        <v>18192</v>
      </c>
      <c r="E275" s="61">
        <f t="shared" ref="E275:I275" si="124">D275+E217</f>
        <v>19719.402155889569</v>
      </c>
      <c r="F275" s="61">
        <f t="shared" si="124"/>
        <v>21287.880828250192</v>
      </c>
      <c r="G275" s="61">
        <f t="shared" si="124"/>
        <v>22756.702141306832</v>
      </c>
      <c r="H275" s="61">
        <f t="shared" si="124"/>
        <v>24119.36938408143</v>
      </c>
      <c r="I275" s="64">
        <f t="shared" si="124"/>
        <v>25370.720460530727</v>
      </c>
    </row>
    <row r="276" spans="1:9" ht="12.3" x14ac:dyDescent="0.4">
      <c r="A276" s="288" t="s">
        <v>258</v>
      </c>
      <c r="B276" s="67"/>
      <c r="C276" s="375">
        <f>'Source Data'!F263</f>
        <v>63234</v>
      </c>
      <c r="D276" s="375">
        <f>'Source Data'!G263</f>
        <v>68598</v>
      </c>
      <c r="E276" s="170">
        <f t="shared" ref="E276:I276" si="125">E275+E273+E265</f>
        <v>68226.851713044642</v>
      </c>
      <c r="F276" s="170">
        <f t="shared" si="125"/>
        <v>71528.95660511477</v>
      </c>
      <c r="G276" s="170">
        <f t="shared" si="125"/>
        <v>74839.308127962606</v>
      </c>
      <c r="H276" s="170">
        <f t="shared" si="125"/>
        <v>78158.476957677223</v>
      </c>
      <c r="I276" s="172">
        <f t="shared" si="125"/>
        <v>81488.855273422538</v>
      </c>
    </row>
    <row r="278" spans="1:9" ht="12.3" x14ac:dyDescent="0.4">
      <c r="A278" s="534" t="s">
        <v>341</v>
      </c>
      <c r="B278" s="489"/>
      <c r="C278" s="489"/>
      <c r="D278" s="489"/>
      <c r="E278" s="489"/>
      <c r="F278" s="489"/>
      <c r="G278" s="489"/>
      <c r="H278" s="489"/>
      <c r="I278" s="490"/>
    </row>
    <row r="279" spans="1:9" ht="12.3" x14ac:dyDescent="0.4">
      <c r="A279" s="485" t="s">
        <v>106</v>
      </c>
      <c r="B279" s="486"/>
      <c r="C279" s="486"/>
      <c r="D279" s="486"/>
      <c r="E279" s="486"/>
      <c r="F279" s="486"/>
      <c r="G279" s="486"/>
      <c r="H279" s="486"/>
      <c r="I279" s="487"/>
    </row>
    <row r="280" spans="1:9" ht="12.3" x14ac:dyDescent="0.4">
      <c r="A280" s="26"/>
      <c r="C280" s="152">
        <v>2015</v>
      </c>
      <c r="D280" s="152">
        <v>2016</v>
      </c>
      <c r="E280" s="18" t="s">
        <v>8</v>
      </c>
      <c r="F280" s="18" t="s">
        <v>10</v>
      </c>
      <c r="G280" s="18" t="s">
        <v>11</v>
      </c>
      <c r="H280" s="18" t="s">
        <v>12</v>
      </c>
      <c r="I280" s="23" t="s">
        <v>13</v>
      </c>
    </row>
    <row r="281" spans="1:9" ht="12.3" x14ac:dyDescent="0.4">
      <c r="A281" s="247" t="s">
        <v>342</v>
      </c>
      <c r="I281" s="15"/>
    </row>
    <row r="282" spans="1:9" ht="14.4" x14ac:dyDescent="0.55000000000000004">
      <c r="A282" s="99" t="s">
        <v>124</v>
      </c>
      <c r="B282" s="376"/>
      <c r="C282" s="58">
        <v>888</v>
      </c>
      <c r="D282" s="58">
        <v>1407</v>
      </c>
      <c r="E282" s="61">
        <f t="shared" ref="E282:I282" si="126">E217</f>
        <v>1527.4021558895708</v>
      </c>
      <c r="F282" s="61">
        <f t="shared" si="126"/>
        <v>1568.4786723606242</v>
      </c>
      <c r="G282" s="61">
        <f t="shared" si="126"/>
        <v>1468.8213130566387</v>
      </c>
      <c r="H282" s="61">
        <f t="shared" si="126"/>
        <v>1362.6672427745998</v>
      </c>
      <c r="I282" s="64">
        <f t="shared" si="126"/>
        <v>1251.351076449296</v>
      </c>
    </row>
    <row r="283" spans="1:9" ht="12.3" x14ac:dyDescent="0.4">
      <c r="A283" s="99" t="s">
        <v>196</v>
      </c>
      <c r="C283" s="58">
        <v>2612</v>
      </c>
      <c r="D283" s="58">
        <v>2755</v>
      </c>
      <c r="E283" s="61">
        <f t="shared" ref="E283:I283" si="127">E209</f>
        <v>2899.0781467181469</v>
      </c>
      <c r="F283" s="61">
        <f t="shared" si="127"/>
        <v>2970.0868460031315</v>
      </c>
      <c r="G283" s="61">
        <f t="shared" si="127"/>
        <v>3040.3954614703034</v>
      </c>
      <c r="H283" s="61">
        <f t="shared" si="127"/>
        <v>3114.6914128310937</v>
      </c>
      <c r="I283" s="64">
        <f t="shared" si="127"/>
        <v>3193.3102222045527</v>
      </c>
    </row>
    <row r="284" spans="1:9" ht="12.3" x14ac:dyDescent="0.4">
      <c r="A284" s="99" t="s">
        <v>343</v>
      </c>
      <c r="C284" s="61"/>
      <c r="D284" s="61"/>
      <c r="E284" s="170">
        <f t="shared" ref="E284:I284" si="128">-E175</f>
        <v>407.69268189430886</v>
      </c>
      <c r="F284" s="170">
        <f>-F175</f>
        <v>-74.642650692955158</v>
      </c>
      <c r="G284" s="170">
        <f t="shared" si="128"/>
        <v>-78.910739734874369</v>
      </c>
      <c r="H284" s="170">
        <f t="shared" si="128"/>
        <v>-83.546868830328549</v>
      </c>
      <c r="I284" s="172">
        <f t="shared" si="128"/>
        <v>-88.590383322532489</v>
      </c>
    </row>
    <row r="285" spans="1:9" ht="12.3" x14ac:dyDescent="0.4">
      <c r="A285" s="247" t="s">
        <v>344</v>
      </c>
      <c r="C285" s="58">
        <v>3780</v>
      </c>
      <c r="D285" s="58">
        <v>4409</v>
      </c>
      <c r="E285" s="61">
        <f t="shared" ref="E285:I285" si="129">E282+E283+E284</f>
        <v>4834.1729845020272</v>
      </c>
      <c r="F285" s="61">
        <f t="shared" si="129"/>
        <v>4463.9228676708008</v>
      </c>
      <c r="G285" s="61">
        <f t="shared" si="129"/>
        <v>4430.3060347920673</v>
      </c>
      <c r="H285" s="61">
        <f t="shared" si="129"/>
        <v>4393.8117867753645</v>
      </c>
      <c r="I285" s="64">
        <f t="shared" si="129"/>
        <v>4356.0709153313164</v>
      </c>
    </row>
    <row r="286" spans="1:9" ht="12.3" x14ac:dyDescent="0.4">
      <c r="A286" s="247"/>
      <c r="C286" s="61"/>
      <c r="D286" s="61"/>
      <c r="E286" s="61"/>
      <c r="F286" s="61"/>
      <c r="G286" s="61"/>
      <c r="H286" s="61"/>
      <c r="I286" s="64"/>
    </row>
    <row r="287" spans="1:9" ht="12.3" x14ac:dyDescent="0.4">
      <c r="A287" s="247" t="s">
        <v>278</v>
      </c>
      <c r="C287" s="61"/>
      <c r="D287" s="61"/>
      <c r="E287" s="61"/>
      <c r="F287" s="61"/>
      <c r="G287" s="61"/>
      <c r="H287" s="61"/>
      <c r="I287" s="64"/>
    </row>
    <row r="288" spans="1:9" ht="12.3" x14ac:dyDescent="0.4">
      <c r="A288" s="99" t="s">
        <v>345</v>
      </c>
      <c r="C288" s="58"/>
      <c r="D288" s="58">
        <v>-5709</v>
      </c>
      <c r="E288" s="61">
        <f t="shared" ref="E288:I288" si="130">-E65</f>
        <v>-2862.6660639236511</v>
      </c>
      <c r="F288" s="61">
        <f t="shared" si="130"/>
        <v>-2674.5539036566001</v>
      </c>
      <c r="G288" s="61">
        <f t="shared" si="130"/>
        <v>-2826.6624010060714</v>
      </c>
      <c r="H288" s="61">
        <f t="shared" si="130"/>
        <v>-2991.6796013053208</v>
      </c>
      <c r="I288" s="64">
        <f t="shared" si="130"/>
        <v>-3170.9691983548473</v>
      </c>
    </row>
    <row r="289" spans="1:12" ht="12.3" x14ac:dyDescent="0.4">
      <c r="A289" s="247" t="s">
        <v>346</v>
      </c>
      <c r="C289" s="61"/>
      <c r="D289" s="61"/>
      <c r="E289" s="61">
        <f t="shared" ref="E289:I289" si="131">SUM(E288)</f>
        <v>-2862.6660639236511</v>
      </c>
      <c r="F289" s="61">
        <f t="shared" si="131"/>
        <v>-2674.5539036566001</v>
      </c>
      <c r="G289" s="61">
        <f t="shared" si="131"/>
        <v>-2826.6624010060714</v>
      </c>
      <c r="H289" s="61">
        <f t="shared" si="131"/>
        <v>-2991.6796013053208</v>
      </c>
      <c r="I289" s="64">
        <f t="shared" si="131"/>
        <v>-3170.9691983548473</v>
      </c>
    </row>
    <row r="290" spans="1:12" ht="12.3" x14ac:dyDescent="0.4">
      <c r="A290" s="94"/>
      <c r="C290" s="61"/>
      <c r="D290" s="61"/>
      <c r="E290" s="61"/>
      <c r="F290" s="61"/>
      <c r="G290" s="61"/>
      <c r="H290" s="61"/>
      <c r="I290" s="64"/>
    </row>
    <row r="291" spans="1:12" ht="12.3" x14ac:dyDescent="0.4">
      <c r="A291" s="94" t="s">
        <v>286</v>
      </c>
      <c r="C291" s="61"/>
      <c r="D291" s="61"/>
      <c r="E291" s="61"/>
      <c r="F291" s="61"/>
      <c r="G291" s="61"/>
      <c r="H291" s="61"/>
      <c r="I291" s="64"/>
    </row>
    <row r="292" spans="1:12" ht="12.3" x14ac:dyDescent="0.4">
      <c r="A292" s="99" t="s">
        <v>347</v>
      </c>
      <c r="C292" s="61"/>
      <c r="D292" s="61"/>
      <c r="E292" s="373">
        <v>0</v>
      </c>
      <c r="F292" s="61">
        <f t="shared" ref="F292:I292" si="132">F182</f>
        <v>1033.8465445718084</v>
      </c>
      <c r="G292" s="61">
        <f t="shared" si="132"/>
        <v>1105.20711859525</v>
      </c>
      <c r="H292" s="61">
        <f t="shared" si="132"/>
        <v>1181.493309047637</v>
      </c>
      <c r="I292" s="64">
        <f t="shared" si="132"/>
        <v>1263.0451033455138</v>
      </c>
    </row>
    <row r="293" spans="1:12" ht="12.3" x14ac:dyDescent="0.4">
      <c r="A293" s="247" t="s">
        <v>348</v>
      </c>
      <c r="C293" s="61"/>
      <c r="D293" s="61"/>
      <c r="E293" s="373">
        <v>0</v>
      </c>
      <c r="F293" s="61">
        <f t="shared" ref="F293:I293" si="133">SUM(F292)</f>
        <v>1033.8465445718084</v>
      </c>
      <c r="G293" s="61">
        <f t="shared" si="133"/>
        <v>1105.20711859525</v>
      </c>
      <c r="H293" s="61">
        <f t="shared" si="133"/>
        <v>1181.493309047637</v>
      </c>
      <c r="I293" s="64">
        <f t="shared" si="133"/>
        <v>1263.0451033455138</v>
      </c>
      <c r="J293" s="249"/>
      <c r="K293" s="249"/>
      <c r="L293" s="249"/>
    </row>
    <row r="294" spans="1:12" ht="12.3" x14ac:dyDescent="0.4">
      <c r="A294" s="94"/>
      <c r="C294" s="61"/>
      <c r="D294" s="61"/>
      <c r="E294" s="61"/>
      <c r="F294" s="61"/>
      <c r="G294" s="61"/>
      <c r="H294" s="61"/>
      <c r="I294" s="64"/>
    </row>
    <row r="295" spans="1:12" ht="12.3" x14ac:dyDescent="0.4">
      <c r="A295" s="178" t="s">
        <v>349</v>
      </c>
      <c r="B295" s="67"/>
      <c r="C295" s="170"/>
      <c r="D295" s="170"/>
      <c r="E295" s="170">
        <f t="shared" ref="E295:I295" si="134">E285+E289+E293</f>
        <v>1971.5069205783761</v>
      </c>
      <c r="F295" s="170">
        <f t="shared" si="134"/>
        <v>2823.215508586009</v>
      </c>
      <c r="G295" s="170">
        <f t="shared" si="134"/>
        <v>2708.8507523812459</v>
      </c>
      <c r="H295" s="170">
        <f t="shared" si="134"/>
        <v>2583.6254945176806</v>
      </c>
      <c r="I295" s="172">
        <f t="shared" si="134"/>
        <v>2448.1468203219829</v>
      </c>
    </row>
    <row r="296" spans="1:12" ht="12.3" x14ac:dyDescent="0.4">
      <c r="A296" s="138"/>
    </row>
    <row r="297" spans="1:12" ht="12.3" x14ac:dyDescent="0.4">
      <c r="A297" s="138"/>
    </row>
    <row r="298" spans="1:12" ht="12.3" x14ac:dyDescent="0.4">
      <c r="A298" s="138"/>
    </row>
    <row r="299" spans="1:12" ht="12.3" x14ac:dyDescent="0.4">
      <c r="A299" s="89"/>
      <c r="C299" s="377"/>
      <c r="D299" s="377"/>
    </row>
    <row r="300" spans="1:12" ht="12.3" x14ac:dyDescent="0.4">
      <c r="A300" s="89"/>
      <c r="C300" s="25"/>
      <c r="D300" s="11"/>
    </row>
    <row r="301" spans="1:12" ht="12.3" x14ac:dyDescent="0.4">
      <c r="A301" s="89"/>
    </row>
    <row r="302" spans="1:12" ht="12.3" x14ac:dyDescent="0.4">
      <c r="A302" s="89"/>
      <c r="C302" s="25"/>
      <c r="D302" s="25"/>
      <c r="E302" s="1"/>
      <c r="F302" s="1"/>
      <c r="G302" s="1"/>
      <c r="H302" s="1"/>
      <c r="I302" s="1"/>
    </row>
    <row r="303" spans="1:12" ht="12.3" x14ac:dyDescent="0.4">
      <c r="A303" s="89"/>
      <c r="C303" s="25"/>
      <c r="D303" s="25"/>
    </row>
    <row r="304" spans="1:12" ht="12.3" x14ac:dyDescent="0.4">
      <c r="A304" s="89"/>
      <c r="C304" s="25"/>
      <c r="D304" s="25"/>
    </row>
    <row r="305" spans="1:4" ht="12.3" x14ac:dyDescent="0.4">
      <c r="A305" s="89"/>
      <c r="C305" s="25"/>
      <c r="D305" s="25"/>
    </row>
    <row r="306" spans="1:4" ht="12.3" x14ac:dyDescent="0.4">
      <c r="A306" s="89"/>
      <c r="C306" s="25"/>
      <c r="D306" s="25"/>
    </row>
    <row r="307" spans="1:4" ht="12.3" x14ac:dyDescent="0.4">
      <c r="A307" s="89"/>
      <c r="C307" s="25"/>
      <c r="D307" s="25"/>
    </row>
    <row r="308" spans="1:4" ht="12.3" x14ac:dyDescent="0.4">
      <c r="A308" s="89"/>
      <c r="C308" s="25"/>
      <c r="D308" s="25"/>
    </row>
    <row r="309" spans="1:4" ht="12.3" x14ac:dyDescent="0.4">
      <c r="A309" s="89"/>
      <c r="C309" s="25"/>
      <c r="D309" s="25"/>
    </row>
    <row r="310" spans="1:4" ht="12.3" x14ac:dyDescent="0.4">
      <c r="A310" s="89"/>
      <c r="C310" s="25"/>
      <c r="D310" s="25"/>
    </row>
    <row r="311" spans="1:4" ht="12.3" x14ac:dyDescent="0.4">
      <c r="A311" s="89"/>
      <c r="C311" s="25"/>
      <c r="D311" s="25"/>
    </row>
    <row r="312" spans="1:4" ht="12.3" x14ac:dyDescent="0.4">
      <c r="A312" s="89"/>
      <c r="C312" s="25"/>
      <c r="D312" s="25"/>
    </row>
    <row r="313" spans="1:4" ht="12.3" x14ac:dyDescent="0.4">
      <c r="A313" s="89"/>
      <c r="C313" s="25"/>
      <c r="D313" s="25"/>
    </row>
    <row r="314" spans="1:4" ht="12.3" x14ac:dyDescent="0.4">
      <c r="A314" s="89"/>
      <c r="C314" s="25"/>
      <c r="D314" s="25"/>
    </row>
    <row r="315" spans="1:4" ht="12.3" x14ac:dyDescent="0.4">
      <c r="A315" s="89"/>
      <c r="C315" s="25"/>
      <c r="D315" s="25"/>
    </row>
    <row r="316" spans="1:4" ht="12.3" x14ac:dyDescent="0.4">
      <c r="A316" s="378"/>
      <c r="C316" s="377"/>
      <c r="D316" s="377"/>
    </row>
    <row r="317" spans="1:4" ht="12.3" x14ac:dyDescent="0.4">
      <c r="A317" s="378"/>
      <c r="C317" s="25"/>
    </row>
    <row r="318" spans="1:4" ht="12.3" x14ac:dyDescent="0.4">
      <c r="A318" s="89"/>
      <c r="C318" s="25"/>
      <c r="D318" s="25"/>
    </row>
    <row r="319" spans="1:4" ht="12.3" x14ac:dyDescent="0.4">
      <c r="A319" s="379"/>
      <c r="C319" s="25"/>
      <c r="D319" s="25"/>
    </row>
    <row r="320" spans="1:4" ht="12.3" x14ac:dyDescent="0.4">
      <c r="A320" s="379"/>
      <c r="C320" s="25"/>
      <c r="D320" s="25"/>
    </row>
    <row r="321" spans="1:4" ht="12.3" x14ac:dyDescent="0.4">
      <c r="A321" s="1"/>
      <c r="C321" s="25"/>
      <c r="D321" s="25"/>
    </row>
    <row r="322" spans="1:4" ht="12.3" x14ac:dyDescent="0.4">
      <c r="A322" s="1"/>
      <c r="C322" s="25"/>
      <c r="D322" s="25"/>
    </row>
    <row r="323" spans="1:4" ht="12.3" x14ac:dyDescent="0.4">
      <c r="A323" s="138"/>
      <c r="C323" s="377"/>
      <c r="D323" s="377"/>
    </row>
    <row r="324" spans="1:4" ht="12.3" x14ac:dyDescent="0.4">
      <c r="A324" s="138"/>
      <c r="C324" s="25"/>
      <c r="D324" s="25"/>
    </row>
    <row r="325" spans="1:4" ht="12.3" x14ac:dyDescent="0.4">
      <c r="A325" s="1"/>
      <c r="C325" s="25"/>
      <c r="D325" s="25"/>
    </row>
    <row r="326" spans="1:4" ht="12.3" x14ac:dyDescent="0.4">
      <c r="A326" s="1"/>
      <c r="C326" s="25"/>
      <c r="D326" s="25"/>
    </row>
    <row r="327" spans="1:4" ht="12.3" x14ac:dyDescent="0.4">
      <c r="A327" s="1"/>
      <c r="C327" s="25"/>
      <c r="D327" s="25"/>
    </row>
    <row r="328" spans="1:4" ht="12.3" x14ac:dyDescent="0.4">
      <c r="A328" s="1"/>
      <c r="C328" s="25"/>
      <c r="D328" s="25"/>
    </row>
    <row r="329" spans="1:4" ht="12.3" x14ac:dyDescent="0.4">
      <c r="A329" s="1"/>
      <c r="C329" s="25"/>
      <c r="D329" s="25"/>
    </row>
    <row r="330" spans="1:4" ht="12.3" x14ac:dyDescent="0.4">
      <c r="A330" s="1"/>
      <c r="C330" s="25"/>
      <c r="D330" s="25"/>
    </row>
    <row r="331" spans="1:4" ht="12.3" x14ac:dyDescent="0.4">
      <c r="A331" s="1"/>
      <c r="C331" s="25"/>
      <c r="D331" s="25"/>
    </row>
    <row r="332" spans="1:4" ht="12.3" x14ac:dyDescent="0.4">
      <c r="A332" s="1"/>
      <c r="C332" s="25"/>
      <c r="D332" s="25"/>
    </row>
    <row r="333" spans="1:4" ht="12.3" x14ac:dyDescent="0.4">
      <c r="A333" s="138"/>
      <c r="C333" s="377"/>
      <c r="D333" s="377"/>
    </row>
    <row r="334" spans="1:4" ht="12.3" x14ac:dyDescent="0.4">
      <c r="A334" s="1"/>
      <c r="C334" s="25"/>
      <c r="D334" s="25"/>
    </row>
    <row r="335" spans="1:4" ht="12.3" x14ac:dyDescent="0.4">
      <c r="A335" s="1"/>
      <c r="C335" s="25"/>
      <c r="D335" s="25"/>
    </row>
    <row r="336" spans="1:4" ht="12.3" x14ac:dyDescent="0.4">
      <c r="A336" s="1"/>
      <c r="C336" s="377"/>
      <c r="D336" s="377"/>
    </row>
    <row r="337" spans="3:4" ht="12.3" x14ac:dyDescent="0.4">
      <c r="C337" s="25"/>
      <c r="D337" s="25"/>
    </row>
    <row r="338" spans="3:4" ht="12.3" x14ac:dyDescent="0.4">
      <c r="D338" s="25"/>
    </row>
    <row r="339" spans="3:4" ht="12.3" x14ac:dyDescent="0.4">
      <c r="D339" s="25"/>
    </row>
    <row r="340" spans="3:4" ht="12.3" x14ac:dyDescent="0.4">
      <c r="D340" s="25"/>
    </row>
    <row r="341" spans="3:4" ht="12.3" x14ac:dyDescent="0.4">
      <c r="D341" s="25"/>
    </row>
    <row r="342" spans="3:4" ht="12.3" x14ac:dyDescent="0.4">
      <c r="D342" s="25"/>
    </row>
    <row r="343" spans="3:4" ht="12.3" x14ac:dyDescent="0.4">
      <c r="D343" s="25"/>
    </row>
    <row r="344" spans="3:4" ht="12.3" x14ac:dyDescent="0.4">
      <c r="D344" s="25"/>
    </row>
    <row r="345" spans="3:4" ht="12.3" x14ac:dyDescent="0.4">
      <c r="D345" s="25"/>
    </row>
    <row r="346" spans="3:4" ht="12.3" x14ac:dyDescent="0.4">
      <c r="D346" s="25"/>
    </row>
    <row r="347" spans="3:4" ht="12.3" x14ac:dyDescent="0.4">
      <c r="D347" s="25"/>
    </row>
    <row r="364" spans="1:1" ht="12.3" x14ac:dyDescent="0.4">
      <c r="A364" s="1"/>
    </row>
  </sheetData>
  <mergeCells count="21">
    <mergeCell ref="A279:I279"/>
    <mergeCell ref="A199:I199"/>
    <mergeCell ref="A188:I188"/>
    <mergeCell ref="A220:I220"/>
    <mergeCell ref="A177:I177"/>
    <mergeCell ref="A159:I159"/>
    <mergeCell ref="A160:I160"/>
    <mergeCell ref="A138:I138"/>
    <mergeCell ref="A221:I221"/>
    <mergeCell ref="A278:I278"/>
    <mergeCell ref="A56:I56"/>
    <mergeCell ref="A67:I67"/>
    <mergeCell ref="A137:I137"/>
    <mergeCell ref="A136:I136"/>
    <mergeCell ref="A151:I151"/>
    <mergeCell ref="A145:I145"/>
    <mergeCell ref="A2:I2"/>
    <mergeCell ref="A40:I40"/>
    <mergeCell ref="A5:I5"/>
    <mergeCell ref="A4:I4"/>
    <mergeCell ref="A19:I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showGridLines="0" workbookViewId="0">
      <selection activeCell="L15" sqref="L15"/>
    </sheetView>
  </sheetViews>
  <sheetFormatPr defaultColWidth="14.44140625" defaultRowHeight="15.75" customHeight="1" x14ac:dyDescent="0.4"/>
  <cols>
    <col min="2" max="2" width="26" customWidth="1"/>
    <col min="4" max="4" width="14.5546875" bestFit="1" customWidth="1"/>
    <col min="5" max="5" width="16.27734375" customWidth="1"/>
    <col min="6" max="6" width="14.5546875" bestFit="1" customWidth="1"/>
    <col min="7" max="7" width="15.5546875" bestFit="1" customWidth="1"/>
    <col min="8" max="8" width="14.5546875" bestFit="1" customWidth="1"/>
  </cols>
  <sheetData>
    <row r="1" spans="1:8" ht="15.75" customHeight="1" x14ac:dyDescent="0.4">
      <c r="B1" s="1"/>
      <c r="C1" s="70"/>
      <c r="D1" s="147"/>
      <c r="E1" s="147"/>
      <c r="F1" s="147"/>
      <c r="G1" s="147"/>
      <c r="H1" s="147"/>
    </row>
    <row r="2" spans="1:8" s="380" customFormat="1" ht="15.75" customHeight="1" x14ac:dyDescent="0.55000000000000004">
      <c r="A2" s="471"/>
      <c r="B2" s="483" t="s">
        <v>375</v>
      </c>
      <c r="C2" s="483"/>
      <c r="D2" s="483"/>
      <c r="E2" s="483"/>
      <c r="F2" s="483"/>
      <c r="G2" s="483"/>
      <c r="H2" s="483"/>
    </row>
    <row r="3" spans="1:8" ht="15.75" customHeight="1" x14ac:dyDescent="0.4">
      <c r="D3" s="147"/>
      <c r="E3" s="147"/>
      <c r="F3" s="147"/>
      <c r="G3" s="147"/>
      <c r="H3" s="147"/>
    </row>
    <row r="4" spans="1:8" ht="15.75" customHeight="1" x14ac:dyDescent="0.5">
      <c r="B4" s="539" t="s">
        <v>120</v>
      </c>
      <c r="C4" s="540"/>
      <c r="D4" s="540"/>
      <c r="E4" s="540"/>
      <c r="F4" s="540"/>
      <c r="G4" s="540"/>
      <c r="H4" s="541"/>
    </row>
    <row r="5" spans="1:8" ht="15.75" customHeight="1" x14ac:dyDescent="0.4">
      <c r="B5" s="4" t="s">
        <v>121</v>
      </c>
      <c r="C5" s="131">
        <f>2%</f>
        <v>0.02</v>
      </c>
      <c r="H5" s="15"/>
    </row>
    <row r="6" spans="1:8" ht="15.75" customHeight="1" x14ac:dyDescent="0.4">
      <c r="B6" s="34" t="s">
        <v>104</v>
      </c>
      <c r="C6" s="150">
        <f>Assumptions!C68</f>
        <v>3.9911292782498137E-2</v>
      </c>
      <c r="D6" s="26"/>
      <c r="H6" s="15"/>
    </row>
    <row r="7" spans="1:8" ht="15.75" customHeight="1" x14ac:dyDescent="0.4">
      <c r="B7" s="4" t="s">
        <v>106</v>
      </c>
      <c r="C7" s="151"/>
      <c r="D7" s="152">
        <v>2017</v>
      </c>
      <c r="E7" s="152">
        <v>2018</v>
      </c>
      <c r="F7" s="152">
        <v>2019</v>
      </c>
      <c r="G7" s="152">
        <v>2020</v>
      </c>
      <c r="H7" s="153">
        <v>2021</v>
      </c>
    </row>
    <row r="8" spans="1:8" ht="15.75" customHeight="1" x14ac:dyDescent="0.4">
      <c r="B8" s="7" t="s">
        <v>124</v>
      </c>
      <c r="D8" s="61">
        <f>Model!E217</f>
        <v>1527.4021558895708</v>
      </c>
      <c r="E8" s="61">
        <f>Model!F217</f>
        <v>1568.4786723606242</v>
      </c>
      <c r="F8" s="61">
        <f>Model!G217</f>
        <v>1468.8213130566387</v>
      </c>
      <c r="G8" s="61">
        <f>Model!H217</f>
        <v>1362.6672427745998</v>
      </c>
      <c r="H8" s="64">
        <f>Model!I217</f>
        <v>1251.351076449296</v>
      </c>
    </row>
    <row r="9" spans="1:8" ht="15.75" customHeight="1" x14ac:dyDescent="0.4">
      <c r="B9" s="7" t="s">
        <v>128</v>
      </c>
      <c r="D9" s="61">
        <f>Model!E209</f>
        <v>2899.0781467181469</v>
      </c>
      <c r="E9" s="61">
        <f>Model!F209</f>
        <v>2970.0868460031315</v>
      </c>
      <c r="F9" s="61">
        <f>Model!G209</f>
        <v>3040.3954614703034</v>
      </c>
      <c r="G9" s="61">
        <f>Model!H209</f>
        <v>3114.6914128310937</v>
      </c>
      <c r="H9" s="64">
        <f>Model!I209</f>
        <v>3193.3102222045527</v>
      </c>
    </row>
    <row r="10" spans="1:8" ht="15.75" customHeight="1" x14ac:dyDescent="0.4">
      <c r="B10" s="7" t="s">
        <v>130</v>
      </c>
      <c r="D10" s="61">
        <f>-Model!E65</f>
        <v>-2862.6660639236511</v>
      </c>
      <c r="E10" s="61">
        <f>-Model!F65</f>
        <v>-2674.5539036566001</v>
      </c>
      <c r="F10" s="61">
        <f>-Model!G65</f>
        <v>-2826.6624010060714</v>
      </c>
      <c r="G10" s="61">
        <f>-Model!H65</f>
        <v>-2991.6796013053208</v>
      </c>
      <c r="H10" s="64">
        <f>-Model!I65</f>
        <v>-3170.9691983548473</v>
      </c>
    </row>
    <row r="11" spans="1:8" ht="15.75" customHeight="1" x14ac:dyDescent="0.4">
      <c r="B11" s="7" t="s">
        <v>131</v>
      </c>
      <c r="D11" s="61">
        <f>-Model!E175</f>
        <v>407.69268189430886</v>
      </c>
      <c r="E11" s="61">
        <f>-Model!F175</f>
        <v>-74.642650692955158</v>
      </c>
      <c r="F11" s="61">
        <f>-Model!G175</f>
        <v>-78.910739734874369</v>
      </c>
      <c r="G11" s="61">
        <f>-Model!H175</f>
        <v>-83.546868830328549</v>
      </c>
      <c r="H11" s="64">
        <f>-Model!I175</f>
        <v>-88.590383322532489</v>
      </c>
    </row>
    <row r="12" spans="1:8" ht="15.75" customHeight="1" x14ac:dyDescent="0.4">
      <c r="B12" s="7" t="s">
        <v>133</v>
      </c>
      <c r="D12" s="61">
        <f t="shared" ref="D12:H12" si="0">SUM(D8:D11)</f>
        <v>1971.5069205783757</v>
      </c>
      <c r="E12" s="61">
        <f t="shared" si="0"/>
        <v>1789.3689640142002</v>
      </c>
      <c r="F12" s="61">
        <f t="shared" si="0"/>
        <v>1603.6436337859959</v>
      </c>
      <c r="G12" s="61">
        <f t="shared" si="0"/>
        <v>1402.1321854700441</v>
      </c>
      <c r="H12" s="64">
        <f t="shared" si="0"/>
        <v>1185.1017169764687</v>
      </c>
    </row>
    <row r="13" spans="1:8" ht="15.75" customHeight="1" x14ac:dyDescent="0.4">
      <c r="B13" s="7" t="s">
        <v>134</v>
      </c>
      <c r="D13" s="61">
        <f>Model!E186</f>
        <v>892.1</v>
      </c>
      <c r="E13" s="61">
        <f>Model!F186</f>
        <v>823.79</v>
      </c>
      <c r="F13" s="61">
        <f>Model!G186</f>
        <v>880.65155995144949</v>
      </c>
      <c r="G13" s="61">
        <f>Model!H186</f>
        <v>941.43795147418825</v>
      </c>
      <c r="H13" s="64">
        <f>Model!I186</f>
        <v>1006.4200834718082</v>
      </c>
    </row>
    <row r="14" spans="1:8" ht="15.75" customHeight="1" x14ac:dyDescent="0.4">
      <c r="B14" s="7" t="s">
        <v>137</v>
      </c>
      <c r="D14" s="61">
        <f t="shared" ref="D14:H14" si="1">SUM(D12:D13)</f>
        <v>2863.6069205783756</v>
      </c>
      <c r="E14" s="61">
        <f t="shared" si="1"/>
        <v>2613.1589640142001</v>
      </c>
      <c r="F14" s="61">
        <f t="shared" si="1"/>
        <v>2484.2951937374455</v>
      </c>
      <c r="G14" s="61">
        <f t="shared" si="1"/>
        <v>2343.5701369442322</v>
      </c>
      <c r="H14" s="64">
        <f t="shared" si="1"/>
        <v>2191.5218004482767</v>
      </c>
    </row>
    <row r="15" spans="1:8" ht="15.75" customHeight="1" x14ac:dyDescent="0.4">
      <c r="B15" s="7" t="s">
        <v>139</v>
      </c>
      <c r="H15" s="64">
        <f>H14*(1+C5)/(C6-C5)</f>
        <v>112265.55005117993</v>
      </c>
    </row>
    <row r="16" spans="1:8" ht="15.75" customHeight="1" x14ac:dyDescent="0.4">
      <c r="B16" s="34" t="s">
        <v>137</v>
      </c>
      <c r="C16" s="67"/>
      <c r="D16" s="170">
        <f t="shared" ref="D16:H16" si="2">SUM(D14:D15)</f>
        <v>2863.6069205783756</v>
      </c>
      <c r="E16" s="170">
        <f t="shared" si="2"/>
        <v>2613.1589640142001</v>
      </c>
      <c r="F16" s="170">
        <f t="shared" si="2"/>
        <v>2484.2951937374455</v>
      </c>
      <c r="G16" s="170">
        <f t="shared" si="2"/>
        <v>2343.5701369442322</v>
      </c>
      <c r="H16" s="172">
        <f t="shared" si="2"/>
        <v>114457.07185162821</v>
      </c>
    </row>
    <row r="17" spans="2:8" ht="15.75" customHeight="1" x14ac:dyDescent="0.4">
      <c r="B17" s="174" t="s">
        <v>142</v>
      </c>
      <c r="C17" s="176">
        <f t="array" ref="C17">NPV(C6,D16:H16)</f>
        <v>103498.70061233861</v>
      </c>
    </row>
    <row r="18" spans="2:8" ht="15.75" customHeight="1" x14ac:dyDescent="0.4">
      <c r="B18" s="94" t="s">
        <v>143</v>
      </c>
      <c r="C18" s="177">
        <f>'Source Data'!G253+'Source Data'!G245</f>
        <v>50406</v>
      </c>
    </row>
    <row r="19" spans="2:8" ht="15.75" customHeight="1" x14ac:dyDescent="0.4">
      <c r="B19" s="178" t="s">
        <v>144</v>
      </c>
      <c r="C19" s="180">
        <f>C17-C18</f>
        <v>53092.700612338609</v>
      </c>
      <c r="D19" s="182"/>
    </row>
    <row r="21" spans="2:8" ht="15.75" customHeight="1" x14ac:dyDescent="0.4">
      <c r="C21" s="387" t="s">
        <v>146</v>
      </c>
      <c r="D21" s="388"/>
      <c r="E21" s="388"/>
      <c r="F21" s="388"/>
      <c r="G21" s="388"/>
    </row>
    <row r="22" spans="2:8" ht="15.75" customHeight="1" x14ac:dyDescent="0.4">
      <c r="D22" s="1" t="s">
        <v>147</v>
      </c>
    </row>
    <row r="23" spans="2:8" ht="15.75" customHeight="1" x14ac:dyDescent="0.4">
      <c r="B23" s="542" t="s">
        <v>104</v>
      </c>
      <c r="C23" s="386">
        <f>C19</f>
        <v>53092.700612338609</v>
      </c>
      <c r="D23" s="385">
        <f>1%</f>
        <v>0.01</v>
      </c>
      <c r="E23" s="385">
        <f>1.5%</f>
        <v>1.4999999999999999E-2</v>
      </c>
      <c r="F23" s="385">
        <f>2%</f>
        <v>0.02</v>
      </c>
      <c r="G23" s="385">
        <v>2.5000000000000001E-2</v>
      </c>
      <c r="H23" s="385">
        <v>0.03</v>
      </c>
    </row>
    <row r="24" spans="2:8" ht="15.75" customHeight="1" x14ac:dyDescent="0.4">
      <c r="B24" s="486"/>
      <c r="C24" s="383">
        <v>3.5000000000000003E-2</v>
      </c>
      <c r="D24" s="389">
        <f t="dataTable" ref="D24:H28" dt2D="1" dtr="1" r1="C5" r2="C6"/>
        <v>35474.54532916841</v>
      </c>
      <c r="E24" s="390">
        <v>54572.391727494702</v>
      </c>
      <c r="F24" s="390">
        <v>86402.135724705236</v>
      </c>
      <c r="G24" s="390">
        <v>150061.62371912628</v>
      </c>
      <c r="H24" s="390">
        <v>341040.08770238934</v>
      </c>
    </row>
    <row r="25" spans="2:8" ht="15.75" customHeight="1" x14ac:dyDescent="0.4">
      <c r="B25" s="486"/>
      <c r="C25" s="383">
        <v>3.7499999999999999E-2</v>
      </c>
      <c r="D25" s="391">
        <v>27808.742126807585</v>
      </c>
      <c r="E25" s="382">
        <v>43093.134074945308</v>
      </c>
      <c r="F25" s="382">
        <v>67111.464279161766</v>
      </c>
      <c r="G25" s="382">
        <v>110344.45864675139</v>
      </c>
      <c r="H25" s="382">
        <v>211221.44550446051</v>
      </c>
    </row>
    <row r="26" spans="2:8" ht="15.75" customHeight="1" x14ac:dyDescent="0.4">
      <c r="B26" s="486"/>
      <c r="C26" s="384">
        <v>3.9899999999999998E-2</v>
      </c>
      <c r="D26" s="391">
        <v>21654.45427935246</v>
      </c>
      <c r="E26" s="382">
        <v>34240.199947360918</v>
      </c>
      <c r="F26" s="382">
        <v>53150.440925926436</v>
      </c>
      <c r="G26" s="382">
        <v>84752.11880285808</v>
      </c>
      <c r="H26" s="382">
        <v>148274.68342416504</v>
      </c>
    </row>
    <row r="27" spans="2:8" ht="15.75" customHeight="1" x14ac:dyDescent="0.4">
      <c r="B27" s="486"/>
      <c r="C27" s="383">
        <v>4.4999999999999998E-2</v>
      </c>
      <c r="D27" s="391">
        <v>11375.890270541619</v>
      </c>
      <c r="E27" s="382">
        <v>20126.96391576888</v>
      </c>
      <c r="F27" s="382">
        <v>32378.467019087082</v>
      </c>
      <c r="G27" s="382">
        <v>50755.721674064349</v>
      </c>
      <c r="H27" s="382">
        <v>81384.479432359833</v>
      </c>
    </row>
    <row r="28" spans="2:8" ht="15.75" customHeight="1" x14ac:dyDescent="0.4">
      <c r="B28" s="486"/>
      <c r="C28" s="383">
        <v>4.4999999999999998E-2</v>
      </c>
      <c r="D28" s="391">
        <v>11375.890270541619</v>
      </c>
      <c r="E28" s="382">
        <v>20126.96391576888</v>
      </c>
      <c r="F28" s="382">
        <v>32378.467019087082</v>
      </c>
      <c r="G28" s="382">
        <v>50755.721674064349</v>
      </c>
      <c r="H28" s="382">
        <v>81384.479432359833</v>
      </c>
    </row>
    <row r="29" spans="2:8" ht="15.75" customHeight="1" x14ac:dyDescent="0.4">
      <c r="E29" s="381"/>
      <c r="F29" s="381"/>
      <c r="G29" s="381"/>
      <c r="H29" s="381"/>
    </row>
    <row r="30" spans="2:8" ht="15.75" customHeight="1" x14ac:dyDescent="0.4">
      <c r="E30" s="381"/>
      <c r="F30" s="381"/>
      <c r="G30" s="381"/>
      <c r="H30" s="381"/>
    </row>
    <row r="31" spans="2:8" ht="15.75" customHeight="1" x14ac:dyDescent="0.4">
      <c r="E31" s="381"/>
      <c r="F31" s="381"/>
      <c r="G31" s="381"/>
      <c r="H31" s="381"/>
    </row>
    <row r="32" spans="2:8" ht="15.75" customHeight="1" x14ac:dyDescent="0.4">
      <c r="E32" s="381"/>
      <c r="F32" s="381"/>
      <c r="G32" s="381"/>
      <c r="H32" s="381"/>
    </row>
    <row r="33" spans="5:8" ht="15.75" customHeight="1" x14ac:dyDescent="0.4">
      <c r="E33" s="381"/>
      <c r="F33" s="381"/>
      <c r="G33" s="381"/>
      <c r="H33" s="381"/>
    </row>
  </sheetData>
  <mergeCells count="3">
    <mergeCell ref="B4:H4"/>
    <mergeCell ref="B23:B28"/>
    <mergeCell ref="B2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showGridLines="0" workbookViewId="0">
      <selection activeCell="J40" sqref="J40"/>
    </sheetView>
  </sheetViews>
  <sheetFormatPr defaultColWidth="14.44140625" defaultRowHeight="15.75" customHeight="1" x14ac:dyDescent="0.4"/>
  <cols>
    <col min="4" max="4" width="15.83203125" bestFit="1" customWidth="1"/>
  </cols>
  <sheetData>
    <row r="1" spans="1:10" ht="15.75" customHeight="1" x14ac:dyDescent="0.4">
      <c r="B1" s="1"/>
    </row>
    <row r="2" spans="1:10" ht="15.75" customHeight="1" x14ac:dyDescent="0.55000000000000004">
      <c r="A2" s="1"/>
      <c r="D2" s="483" t="s">
        <v>376</v>
      </c>
      <c r="E2" s="483"/>
      <c r="F2" s="483"/>
      <c r="G2" s="483"/>
      <c r="H2" s="483"/>
      <c r="I2" s="483"/>
      <c r="J2" s="471"/>
    </row>
    <row r="4" spans="1:10" ht="15.75" customHeight="1" x14ac:dyDescent="0.4">
      <c r="D4" s="398"/>
      <c r="E4" s="408">
        <v>2017</v>
      </c>
      <c r="F4" s="408">
        <v>2018</v>
      </c>
      <c r="G4" s="408">
        <v>2019</v>
      </c>
      <c r="H4" s="408">
        <v>2020</v>
      </c>
      <c r="I4" s="409">
        <v>2021</v>
      </c>
    </row>
    <row r="5" spans="1:10" ht="15.75" customHeight="1" x14ac:dyDescent="0.4">
      <c r="B5" s="1"/>
      <c r="D5" s="547" t="str">
        <f>Assumptions!B74</f>
        <v>Electricity generating facilities</v>
      </c>
      <c r="E5" s="548"/>
      <c r="F5" s="548"/>
      <c r="G5" s="548"/>
      <c r="H5" s="548"/>
      <c r="I5" s="549"/>
    </row>
    <row r="6" spans="1:10" ht="15.75" customHeight="1" x14ac:dyDescent="0.4">
      <c r="D6" s="399" t="s">
        <v>154</v>
      </c>
      <c r="E6" s="400">
        <f>F6</f>
        <v>0.65</v>
      </c>
      <c r="F6" s="400">
        <f>Assumptions!$F$20</f>
        <v>0.65</v>
      </c>
      <c r="G6" s="400">
        <f>Assumptions!$F$20</f>
        <v>0.65</v>
      </c>
      <c r="H6" s="400">
        <f>Assumptions!$F$20</f>
        <v>0.65</v>
      </c>
      <c r="I6" s="401">
        <f>Assumptions!$F$20</f>
        <v>0.65</v>
      </c>
    </row>
    <row r="7" spans="1:10" ht="15.75" customHeight="1" x14ac:dyDescent="0.4">
      <c r="D7" s="399" t="s">
        <v>155</v>
      </c>
      <c r="E7" s="400">
        <f>E6+Assumptions!$C$75</f>
        <v>0.5</v>
      </c>
      <c r="F7" s="400">
        <f>F6+Assumptions!$C$75</f>
        <v>0.5</v>
      </c>
      <c r="G7" s="400">
        <f>G6+Assumptions!$C$75</f>
        <v>0.5</v>
      </c>
      <c r="H7" s="400">
        <f>H6+Assumptions!$C$75</f>
        <v>0.5</v>
      </c>
      <c r="I7" s="401">
        <f>I6+Assumptions!$C$75</f>
        <v>0.5</v>
      </c>
    </row>
    <row r="8" spans="1:10" ht="15.75" customHeight="1" x14ac:dyDescent="0.4">
      <c r="D8" s="399" t="s">
        <v>156</v>
      </c>
      <c r="E8" s="402">
        <f>E6+Assumptions!$C$76</f>
        <v>0.75</v>
      </c>
      <c r="F8" s="402">
        <f>F6+Assumptions!$C$76</f>
        <v>0.75</v>
      </c>
      <c r="G8" s="402">
        <f>G6+Assumptions!$C$76</f>
        <v>0.75</v>
      </c>
      <c r="H8" s="402">
        <f>H6+Assumptions!$C$76</f>
        <v>0.75</v>
      </c>
      <c r="I8" s="403">
        <f>I6+Assumptions!$C$76</f>
        <v>0.75</v>
      </c>
    </row>
    <row r="9" spans="1:10" ht="15.75" customHeight="1" x14ac:dyDescent="0.4">
      <c r="D9" s="547" t="str">
        <f>Assumptions!B77</f>
        <v>Electricity distribution facilities</v>
      </c>
      <c r="E9" s="548"/>
      <c r="F9" s="548"/>
      <c r="G9" s="548"/>
      <c r="H9" s="548"/>
      <c r="I9" s="549"/>
    </row>
    <row r="10" spans="1:10" ht="15.75" customHeight="1" x14ac:dyDescent="0.4">
      <c r="D10" s="399" t="s">
        <v>154</v>
      </c>
      <c r="E10" s="400">
        <f>Assumptions!$F$21</f>
        <v>1.6286677685939306</v>
      </c>
      <c r="F10" s="400">
        <f>Assumptions!$F$21</f>
        <v>1.6286677685939306</v>
      </c>
      <c r="G10" s="400">
        <f>Assumptions!$F$21</f>
        <v>1.6286677685939306</v>
      </c>
      <c r="H10" s="400">
        <f>Assumptions!$F$21</f>
        <v>1.6286677685939306</v>
      </c>
      <c r="I10" s="401">
        <f>Assumptions!$F$21</f>
        <v>1.6286677685939306</v>
      </c>
    </row>
    <row r="11" spans="1:10" ht="15.75" customHeight="1" x14ac:dyDescent="0.4">
      <c r="D11" s="399" t="s">
        <v>155</v>
      </c>
      <c r="E11" s="400">
        <f>E10+Assumptions!$C$78</f>
        <v>1.5286677685939305</v>
      </c>
      <c r="F11" s="400">
        <f>F10+Assumptions!$C$78</f>
        <v>1.5286677685939305</v>
      </c>
      <c r="G11" s="400">
        <f>G10+Assumptions!$C$78</f>
        <v>1.5286677685939305</v>
      </c>
      <c r="H11" s="400">
        <f>H10+Assumptions!$C$78</f>
        <v>1.5286677685939305</v>
      </c>
      <c r="I11" s="401">
        <f>I10+Assumptions!$C$78</f>
        <v>1.5286677685939305</v>
      </c>
    </row>
    <row r="12" spans="1:10" ht="15.75" customHeight="1" x14ac:dyDescent="0.4">
      <c r="D12" s="399" t="s">
        <v>156</v>
      </c>
      <c r="E12" s="400">
        <f>E10+Assumptions!$C$79</f>
        <v>1.7286677685939307</v>
      </c>
      <c r="F12" s="400">
        <f>F10+Assumptions!$C$79</f>
        <v>1.7286677685939307</v>
      </c>
      <c r="G12" s="400">
        <f>G10+Assumptions!$C$79</f>
        <v>1.7286677685939307</v>
      </c>
      <c r="H12" s="400">
        <f>H10+Assumptions!$C$79</f>
        <v>1.7286677685939307</v>
      </c>
      <c r="I12" s="401">
        <f>I10+Assumptions!$C$79</f>
        <v>1.7286677685939307</v>
      </c>
    </row>
    <row r="13" spans="1:10" ht="15.75" customHeight="1" x14ac:dyDescent="0.4">
      <c r="D13" s="550" t="str">
        <f>Assumptions!B80</f>
        <v>Electricity transmission facilities</v>
      </c>
      <c r="E13" s="551"/>
      <c r="F13" s="551"/>
      <c r="G13" s="551"/>
      <c r="H13" s="551"/>
      <c r="I13" s="552"/>
    </row>
    <row r="14" spans="1:10" ht="15.75" customHeight="1" x14ac:dyDescent="0.4">
      <c r="D14" s="394" t="str">
        <f>D10</f>
        <v>Base Case</v>
      </c>
      <c r="E14" s="404">
        <f>Assumptions!$F$22</f>
        <v>0.66</v>
      </c>
      <c r="F14" s="404">
        <f>Assumptions!$F$22</f>
        <v>0.66</v>
      </c>
      <c r="G14" s="404">
        <f>Assumptions!$F$22</f>
        <v>0.66</v>
      </c>
      <c r="H14" s="404">
        <f>Assumptions!$F$22</f>
        <v>0.66</v>
      </c>
      <c r="I14" s="405">
        <f>Assumptions!$F$22</f>
        <v>0.66</v>
      </c>
    </row>
    <row r="15" spans="1:10" ht="15.75" customHeight="1" x14ac:dyDescent="0.4">
      <c r="B15" s="1"/>
      <c r="D15" s="394" t="str">
        <f>D11</f>
        <v>Best Case</v>
      </c>
      <c r="E15" s="400">
        <f>E14+Assumptions!$C$81</f>
        <v>0.51</v>
      </c>
      <c r="F15" s="400">
        <f>F14+Assumptions!$C$81</f>
        <v>0.51</v>
      </c>
      <c r="G15" s="400">
        <f>G14+Assumptions!$C$81</f>
        <v>0.51</v>
      </c>
      <c r="H15" s="400">
        <f>H14+Assumptions!$C$81</f>
        <v>0.51</v>
      </c>
      <c r="I15" s="401">
        <f>I14+Assumptions!$C$81</f>
        <v>0.51</v>
      </c>
    </row>
    <row r="16" spans="1:10" ht="15.75" customHeight="1" x14ac:dyDescent="0.4">
      <c r="B16" s="1"/>
      <c r="D16" s="394" t="str">
        <f>D12</f>
        <v>Worst Case</v>
      </c>
      <c r="E16" s="400">
        <f>E14+Assumptions!$C$82</f>
        <v>0.76</v>
      </c>
      <c r="F16" s="400">
        <f>F14+Assumptions!$C$82</f>
        <v>0.76</v>
      </c>
      <c r="G16" s="400">
        <f>G14+Assumptions!$C$82</f>
        <v>0.76</v>
      </c>
      <c r="H16" s="400">
        <f>H14+Assumptions!$C$82</f>
        <v>0.76</v>
      </c>
      <c r="I16" s="401">
        <f>I14+Assumptions!$C$82</f>
        <v>0.76</v>
      </c>
    </row>
    <row r="17" spans="1:9" ht="15.75" customHeight="1" x14ac:dyDescent="0.4">
      <c r="D17" s="553" t="str">
        <f>Assumptions!B83</f>
        <v>Natural gas distribution facilities</v>
      </c>
      <c r="E17" s="554"/>
      <c r="F17" s="554"/>
      <c r="G17" s="554"/>
      <c r="H17" s="554"/>
      <c r="I17" s="555"/>
    </row>
    <row r="18" spans="1:9" ht="15.75" customHeight="1" x14ac:dyDescent="0.4">
      <c r="D18" s="394" t="str">
        <f>D14</f>
        <v>Base Case</v>
      </c>
      <c r="E18" s="404">
        <f>Assumptions!$F$23</f>
        <v>0.67</v>
      </c>
      <c r="F18" s="404">
        <f>Assumptions!$F$23</f>
        <v>0.67</v>
      </c>
      <c r="G18" s="404">
        <f>Assumptions!$F$23</f>
        <v>0.67</v>
      </c>
      <c r="H18" s="404">
        <f>Assumptions!$F$23</f>
        <v>0.67</v>
      </c>
      <c r="I18" s="405">
        <f>Assumptions!$F$23</f>
        <v>0.67</v>
      </c>
    </row>
    <row r="19" spans="1:9" ht="15.75" customHeight="1" x14ac:dyDescent="0.4">
      <c r="B19" s="1"/>
      <c r="D19" s="394" t="str">
        <f>D15</f>
        <v>Best Case</v>
      </c>
      <c r="E19" s="400">
        <f>E18+Assumptions!$C$84</f>
        <v>0.52</v>
      </c>
      <c r="F19" s="400">
        <f>F18+Assumptions!$C$84</f>
        <v>0.52</v>
      </c>
      <c r="G19" s="400">
        <f>G18+Assumptions!$C$84</f>
        <v>0.52</v>
      </c>
      <c r="H19" s="400">
        <f>H18+Assumptions!$C$84</f>
        <v>0.52</v>
      </c>
      <c r="I19" s="401">
        <f>I18+Assumptions!$C$84</f>
        <v>0.52</v>
      </c>
    </row>
    <row r="20" spans="1:9" ht="15.75" customHeight="1" x14ac:dyDescent="0.4">
      <c r="B20" s="1"/>
      <c r="D20" s="394" t="str">
        <f>D16</f>
        <v>Worst Case</v>
      </c>
      <c r="E20" s="400">
        <f>E18+Assumptions!$C$85</f>
        <v>0.77</v>
      </c>
      <c r="F20" s="400">
        <f>F18+Assumptions!$C$85</f>
        <v>0.77</v>
      </c>
      <c r="G20" s="400">
        <f>G18+Assumptions!$C$85</f>
        <v>0.77</v>
      </c>
      <c r="H20" s="400">
        <f>H18+Assumptions!$C$85</f>
        <v>0.77</v>
      </c>
      <c r="I20" s="401">
        <f>I18+Assumptions!$C$85</f>
        <v>0.77</v>
      </c>
    </row>
    <row r="21" spans="1:9" ht="15.75" customHeight="1" x14ac:dyDescent="0.4">
      <c r="D21" s="550" t="str">
        <f>Assumptions!B86</f>
        <v>Natural gas transmission and storage facilities</v>
      </c>
      <c r="E21" s="551"/>
      <c r="F21" s="551"/>
      <c r="G21" s="551"/>
      <c r="H21" s="551"/>
      <c r="I21" s="552"/>
    </row>
    <row r="22" spans="1:9" ht="15.75" customHeight="1" x14ac:dyDescent="0.4">
      <c r="D22" s="394" t="str">
        <f>D18</f>
        <v>Base Case</v>
      </c>
      <c r="E22" s="400">
        <f>Assumptions!$F$24</f>
        <v>0.36</v>
      </c>
      <c r="F22" s="400">
        <f>Assumptions!$F$24</f>
        <v>0.36</v>
      </c>
      <c r="G22" s="400">
        <f>Assumptions!$F$24</f>
        <v>0.36</v>
      </c>
      <c r="H22" s="400">
        <f>Assumptions!$F$24</f>
        <v>0.36</v>
      </c>
      <c r="I22" s="401">
        <f>Assumptions!$F$24</f>
        <v>0.36</v>
      </c>
    </row>
    <row r="23" spans="1:9" ht="15.75" customHeight="1" x14ac:dyDescent="0.4">
      <c r="D23" s="394" t="str">
        <f t="shared" ref="D23:D24" si="0">D19</f>
        <v>Best Case</v>
      </c>
      <c r="E23" s="404">
        <f>E22+Assumptions!$C$87</f>
        <v>0.31</v>
      </c>
      <c r="F23" s="404">
        <f>F22+Assumptions!$C$87</f>
        <v>0.31</v>
      </c>
      <c r="G23" s="404">
        <f>G22+Assumptions!$C$87</f>
        <v>0.31</v>
      </c>
      <c r="H23" s="404">
        <f>H22+Assumptions!$C$87</f>
        <v>0.31</v>
      </c>
      <c r="I23" s="405">
        <f>I22+Assumptions!$C$87</f>
        <v>0.31</v>
      </c>
    </row>
    <row r="24" spans="1:9" ht="12.3" x14ac:dyDescent="0.4">
      <c r="B24" s="1"/>
      <c r="D24" s="397" t="str">
        <f t="shared" si="0"/>
        <v>Worst Case</v>
      </c>
      <c r="E24" s="406">
        <f>E22+Assumptions!$C$88</f>
        <v>0.41</v>
      </c>
      <c r="F24" s="406">
        <f>F22+Assumptions!$C$88</f>
        <v>0.41</v>
      </c>
      <c r="G24" s="406">
        <f>G22+Assumptions!$C$88</f>
        <v>0.41</v>
      </c>
      <c r="H24" s="406">
        <f>H22+Assumptions!$C$88</f>
        <v>0.41</v>
      </c>
      <c r="I24" s="407">
        <f>I22+Assumptions!$C$88</f>
        <v>0.41</v>
      </c>
    </row>
    <row r="25" spans="1:9" ht="12.3" x14ac:dyDescent="0.4">
      <c r="B25" s="1"/>
      <c r="D25" s="556" t="s">
        <v>356</v>
      </c>
      <c r="E25" s="557"/>
      <c r="F25" s="557"/>
      <c r="G25" s="557"/>
      <c r="H25" s="557"/>
      <c r="I25" s="558"/>
    </row>
    <row r="26" spans="1:9" ht="12.3" x14ac:dyDescent="0.4">
      <c r="B26" s="1"/>
      <c r="D26" s="394" t="str">
        <f>D22</f>
        <v>Base Case</v>
      </c>
      <c r="E26" s="400">
        <f>'DCF Valuation'!$C$5</f>
        <v>0.02</v>
      </c>
      <c r="F26" s="400">
        <f>'DCF Valuation'!$C$5</f>
        <v>0.02</v>
      </c>
      <c r="G26" s="400">
        <f>'DCF Valuation'!$C$5</f>
        <v>0.02</v>
      </c>
      <c r="H26" s="400">
        <f>'DCF Valuation'!$C$5</f>
        <v>0.02</v>
      </c>
      <c r="I26" s="401">
        <f>'DCF Valuation'!$C$5</f>
        <v>0.02</v>
      </c>
    </row>
    <row r="27" spans="1:9" ht="15.75" customHeight="1" x14ac:dyDescent="0.4">
      <c r="D27" s="394" t="str">
        <f t="shared" ref="D27:D28" si="1">D23</f>
        <v>Best Case</v>
      </c>
      <c r="E27" s="404">
        <f>E26+Assumptions!$C$90</f>
        <v>2.5000000000000001E-2</v>
      </c>
      <c r="F27" s="404">
        <f>F26+Assumptions!$C$90</f>
        <v>2.5000000000000001E-2</v>
      </c>
      <c r="G27" s="404">
        <f>G26+Assumptions!$C$90</f>
        <v>2.5000000000000001E-2</v>
      </c>
      <c r="H27" s="404">
        <f>H26+Assumptions!$C$90</f>
        <v>2.5000000000000001E-2</v>
      </c>
      <c r="I27" s="405">
        <f>I26+Assumptions!$C$90</f>
        <v>2.5000000000000001E-2</v>
      </c>
    </row>
    <row r="28" spans="1:9" ht="12.3" x14ac:dyDescent="0.4">
      <c r="A28" s="1"/>
      <c r="D28" s="394" t="str">
        <f t="shared" si="1"/>
        <v>Worst Case</v>
      </c>
      <c r="E28" s="400">
        <f>E26+Assumptions!$C$91</f>
        <v>1.4999999999999999E-2</v>
      </c>
      <c r="F28" s="400">
        <f>F26+Assumptions!$C$91</f>
        <v>1.4999999999999999E-2</v>
      </c>
      <c r="G28" s="400">
        <f>G26+Assumptions!$C$91</f>
        <v>1.4999999999999999E-2</v>
      </c>
      <c r="H28" s="400">
        <f>H26+Assumptions!$C$91</f>
        <v>1.4999999999999999E-2</v>
      </c>
      <c r="I28" s="401">
        <f>I26+Assumptions!$C$91</f>
        <v>1.4999999999999999E-2</v>
      </c>
    </row>
    <row r="29" spans="1:9" ht="15.75" customHeight="1" x14ac:dyDescent="0.4">
      <c r="D29" s="526" t="s">
        <v>104</v>
      </c>
      <c r="E29" s="543"/>
      <c r="F29" s="543"/>
      <c r="G29" s="543"/>
      <c r="H29" s="543"/>
      <c r="I29" s="527"/>
    </row>
    <row r="30" spans="1:9" ht="12.3" x14ac:dyDescent="0.4">
      <c r="B30" s="1"/>
      <c r="D30" s="394" t="str">
        <f>D26</f>
        <v>Base Case</v>
      </c>
      <c r="E30" s="400">
        <f>Assumptions!$C$68</f>
        <v>3.9911292782498137E-2</v>
      </c>
      <c r="F30" s="400">
        <f>Assumptions!$C$68</f>
        <v>3.9911292782498137E-2</v>
      </c>
      <c r="G30" s="400">
        <f>Assumptions!$C$68</f>
        <v>3.9911292782498137E-2</v>
      </c>
      <c r="H30" s="400">
        <f>Assumptions!$C$68</f>
        <v>3.9911292782498137E-2</v>
      </c>
      <c r="I30" s="401">
        <f>Assumptions!$C$68</f>
        <v>3.9911292782498137E-2</v>
      </c>
    </row>
    <row r="31" spans="1:9" ht="12.3" x14ac:dyDescent="0.4">
      <c r="B31" s="1"/>
      <c r="D31" s="394" t="str">
        <f t="shared" ref="D31:D32" si="2">D27</f>
        <v>Best Case</v>
      </c>
      <c r="E31" s="400">
        <f>E30+Assumptions!$C$93</f>
        <v>2.9911292782498135E-2</v>
      </c>
      <c r="F31" s="400">
        <f>F30+Assumptions!$C$93</f>
        <v>2.9911292782498135E-2</v>
      </c>
      <c r="G31" s="400">
        <f>G30+Assumptions!$C$93</f>
        <v>2.9911292782498135E-2</v>
      </c>
      <c r="H31" s="400">
        <f>H30+Assumptions!$C$93</f>
        <v>2.9911292782498135E-2</v>
      </c>
      <c r="I31" s="401">
        <f>I30+Assumptions!$C$93</f>
        <v>2.9911292782498135E-2</v>
      </c>
    </row>
    <row r="32" spans="1:9" ht="12.3" x14ac:dyDescent="0.4">
      <c r="B32" s="1"/>
      <c r="D32" s="397" t="str">
        <f t="shared" si="2"/>
        <v>Worst Case</v>
      </c>
      <c r="E32" s="406">
        <f>E30+Assumptions!$C$94</f>
        <v>4.9911292782498139E-2</v>
      </c>
      <c r="F32" s="406">
        <f>F30+Assumptions!$C$94</f>
        <v>4.9911292782498139E-2</v>
      </c>
      <c r="G32" s="406">
        <f>G30+Assumptions!$C$94</f>
        <v>4.9911292782498139E-2</v>
      </c>
      <c r="H32" s="406">
        <f>H30+Assumptions!$C$94</f>
        <v>4.9911292782498139E-2</v>
      </c>
      <c r="I32" s="407">
        <f>I30+Assumptions!$C$94</f>
        <v>4.9911292782498139E-2</v>
      </c>
    </row>
    <row r="35" spans="1:12" ht="12.3" x14ac:dyDescent="0.4">
      <c r="D35" s="544"/>
      <c r="E35" s="545"/>
      <c r="F35" s="545"/>
      <c r="G35" s="545"/>
      <c r="H35" s="545"/>
      <c r="I35" s="545"/>
      <c r="J35" s="545"/>
      <c r="K35" s="546"/>
      <c r="L35" s="546"/>
    </row>
    <row r="36" spans="1:12" ht="15.75" customHeight="1" x14ac:dyDescent="0.5">
      <c r="D36" s="412"/>
      <c r="E36" s="413"/>
      <c r="F36" s="413"/>
      <c r="G36" s="413"/>
      <c r="H36" s="413"/>
      <c r="I36" s="413"/>
      <c r="J36" s="413"/>
      <c r="K36" s="418"/>
      <c r="L36" s="418"/>
    </row>
    <row r="37" spans="1:12" ht="12.3" x14ac:dyDescent="0.4">
      <c r="B37" s="1"/>
      <c r="D37" s="414"/>
      <c r="E37" s="417"/>
      <c r="F37" s="417"/>
      <c r="G37" s="417"/>
      <c r="H37" s="415"/>
      <c r="I37" s="415"/>
      <c r="J37" s="415"/>
      <c r="K37" s="418"/>
      <c r="L37" s="418"/>
    </row>
    <row r="38" spans="1:12" ht="12.3" x14ac:dyDescent="0.4">
      <c r="B38" s="1"/>
      <c r="D38" s="414"/>
      <c r="E38" s="417"/>
      <c r="F38" s="419"/>
      <c r="G38" s="419"/>
      <c r="H38" s="416"/>
      <c r="I38" s="416"/>
      <c r="J38" s="416"/>
      <c r="K38" s="418"/>
      <c r="L38" s="418"/>
    </row>
    <row r="39" spans="1:12" ht="12.3" x14ac:dyDescent="0.4">
      <c r="B39" s="1"/>
      <c r="D39" s="417"/>
      <c r="E39" s="417"/>
      <c r="F39" s="419"/>
      <c r="G39" s="419"/>
      <c r="H39" s="416"/>
      <c r="I39" s="416"/>
      <c r="J39" s="416"/>
      <c r="K39" s="418"/>
      <c r="L39" s="418"/>
    </row>
    <row r="40" spans="1:12" ht="15.75" customHeight="1" x14ac:dyDescent="0.4">
      <c r="D40" s="414"/>
      <c r="E40" s="417"/>
      <c r="F40" s="419"/>
      <c r="G40" s="419"/>
      <c r="H40" s="416"/>
      <c r="I40" s="416"/>
      <c r="J40" s="416"/>
      <c r="K40" s="418"/>
      <c r="L40" s="418"/>
    </row>
    <row r="41" spans="1:12" ht="12.3" x14ac:dyDescent="0.4">
      <c r="A41" s="1"/>
      <c r="D41" s="417"/>
      <c r="E41" s="417"/>
      <c r="F41" s="419"/>
      <c r="G41" s="419"/>
      <c r="H41" s="416"/>
      <c r="I41" s="416"/>
      <c r="J41" s="416"/>
      <c r="K41" s="418"/>
      <c r="L41" s="418"/>
    </row>
    <row r="42" spans="1:12" ht="12.3" x14ac:dyDescent="0.4">
      <c r="D42" s="414"/>
      <c r="E42" s="417"/>
      <c r="F42" s="419"/>
      <c r="G42" s="419"/>
      <c r="H42" s="416"/>
      <c r="I42" s="416"/>
      <c r="J42" s="416"/>
      <c r="K42" s="418"/>
      <c r="L42" s="418"/>
    </row>
    <row r="43" spans="1:12" ht="15.75" customHeight="1" x14ac:dyDescent="0.4">
      <c r="D43" s="418"/>
      <c r="E43" s="418"/>
      <c r="F43" s="418"/>
      <c r="G43" s="418"/>
      <c r="H43" s="418"/>
      <c r="I43" s="418"/>
      <c r="J43" s="418"/>
      <c r="K43" s="418"/>
      <c r="L43" s="418"/>
    </row>
    <row r="44" spans="1:12" ht="12.3" x14ac:dyDescent="0.4">
      <c r="B44" s="1"/>
      <c r="D44" s="414"/>
      <c r="E44" s="417"/>
      <c r="F44" s="419"/>
      <c r="G44" s="419"/>
      <c r="H44" s="416"/>
      <c r="I44" s="416"/>
      <c r="J44" s="416"/>
      <c r="K44" s="418"/>
      <c r="L44" s="418"/>
    </row>
    <row r="45" spans="1:12" ht="12.3" x14ac:dyDescent="0.4">
      <c r="B45" s="1"/>
      <c r="D45" s="417"/>
      <c r="E45" s="417"/>
      <c r="F45" s="419"/>
      <c r="G45" s="419"/>
      <c r="H45" s="416"/>
      <c r="I45" s="416"/>
      <c r="J45" s="416"/>
      <c r="K45" s="418"/>
      <c r="L45" s="418"/>
    </row>
    <row r="46" spans="1:12" ht="12.3" x14ac:dyDescent="0.4">
      <c r="B46" s="1"/>
      <c r="D46" s="414"/>
      <c r="E46" s="417"/>
      <c r="F46" s="419"/>
      <c r="G46" s="419"/>
      <c r="H46" s="416"/>
      <c r="I46" s="416"/>
      <c r="J46" s="416"/>
      <c r="K46" s="418"/>
      <c r="L46" s="418"/>
    </row>
    <row r="47" spans="1:12" ht="15.75" customHeight="1" x14ac:dyDescent="0.4">
      <c r="D47" s="417"/>
      <c r="E47" s="417"/>
      <c r="F47" s="419"/>
      <c r="G47" s="419"/>
      <c r="H47" s="416"/>
      <c r="I47" s="416"/>
      <c r="J47" s="416"/>
      <c r="K47" s="418"/>
      <c r="L47" s="418"/>
    </row>
    <row r="48" spans="1:12" ht="15.75" customHeight="1" x14ac:dyDescent="0.4">
      <c r="D48" s="414"/>
      <c r="E48" s="417"/>
      <c r="F48" s="419"/>
      <c r="G48" s="419"/>
      <c r="H48" s="416"/>
      <c r="I48" s="416"/>
      <c r="J48" s="416"/>
      <c r="K48" s="418"/>
      <c r="L48" s="418"/>
    </row>
    <row r="49" spans="1:12" ht="14.1" x14ac:dyDescent="0.5">
      <c r="D49" s="417"/>
      <c r="E49" s="412"/>
      <c r="F49" s="412"/>
      <c r="G49" s="412"/>
      <c r="H49" s="416"/>
      <c r="I49" s="416"/>
      <c r="J49" s="416"/>
      <c r="K49" s="416">
        <f t="shared" ref="K49:L49" si="3">K48-J48</f>
        <v>0</v>
      </c>
      <c r="L49" s="416">
        <f t="shared" si="3"/>
        <v>0</v>
      </c>
    </row>
    <row r="50" spans="1:12" ht="15.75" customHeight="1" x14ac:dyDescent="0.4">
      <c r="D50" s="418"/>
      <c r="E50" s="418"/>
      <c r="F50" s="418"/>
      <c r="G50" s="418"/>
      <c r="H50" s="418"/>
      <c r="I50" s="418"/>
      <c r="J50" s="418"/>
      <c r="K50" s="418"/>
      <c r="L50" s="418"/>
    </row>
    <row r="51" spans="1:12" ht="12.3" x14ac:dyDescent="0.4">
      <c r="B51" s="1"/>
      <c r="E51" s="194"/>
      <c r="F51" s="194"/>
      <c r="G51" s="194"/>
      <c r="H51" s="194"/>
      <c r="I51" s="194"/>
    </row>
    <row r="52" spans="1:12" ht="12.3" x14ac:dyDescent="0.4">
      <c r="B52" s="1"/>
      <c r="E52" s="194"/>
      <c r="F52" s="194"/>
      <c r="G52" s="194"/>
      <c r="H52" s="194"/>
      <c r="I52" s="194"/>
    </row>
    <row r="53" spans="1:12" ht="12.3" x14ac:dyDescent="0.4">
      <c r="B53" s="1"/>
      <c r="E53" s="194"/>
      <c r="F53" s="194"/>
      <c r="G53" s="194"/>
      <c r="H53" s="194"/>
      <c r="I53" s="194"/>
    </row>
    <row r="55" spans="1:12" ht="12.3" x14ac:dyDescent="0.4">
      <c r="A55" s="1"/>
      <c r="E55" s="194"/>
      <c r="F55" s="194"/>
      <c r="G55" s="194"/>
      <c r="H55" s="194"/>
      <c r="I55" s="194"/>
    </row>
    <row r="57" spans="1:12" ht="12.3" x14ac:dyDescent="0.4">
      <c r="B57" s="1"/>
      <c r="E57" s="194"/>
      <c r="F57" s="194"/>
      <c r="G57" s="194"/>
      <c r="H57" s="194"/>
      <c r="I57" s="194"/>
    </row>
    <row r="58" spans="1:12" ht="12.3" x14ac:dyDescent="0.4">
      <c r="B58" s="1"/>
      <c r="E58" s="194"/>
      <c r="F58" s="194"/>
      <c r="G58" s="194"/>
      <c r="H58" s="194"/>
      <c r="I58" s="194"/>
    </row>
    <row r="59" spans="1:12" ht="12.3" x14ac:dyDescent="0.4">
      <c r="B59" s="1"/>
      <c r="E59" s="194"/>
      <c r="F59" s="194"/>
      <c r="G59" s="194"/>
      <c r="H59" s="194"/>
      <c r="I59" s="194"/>
    </row>
    <row r="61" spans="1:12" ht="12.3" x14ac:dyDescent="0.4">
      <c r="A61" s="1"/>
      <c r="E61" s="194"/>
      <c r="F61" s="194"/>
      <c r="G61" s="194"/>
      <c r="H61" s="194"/>
      <c r="I61" s="194"/>
    </row>
    <row r="63" spans="1:12" ht="12.3" x14ac:dyDescent="0.4">
      <c r="B63" s="1"/>
      <c r="E63" s="194"/>
      <c r="F63" s="194"/>
      <c r="G63" s="194"/>
      <c r="H63" s="194"/>
      <c r="I63" s="194"/>
    </row>
    <row r="64" spans="1:12" ht="12.3" x14ac:dyDescent="0.4">
      <c r="B64" s="1"/>
      <c r="E64" s="194"/>
      <c r="F64" s="194"/>
      <c r="G64" s="194"/>
      <c r="H64" s="194"/>
      <c r="I64" s="194"/>
    </row>
    <row r="65" spans="2:9" ht="12.3" x14ac:dyDescent="0.4">
      <c r="B65" s="1"/>
      <c r="E65" s="194"/>
      <c r="F65" s="194"/>
      <c r="G65" s="194"/>
      <c r="H65" s="194"/>
      <c r="I65" s="194"/>
    </row>
  </sheetData>
  <scenarios current="2" show="2">
    <scenario name="Base Case" locked="1" count="5" user="Windows User" comment="Created by Windows User on 5/3/2017_x000a_Modified by Windows User on 5/3/2017">
      <inputCells r="E5" val="0.65"/>
      <inputCells r="F5" val="0.65"/>
      <inputCells r="G5" val="0.65"/>
      <inputCells r="H5" val="0.65"/>
      <inputCells r="I5" val="0.65"/>
    </scenario>
    <scenario name="Best Case" locked="1" count="5" user="Windows User" comment="Created by Windows User on 5/3/2017">
      <inputCells r="E5" val="0.5" numFmtId="10"/>
      <inputCells r="F5" val="0.5" numFmtId="10"/>
      <inputCells r="G5" val="0.5" numFmtId="10"/>
      <inputCells r="H5" val="0.5" numFmtId="10"/>
      <inputCells r="I5" val="0.5" numFmtId="10"/>
    </scenario>
    <scenario name="Worst Case" locked="1" count="5" user="Windows User" comment="Created by Windows User on 5/3/2017">
      <inputCells r="E5" val="0.75" numFmtId="10"/>
      <inputCells r="F5" val="0.75" numFmtId="10"/>
      <inputCells r="G5" val="0.75" numFmtId="10"/>
      <inputCells r="H5" val="0.75" numFmtId="10"/>
      <inputCells r="I5" val="0.75" numFmtId="10"/>
    </scenario>
  </scenarios>
  <mergeCells count="9">
    <mergeCell ref="D2:I2"/>
    <mergeCell ref="D29:I29"/>
    <mergeCell ref="D35:L35"/>
    <mergeCell ref="D5:I5"/>
    <mergeCell ref="D9:I9"/>
    <mergeCell ref="D13:I13"/>
    <mergeCell ref="D17:I17"/>
    <mergeCell ref="D21:I21"/>
    <mergeCell ref="D25:I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 Page</vt:lpstr>
      <vt:lpstr>Summary Table</vt:lpstr>
      <vt:lpstr>Source Data</vt:lpstr>
      <vt:lpstr>Assumptions</vt:lpstr>
      <vt:lpstr>Model</vt:lpstr>
      <vt:lpstr>DCF Valuation</vt:lpstr>
      <vt:lpstr>Scenarios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hn13</cp:lastModifiedBy>
  <dcterms:created xsi:type="dcterms:W3CDTF">2017-05-03T21:22:04Z</dcterms:created>
  <dcterms:modified xsi:type="dcterms:W3CDTF">2023-06-19T15:22:53Z</dcterms:modified>
</cp:coreProperties>
</file>