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B) Computer Science" sheetId="1" r:id="rId1"/>
    <sheet name="(M) Communication Systems" sheetId="2" r:id="rId2"/>
    <sheet name="(M) Computer Science - Cyber" sheetId="3" r:id="rId3"/>
    <sheet name="(M) Computer Science" sheetId="4" r:id="rId4"/>
    <sheet name="(B) Communication Systems" sheetId="5" r:id="rId5"/>
    <sheet name="(M) Computational science" sheetId="6" r:id="rId6"/>
    <sheet name="All" sheetId="7" r:id="rId7"/>
  </sheets>
  <calcPr calcId="124519" fullCalcOnLoad="1"/>
</workbook>
</file>

<file path=xl/sharedStrings.xml><?xml version="1.0" encoding="utf-8"?>
<sst xmlns="http://schemas.openxmlformats.org/spreadsheetml/2006/main" count="4100" uniqueCount="238">
  <si>
    <t>Code</t>
  </si>
  <si>
    <t>Title</t>
  </si>
  <si>
    <t>Language</t>
  </si>
  <si>
    <t>Sem 1</t>
  </si>
  <si>
    <t>Sem 2</t>
  </si>
  <si>
    <t>Sem 3</t>
  </si>
  <si>
    <t>Sem 4</t>
  </si>
  <si>
    <t>Exam</t>
  </si>
  <si>
    <t>Credits</t>
  </si>
  <si>
    <t>CS-250</t>
  </si>
  <si>
    <t>MATH-203</t>
  </si>
  <si>
    <t>CS-206</t>
  </si>
  <si>
    <t>CS-214</t>
  </si>
  <si>
    <t>CS-200</t>
  </si>
  <si>
    <t>COM-208</t>
  </si>
  <si>
    <t>CS-202</t>
  </si>
  <si>
    <t>MATH-232</t>
  </si>
  <si>
    <t>COM-301</t>
  </si>
  <si>
    <t>CS-300</t>
  </si>
  <si>
    <t>CS-251</t>
  </si>
  <si>
    <t>MATH-310</t>
  </si>
  <si>
    <t>MATH-207</t>
  </si>
  <si>
    <t>CS-330</t>
  </si>
  <si>
    <t>COM-304</t>
  </si>
  <si>
    <t>CS-341</t>
  </si>
  <si>
    <t>CS-320</t>
  </si>
  <si>
    <t>EE-200</t>
  </si>
  <si>
    <t>EE-201</t>
  </si>
  <si>
    <t>EE-202</t>
  </si>
  <si>
    <t>EE-203</t>
  </si>
  <si>
    <t>EE-381</t>
  </si>
  <si>
    <t>CH-160</t>
  </si>
  <si>
    <t>CS-213</t>
  </si>
  <si>
    <t>COM-308</t>
  </si>
  <si>
    <t>CS-233</t>
  </si>
  <si>
    <t>CS-307</t>
  </si>
  <si>
    <t>CS-323</t>
  </si>
  <si>
    <t>CS-308</t>
  </si>
  <si>
    <t>COM-309</t>
  </si>
  <si>
    <t>CS-328</t>
  </si>
  <si>
    <t>CS-302</t>
  </si>
  <si>
    <t>COM-302</t>
  </si>
  <si>
    <t>CS-304</t>
  </si>
  <si>
    <t>COM-202</t>
  </si>
  <si>
    <t>COM-303</t>
  </si>
  <si>
    <t>COM-300</t>
  </si>
  <si>
    <t>CS-234</t>
  </si>
  <si>
    <t>PHYS-202</t>
  </si>
  <si>
    <t>PHYS-114</t>
  </si>
  <si>
    <t>BIO-109</t>
  </si>
  <si>
    <t>PHYS-207</t>
  </si>
  <si>
    <t>CS-358</t>
  </si>
  <si>
    <t>CS-311</t>
  </si>
  <si>
    <t>N/A</t>
  </si>
  <si>
    <t>EN</t>
  </si>
  <si>
    <t>FR</t>
  </si>
  <si>
    <t>{'L': '-', 'E': '-', 'P': '-'}</t>
  </si>
  <si>
    <t>{'L': '2h', 'E': '2h', 'P': '-'}</t>
  </si>
  <si>
    <t>{'L': '3h', 'E': '2h', 'P': '3h'}</t>
  </si>
  <si>
    <t>{'L': '4h', 'E': '4h', 'P': '-'}</t>
  </si>
  <si>
    <t>{'L': '4h', 'E': '2h', 'P': '-'}</t>
  </si>
  <si>
    <t>{'L': '2h', 'E': '1h', 'P': '-'}</t>
  </si>
  <si>
    <t>{'L': '4h', 'E': '2h', 'P': '2h'}</t>
  </si>
  <si>
    <t>{'L': '2h', 'E': '1h', 'P': '2h'}</t>
  </si>
  <si>
    <t>{'L': '3h', 'E': '2h', 'P': '-'}</t>
  </si>
  <si>
    <t>{'L': '1h', 'E': '1h', 'P': '2h'}</t>
  </si>
  <si>
    <t>{'L': '2h', 'E': '-', 'P': '2h'}</t>
  </si>
  <si>
    <t>{'L': '2h', 'E': '2h', 'P': '2h'}</t>
  </si>
  <si>
    <t>{'L': '2h', 'E': '-', 'P': '1h'}</t>
  </si>
  <si>
    <t>{'L': '3h', 'E': '1h', 'P': '-'}</t>
  </si>
  <si>
    <t>{'L': '-', 'E': '-', 'P': '8h'}</t>
  </si>
  <si>
    <t>{'L': '2h', 'E': '-', 'P': '10h'}</t>
  </si>
  <si>
    <t>{'L': '3h', 'E': '3h', 'P': '-'}</t>
  </si>
  <si>
    <t>{'L': '2h', 'E': '1h', 'P': '10h'}</t>
  </si>
  <si>
    <t>Summer session / Written</t>
  </si>
  <si>
    <t>Winter session / Written</t>
  </si>
  <si>
    <t>Summer session / During the semester</t>
  </si>
  <si>
    <t>Winter session / During the semester</t>
  </si>
  <si>
    <t>Winter/Summer session / During the semester</t>
  </si>
  <si>
    <t>COM-416</t>
  </si>
  <si>
    <t>COM-417</t>
  </si>
  <si>
    <t>CS-450</t>
  </si>
  <si>
    <t>COM-401</t>
  </si>
  <si>
    <t>CS-451</t>
  </si>
  <si>
    <t>COM-402</t>
  </si>
  <si>
    <t>COM-404</t>
  </si>
  <si>
    <t>CS-433</t>
  </si>
  <si>
    <t>COM-405</t>
  </si>
  <si>
    <t>COM-430</t>
  </si>
  <si>
    <t>COM-500</t>
  </si>
  <si>
    <t>COM-407</t>
  </si>
  <si>
    <t>CS-420</t>
  </si>
  <si>
    <t>CS-470</t>
  </si>
  <si>
    <t>CS-440</t>
  </si>
  <si>
    <t>COM-501</t>
  </si>
  <si>
    <t>CS-471</t>
  </si>
  <si>
    <t>CS-523</t>
  </si>
  <si>
    <t>CS-500</t>
  </si>
  <si>
    <t>EE-512</t>
  </si>
  <si>
    <t>MATH-493</t>
  </si>
  <si>
    <t>CS-401</t>
  </si>
  <si>
    <t>CS-456</t>
  </si>
  <si>
    <t>EE-554</t>
  </si>
  <si>
    <t>MICRO-452</t>
  </si>
  <si>
    <t>BIO-410</t>
  </si>
  <si>
    <t>MGT-416</t>
  </si>
  <si>
    <t>MATH-352</t>
  </si>
  <si>
    <t>BIO-105</t>
  </si>
  <si>
    <t>CS-524</t>
  </si>
  <si>
    <t>NX-465</t>
  </si>
  <si>
    <t>CS-413</t>
  </si>
  <si>
    <t>COM-418</t>
  </si>
  <si>
    <t>CS-442</t>
  </si>
  <si>
    <t>CS-453</t>
  </si>
  <si>
    <t>COM-480</t>
  </si>
  <si>
    <t>CS-438</t>
  </si>
  <si>
    <t>EE-559</t>
  </si>
  <si>
    <t>CS-502</t>
  </si>
  <si>
    <t>CS-472</t>
  </si>
  <si>
    <t>CS-411</t>
  </si>
  <si>
    <t>CS-423</t>
  </si>
  <si>
    <t>ENG-466</t>
  </si>
  <si>
    <t>COM-502</t>
  </si>
  <si>
    <t>CS-476</t>
  </si>
  <si>
    <t>DH-415</t>
  </si>
  <si>
    <t>CS-489</t>
  </si>
  <si>
    <t>CS-550</t>
  </si>
  <si>
    <t>CS-459</t>
  </si>
  <si>
    <t>CS-457</t>
  </si>
  <si>
    <t>MATH-483</t>
  </si>
  <si>
    <t>MICRO-511</t>
  </si>
  <si>
    <t>MICRO-512</t>
  </si>
  <si>
    <t>CS-487</t>
  </si>
  <si>
    <t>CS-430</t>
  </si>
  <si>
    <t>CS-486</t>
  </si>
  <si>
    <t>CS-491</t>
  </si>
  <si>
    <t>CS-431</t>
  </si>
  <si>
    <t>CS-526</t>
  </si>
  <si>
    <t>CS-421</t>
  </si>
  <si>
    <t>COM-516</t>
  </si>
  <si>
    <t>COM-514</t>
  </si>
  <si>
    <t>CS-552</t>
  </si>
  <si>
    <t>COM-512</t>
  </si>
  <si>
    <t>MATH-489</t>
  </si>
  <si>
    <t>CS-439</t>
  </si>
  <si>
    <t>COM-507</t>
  </si>
  <si>
    <t>CS-522</t>
  </si>
  <si>
    <t>MGT-427</t>
  </si>
  <si>
    <t>EE-593</t>
  </si>
  <si>
    <t>CS-412</t>
  </si>
  <si>
    <t>MATH-486</t>
  </si>
  <si>
    <t>PHYS-512</t>
  </si>
  <si>
    <t>MATH-413</t>
  </si>
  <si>
    <t>COM-506</t>
  </si>
  <si>
    <t>CS-448</t>
  </si>
  <si>
    <t>CS-473</t>
  </si>
  <si>
    <t>CS-460</t>
  </si>
  <si>
    <t>CS-458</t>
  </si>
  <si>
    <t>CS-510</t>
  </si>
  <si>
    <t>CS-455</t>
  </si>
  <si>
    <t>CS-444</t>
  </si>
  <si>
    <t>CS-503</t>
  </si>
  <si>
    <t>COM-597</t>
  </si>
  <si>
    <t>COM-599</t>
  </si>
  <si>
    <t>FR/EN</t>
  </si>
  <si>
    <t>{'L': '-', 'E': '-', 'P': '2h'}</t>
  </si>
  <si>
    <t>{'L': '4h', 'E': '3h', 'P': '-'}</t>
  </si>
  <si>
    <t>{'L': '2h', 'E': '1h', 'P': '3h'}</t>
  </si>
  <si>
    <t>{'L': '3h', 'E': '1h', 'P': '2h'}</t>
  </si>
  <si>
    <t>{'L': '4h', 'E': '-', 'P': '-'}</t>
  </si>
  <si>
    <t>{'L': '2h', 'E': '2h', 'P': '3h'}</t>
  </si>
  <si>
    <t>{'L': '2h', 'E': '2h', 'P': '1h'}</t>
  </si>
  <si>
    <t>{'L': '3h', 'E': '-', 'P': '2h'}</t>
  </si>
  <si>
    <t>{'L': '2h', 'E': '-', 'P': '4h'}</t>
  </si>
  <si>
    <t>{'L': '4h', 'E': '1h', 'P': '-'}</t>
  </si>
  <si>
    <t>{'L': '3h', 'E': '-', 'P': '-'}</t>
  </si>
  <si>
    <t>{'L': '6h', 'E': '-', 'P': '-'}</t>
  </si>
  <si>
    <t>{'L': '2h', 'E': '1h', 'P': '1h'}</t>
  </si>
  <si>
    <t>{'L': '1h', 'E': '1h', 'P': '-'}</t>
  </si>
  <si>
    <t>{'L': '-', 'E': '-', 'P': '320h'}</t>
  </si>
  <si>
    <t>{'L': '2h', 'E': '3h', 'P': '-'}</t>
  </si>
  <si>
    <t>{'L': '3h', 'E': '2h', 'P': '1h'}</t>
  </si>
  <si>
    <t>{'L': '1h', 'E': '-', 'P': '1h'}</t>
  </si>
  <si>
    <t>{'L': '2h', 'E': '-', 'P': '-'}</t>
  </si>
  <si>
    <t>{'L': '-', 'E': '-', 'P': '6h'}</t>
  </si>
  <si>
    <t>{'L': '-', 'E': '-', 'P': '900h'}</t>
  </si>
  <si>
    <t>Winter session</t>
  </si>
  <si>
    <t>Summer session</t>
  </si>
  <si>
    <t>Winter session / Oral</t>
  </si>
  <si>
    <t>Summer session / Oral</t>
  </si>
  <si>
    <t>Winter/Summer session / Term paper</t>
  </si>
  <si>
    <t>Winter/Summer session / Oral</t>
  </si>
  <si>
    <t>CS-496</t>
  </si>
  <si>
    <t>COM-406</t>
  </si>
  <si>
    <t>CS-452</t>
  </si>
  <si>
    <t>CS-596</t>
  </si>
  <si>
    <t>CS-594</t>
  </si>
  <si>
    <t>CS-597</t>
  </si>
  <si>
    <t>{'L': '-', 'E': '-', 'P': '12h'}</t>
  </si>
  <si>
    <t>CS-498</t>
  </si>
  <si>
    <t>CS-595</t>
  </si>
  <si>
    <t>CS-599</t>
  </si>
  <si>
    <t>EE-310</t>
  </si>
  <si>
    <t>COM-307</t>
  </si>
  <si>
    <t>MATH-351</t>
  </si>
  <si>
    <t>PHYS-403</t>
  </si>
  <si>
    <t>CH-351</t>
  </si>
  <si>
    <t>MATH-456</t>
  </si>
  <si>
    <t>MATH-454</t>
  </si>
  <si>
    <t>MATH-458</t>
  </si>
  <si>
    <t>MATH-591</t>
  </si>
  <si>
    <t>MATH-592</t>
  </si>
  <si>
    <t>MATH-595</t>
  </si>
  <si>
    <t>MSE-468</t>
  </si>
  <si>
    <t>MATH-453</t>
  </si>
  <si>
    <t>CH-452</t>
  </si>
  <si>
    <t>ENG-420</t>
  </si>
  <si>
    <t>MATH-505</t>
  </si>
  <si>
    <t>ME-444</t>
  </si>
  <si>
    <t>ME-466</t>
  </si>
  <si>
    <t>CH-353</t>
  </si>
  <si>
    <t>MATH-403</t>
  </si>
  <si>
    <t>MATH-463</t>
  </si>
  <si>
    <t>EE-556</t>
  </si>
  <si>
    <t>CH-453</t>
  </si>
  <si>
    <t>MATH-451</t>
  </si>
  <si>
    <t>ME-474</t>
  </si>
  <si>
    <t>MATH-450</t>
  </si>
  <si>
    <t>MATH-459</t>
  </si>
  <si>
    <t>MATH-468</t>
  </si>
  <si>
    <t>E-411</t>
  </si>
  <si>
    <t>MATH-414</t>
  </si>
  <si>
    <t>BIO-315</t>
  </si>
  <si>
    <t>ME-467</t>
  </si>
  <si>
    <t>CH-420</t>
  </si>
  <si>
    <t>MATH-598</t>
  </si>
  <si>
    <t>{'L': '3h', 'E': '-', 'P': '3h'}</t>
  </si>
  <si>
    <t>{'L': '3h', 'E': '-', 'P': '1h'}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</si>
</sst>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f>HYPERLINK("https://edu.epfl.ch/studyplan/en/bachelor/computer-science/coursebook/algorithms-i-CS-250", "Algorithms I")</f>
        <v>0</v>
      </c>
      <c r="C2" t="s">
        <v>54</v>
      </c>
      <c r="D2" t="s">
        <v>56</v>
      </c>
      <c r="E2" t="s">
        <v>60</v>
      </c>
      <c r="F2" t="s">
        <v>56</v>
      </c>
      <c r="G2" t="s">
        <v>56</v>
      </c>
      <c r="H2" t="s">
        <v>74</v>
      </c>
      <c r="I2">
        <v>8</v>
      </c>
    </row>
    <row r="3" spans="1:9">
      <c r="A3" t="s">
        <v>10</v>
      </c>
      <c r="B3">
        <f>HYPERLINK("https://edu.epfl.ch/studyplan/en/bachelor/computer-science/coursebook/analysis-iii-MATH-203-B", "Analysis III")</f>
        <v>0</v>
      </c>
      <c r="C3" t="s">
        <v>55</v>
      </c>
      <c r="D3" t="s">
        <v>57</v>
      </c>
      <c r="E3" t="s">
        <v>56</v>
      </c>
      <c r="F3" t="s">
        <v>56</v>
      </c>
      <c r="G3" t="s">
        <v>56</v>
      </c>
      <c r="H3" t="s">
        <v>75</v>
      </c>
      <c r="I3">
        <v>4</v>
      </c>
    </row>
    <row r="4" spans="1:9">
      <c r="A4" t="s">
        <v>11</v>
      </c>
      <c r="B4">
        <f>HYPERLINK("https://edu.epfl.ch/studyplan/en/bachelor/computer-science/coursebook/parallelism-and-concurrency-CS-206", "Parallelism and concurrency")</f>
        <v>0</v>
      </c>
      <c r="C4" t="s">
        <v>54</v>
      </c>
      <c r="D4" t="s">
        <v>56</v>
      </c>
      <c r="E4" t="s">
        <v>65</v>
      </c>
      <c r="F4" t="s">
        <v>56</v>
      </c>
      <c r="G4" t="s">
        <v>56</v>
      </c>
      <c r="H4" t="s">
        <v>76</v>
      </c>
      <c r="I4">
        <v>4</v>
      </c>
    </row>
    <row r="5" spans="1:9">
      <c r="A5" t="s">
        <v>12</v>
      </c>
      <c r="B5">
        <f>HYPERLINK("https://edu.epfl.ch/studyplan/en/bachelor/computer-science/coursebook/software-construction-CS-214", "Software construction")</f>
        <v>0</v>
      </c>
      <c r="C5" t="s">
        <v>54</v>
      </c>
      <c r="D5" t="s">
        <v>58</v>
      </c>
      <c r="E5" t="s">
        <v>56</v>
      </c>
      <c r="F5" t="s">
        <v>56</v>
      </c>
      <c r="G5" t="s">
        <v>56</v>
      </c>
      <c r="H5" t="s">
        <v>75</v>
      </c>
      <c r="I5">
        <v>8</v>
      </c>
    </row>
    <row r="6" spans="1:9">
      <c r="A6" t="s">
        <v>13</v>
      </c>
      <c r="B6">
        <f>HYPERLINK("https://edu.epfl.ch/studyplan/en/bachelor/computer-science/coursebook/computer-architecture-CS-200", "Computer architecture")</f>
        <v>0</v>
      </c>
      <c r="C6" t="s">
        <v>54</v>
      </c>
      <c r="D6" t="s">
        <v>59</v>
      </c>
      <c r="E6" t="s">
        <v>56</v>
      </c>
      <c r="F6" t="s">
        <v>56</v>
      </c>
      <c r="G6" t="s">
        <v>56</v>
      </c>
      <c r="H6" t="s">
        <v>75</v>
      </c>
      <c r="I6">
        <v>8</v>
      </c>
    </row>
    <row r="7" spans="1:9">
      <c r="A7" t="s">
        <v>14</v>
      </c>
      <c r="B7">
        <f>HYPERLINK("https://edu.epfl.ch/studyplan/en/bachelor/computer-science/coursebook/computer-networks-COM-208", "Computer networks")</f>
        <v>0</v>
      </c>
      <c r="C7" t="s">
        <v>54</v>
      </c>
      <c r="D7" t="s">
        <v>57</v>
      </c>
      <c r="E7" t="s">
        <v>56</v>
      </c>
      <c r="F7" t="s">
        <v>56</v>
      </c>
      <c r="G7" t="s">
        <v>56</v>
      </c>
      <c r="H7" t="s">
        <v>75</v>
      </c>
      <c r="I7">
        <v>5</v>
      </c>
    </row>
    <row r="8" spans="1:9">
      <c r="A8" t="s">
        <v>15</v>
      </c>
      <c r="B8">
        <f>HYPERLINK("https://edu.epfl.ch/studyplan/en/bachelor/computer-science/coursebook/computer-systems-CS-202", "Computer systems")</f>
        <v>0</v>
      </c>
      <c r="C8" t="s">
        <v>54</v>
      </c>
      <c r="D8" t="s">
        <v>56</v>
      </c>
      <c r="E8" t="s">
        <v>59</v>
      </c>
      <c r="F8" t="s">
        <v>56</v>
      </c>
      <c r="G8" t="s">
        <v>56</v>
      </c>
      <c r="H8" t="s">
        <v>74</v>
      </c>
      <c r="I8">
        <v>8</v>
      </c>
    </row>
    <row r="9" spans="1:9">
      <c r="A9" t="s">
        <v>16</v>
      </c>
      <c r="B9">
        <f>HYPERLINK("https://edu.epfl.ch/studyplan/en/bachelor/computer-science/coursebook/probability-and-statistics-MATH-232", "Probability and statistics")</f>
        <v>0</v>
      </c>
      <c r="C9" t="s">
        <v>54</v>
      </c>
      <c r="D9" t="s">
        <v>60</v>
      </c>
      <c r="E9" t="s">
        <v>56</v>
      </c>
      <c r="F9" t="s">
        <v>56</v>
      </c>
      <c r="G9" t="s">
        <v>56</v>
      </c>
      <c r="H9" t="s">
        <v>75</v>
      </c>
      <c r="I9">
        <v>6</v>
      </c>
    </row>
    <row r="10" spans="1:9">
      <c r="A10" t="s">
        <v>17</v>
      </c>
      <c r="B10">
        <f>HYPERLINK("https://edu.epfl.ch/studyplan/en/bachelor/computer-science/coursebook/computer-security-and-privacy-COM-301", "Computer security and privacy")</f>
        <v>0</v>
      </c>
      <c r="C10" t="s">
        <v>54</v>
      </c>
      <c r="D10" t="s">
        <v>56</v>
      </c>
      <c r="E10" t="s">
        <v>56</v>
      </c>
      <c r="F10" t="s">
        <v>57</v>
      </c>
      <c r="G10" t="s">
        <v>56</v>
      </c>
      <c r="H10" t="s">
        <v>75</v>
      </c>
      <c r="I10">
        <v>4</v>
      </c>
    </row>
    <row r="11" spans="1:9">
      <c r="A11" t="s">
        <v>18</v>
      </c>
      <c r="B11">
        <f>HYPERLINK("https://edu.epfl.ch/studyplan/en/bachelor/computer-science/coursebook/data-intensive-systems-CS-300", "Data-intensive systems")</f>
        <v>0</v>
      </c>
      <c r="C11" t="s">
        <v>54</v>
      </c>
      <c r="D11" t="s">
        <v>56</v>
      </c>
      <c r="E11" t="s">
        <v>56</v>
      </c>
      <c r="F11" t="s">
        <v>56</v>
      </c>
      <c r="G11" t="s">
        <v>63</v>
      </c>
      <c r="H11" t="s">
        <v>74</v>
      </c>
      <c r="I11">
        <v>6</v>
      </c>
    </row>
    <row r="12" spans="1:9">
      <c r="A12" t="s">
        <v>19</v>
      </c>
      <c r="B12">
        <f>HYPERLINK("https://edu.epfl.ch/studyplan/en/bachelor/computer-science/coursebook/theory-of-computation-CS-251", "Theory of computation")</f>
        <v>0</v>
      </c>
      <c r="C12" t="s">
        <v>54</v>
      </c>
      <c r="D12" t="s">
        <v>56</v>
      </c>
      <c r="E12" t="s">
        <v>56</v>
      </c>
      <c r="F12" t="s">
        <v>56</v>
      </c>
      <c r="G12" t="s">
        <v>57</v>
      </c>
      <c r="H12" t="s">
        <v>74</v>
      </c>
      <c r="I12">
        <v>6</v>
      </c>
    </row>
    <row r="13" spans="1:9">
      <c r="A13" t="s">
        <v>20</v>
      </c>
      <c r="B13">
        <f>HYPERLINK("https://edu.epfl.ch/studyplan/en/bachelor/computer-science/coursebook/algebra-MATH-310", "Algebra")</f>
        <v>0</v>
      </c>
      <c r="C13" t="s">
        <v>54</v>
      </c>
      <c r="D13" t="s">
        <v>57</v>
      </c>
      <c r="E13" t="s">
        <v>56</v>
      </c>
      <c r="F13" t="s">
        <v>56</v>
      </c>
      <c r="G13" t="s">
        <v>56</v>
      </c>
      <c r="H13" t="s">
        <v>75</v>
      </c>
      <c r="I13">
        <v>4</v>
      </c>
    </row>
    <row r="14" spans="1:9">
      <c r="A14" t="s">
        <v>21</v>
      </c>
      <c r="B14">
        <f>HYPERLINK("https://edu.epfl.ch/studyplan/en/bachelor/computer-science/coursebook/analysis-iv-MATH-207-D", "Analysis IV")</f>
        <v>0</v>
      </c>
      <c r="C14" t="s">
        <v>55</v>
      </c>
      <c r="D14" t="s">
        <v>56</v>
      </c>
      <c r="E14" t="s">
        <v>57</v>
      </c>
      <c r="F14" t="s">
        <v>56</v>
      </c>
      <c r="G14" t="s">
        <v>56</v>
      </c>
      <c r="H14" t="s">
        <v>74</v>
      </c>
      <c r="I14">
        <v>4</v>
      </c>
    </row>
    <row r="15" spans="1:9">
      <c r="A15" t="s">
        <v>22</v>
      </c>
      <c r="B15">
        <f>HYPERLINK("https://edu.epfl.ch/studyplan/en/bachelor/computer-science/coursebook/artificial-intelligence-CS-330", "Artificial intelligence")</f>
        <v>0</v>
      </c>
      <c r="C15" t="s">
        <v>55</v>
      </c>
      <c r="D15" t="s">
        <v>56</v>
      </c>
      <c r="E15" t="s">
        <v>56</v>
      </c>
      <c r="F15" t="s">
        <v>56</v>
      </c>
      <c r="G15" t="s">
        <v>57</v>
      </c>
      <c r="H15" t="s">
        <v>76</v>
      </c>
      <c r="I15">
        <v>4</v>
      </c>
    </row>
    <row r="16" spans="1:9">
      <c r="A16" t="s">
        <v>23</v>
      </c>
      <c r="B16">
        <f>HYPERLINK("https://edu.epfl.ch/studyplan/en/bachelor/computer-science/coursebook/communications-project-COM-304", "Communications project")</f>
        <v>0</v>
      </c>
      <c r="C16" t="s">
        <v>54</v>
      </c>
      <c r="D16" t="s">
        <v>56</v>
      </c>
      <c r="E16" t="s">
        <v>56</v>
      </c>
      <c r="F16" t="s">
        <v>56</v>
      </c>
      <c r="G16" t="s">
        <v>71</v>
      </c>
      <c r="H16" t="s">
        <v>76</v>
      </c>
      <c r="I16">
        <v>8</v>
      </c>
    </row>
    <row r="17" spans="1:9">
      <c r="A17" t="s">
        <v>24</v>
      </c>
      <c r="B17">
        <f>HYPERLINK("https://edu.epfl.ch/studyplan/en/bachelor/computer-science/coursebook/computer-graphics-CS-341", "Computer graphics")</f>
        <v>0</v>
      </c>
      <c r="C17" t="s">
        <v>54</v>
      </c>
      <c r="D17" t="s">
        <v>56</v>
      </c>
      <c r="E17" t="s">
        <v>56</v>
      </c>
      <c r="F17" t="s">
        <v>56</v>
      </c>
      <c r="G17" t="s">
        <v>63</v>
      </c>
      <c r="H17" t="s">
        <v>74</v>
      </c>
      <c r="I17">
        <v>6</v>
      </c>
    </row>
    <row r="18" spans="1:9">
      <c r="A18" t="s">
        <v>25</v>
      </c>
      <c r="B18">
        <f>HYPERLINK("https://edu.epfl.ch/studyplan/en/bachelor/computer-science/coursebook/computer-language-processing-CS-320", "Computer language processing")</f>
        <v>0</v>
      </c>
      <c r="C18" t="s">
        <v>54</v>
      </c>
      <c r="D18" t="s">
        <v>56</v>
      </c>
      <c r="E18" t="s">
        <v>56</v>
      </c>
      <c r="F18" t="s">
        <v>56</v>
      </c>
      <c r="G18" t="s">
        <v>67</v>
      </c>
      <c r="H18" t="s">
        <v>76</v>
      </c>
      <c r="I18">
        <v>6</v>
      </c>
    </row>
    <row r="19" spans="1:9">
      <c r="A19" t="s">
        <v>26</v>
      </c>
      <c r="B19">
        <f>HYPERLINK("https://edu.epfl.ch/studyplan/en/bachelor/computer-science/coursebook/electromagnetics-i-transmission-lines-and-waves-EE-200", "Electromagnetics I : Transmission lines and waves")</f>
        <v>0</v>
      </c>
      <c r="C19" t="s">
        <v>55</v>
      </c>
      <c r="D19" t="s">
        <v>56</v>
      </c>
      <c r="E19" t="s">
        <v>56</v>
      </c>
      <c r="F19" t="s">
        <v>61</v>
      </c>
      <c r="G19" t="s">
        <v>56</v>
      </c>
      <c r="H19" t="s">
        <v>75</v>
      </c>
      <c r="I19">
        <v>3</v>
      </c>
    </row>
    <row r="20" spans="1:9">
      <c r="A20" t="s">
        <v>27</v>
      </c>
      <c r="B20">
        <f>HYPERLINK("https://edu.epfl.ch/studyplan/en/bachelor/computer-science/coursebook/electromagnetics-ii-field-computation-EE-201", "Electromagnetics II : field computation")</f>
        <v>0</v>
      </c>
      <c r="C20" t="s">
        <v>55</v>
      </c>
      <c r="D20" t="s">
        <v>56</v>
      </c>
      <c r="E20" t="s">
        <v>56</v>
      </c>
      <c r="F20" t="s">
        <v>56</v>
      </c>
      <c r="G20" t="s">
        <v>61</v>
      </c>
      <c r="H20" t="s">
        <v>74</v>
      </c>
      <c r="I20">
        <v>3</v>
      </c>
    </row>
    <row r="21" spans="1:9">
      <c r="A21" t="s">
        <v>28</v>
      </c>
      <c r="B21">
        <f>HYPERLINK("https://edu.epfl.ch/studyplan/en/bachelor/computer-science/coursebook/electronics-i-EE-202-B", "Electronics I")</f>
        <v>0</v>
      </c>
      <c r="C21" t="s">
        <v>55</v>
      </c>
      <c r="D21" t="s">
        <v>61</v>
      </c>
      <c r="E21" t="s">
        <v>56</v>
      </c>
      <c r="F21" t="s">
        <v>56</v>
      </c>
      <c r="G21" t="s">
        <v>56</v>
      </c>
      <c r="H21" t="s">
        <v>77</v>
      </c>
      <c r="I21">
        <v>4</v>
      </c>
    </row>
    <row r="22" spans="1:9">
      <c r="A22" t="s">
        <v>29</v>
      </c>
      <c r="B22">
        <f>HYPERLINK("https://edu.epfl.ch/studyplan/en/bachelor/computer-science/coursebook/electronics-ii-EE-203-B", "Electronics II")</f>
        <v>0</v>
      </c>
      <c r="C22" t="s">
        <v>55</v>
      </c>
      <c r="D22" t="s">
        <v>56</v>
      </c>
      <c r="E22" t="s">
        <v>56</v>
      </c>
      <c r="F22" t="s">
        <v>57</v>
      </c>
      <c r="G22" t="s">
        <v>56</v>
      </c>
      <c r="H22" t="s">
        <v>77</v>
      </c>
      <c r="I22">
        <v>4</v>
      </c>
    </row>
    <row r="23" spans="1:9">
      <c r="A23" t="s">
        <v>30</v>
      </c>
      <c r="B23">
        <f>HYPERLINK("https://edu.epfl.ch/studyplan/en/bachelor/computer-science/coursebook/electronics-iii-EE-381", "Electronics III")</f>
        <v>0</v>
      </c>
      <c r="C23" t="s">
        <v>55</v>
      </c>
      <c r="D23" t="s">
        <v>56</v>
      </c>
      <c r="E23" t="s">
        <v>56</v>
      </c>
      <c r="F23" t="s">
        <v>56</v>
      </c>
      <c r="G23" t="s">
        <v>61</v>
      </c>
      <c r="H23" t="s">
        <v>76</v>
      </c>
      <c r="I23">
        <v>3</v>
      </c>
    </row>
    <row r="24" spans="1:9">
      <c r="A24" t="s">
        <v>31</v>
      </c>
      <c r="B24">
        <f>HYPERLINK("https://edu.epfl.ch/studyplan/en/bachelor/computer-science/coursebook/general-chemistry-CH-160-B", "General chemistry")</f>
        <v>0</v>
      </c>
      <c r="C24" t="s">
        <v>55</v>
      </c>
      <c r="D24" t="s">
        <v>56</v>
      </c>
      <c r="E24" t="s">
        <v>56</v>
      </c>
      <c r="F24" t="s">
        <v>61</v>
      </c>
      <c r="G24" t="s">
        <v>56</v>
      </c>
      <c r="H24" t="s">
        <v>75</v>
      </c>
      <c r="I24">
        <v>3</v>
      </c>
    </row>
    <row r="25" spans="1:9">
      <c r="A25" t="s">
        <v>32</v>
      </c>
      <c r="B25">
        <f>HYPERLINK("https://edu.epfl.ch/studyplan/en/bachelor/computer-science/coursebook/human-computer-interaction-CS-213", "Human computer interaction")</f>
        <v>0</v>
      </c>
      <c r="C25" t="s">
        <v>55</v>
      </c>
      <c r="D25" t="s">
        <v>56</v>
      </c>
      <c r="E25" t="s">
        <v>66</v>
      </c>
      <c r="F25" t="s">
        <v>56</v>
      </c>
      <c r="G25" t="s">
        <v>56</v>
      </c>
      <c r="H25" t="s">
        <v>74</v>
      </c>
      <c r="I25">
        <v>5</v>
      </c>
    </row>
    <row r="26" spans="1:9">
      <c r="A26" t="s">
        <v>33</v>
      </c>
      <c r="B26">
        <f>HYPERLINK("https://edu.epfl.ch/studyplan/en/bachelor/computer-science/coursebook/internet-analytics-COM-308", "Internet analytics")</f>
        <v>0</v>
      </c>
      <c r="C26" t="s">
        <v>54</v>
      </c>
      <c r="D26" t="s">
        <v>56</v>
      </c>
      <c r="E26" t="s">
        <v>56</v>
      </c>
      <c r="F26" t="s">
        <v>56</v>
      </c>
      <c r="G26" t="s">
        <v>63</v>
      </c>
      <c r="H26" t="s">
        <v>74</v>
      </c>
      <c r="I26">
        <v>6</v>
      </c>
    </row>
    <row r="27" spans="1:9">
      <c r="A27" t="s">
        <v>34</v>
      </c>
      <c r="B27">
        <f>HYPERLINK("https://edu.epfl.ch/studyplan/en/bachelor/computer-science/coursebook/introduction-to-machine-learning-CS-233", "Introduction to machine learning ")</f>
        <v>0</v>
      </c>
      <c r="C27" t="s">
        <v>54</v>
      </c>
      <c r="D27" t="s">
        <v>56</v>
      </c>
      <c r="E27" t="s">
        <v>67</v>
      </c>
      <c r="F27" t="s">
        <v>56</v>
      </c>
      <c r="G27" t="s">
        <v>56</v>
      </c>
      <c r="H27" t="s">
        <v>74</v>
      </c>
      <c r="I27">
        <v>6</v>
      </c>
    </row>
    <row r="28" spans="1:9">
      <c r="A28" t="s">
        <v>35</v>
      </c>
      <c r="B28">
        <f>HYPERLINK("https://edu.epfl.ch/studyplan/en/bachelor/computer-science/coursebook/introduction-to-multiprocessor-architecture-CS-307", "Introduction to multiprocessor architecture")</f>
        <v>0</v>
      </c>
      <c r="C28" t="s">
        <v>54</v>
      </c>
      <c r="D28" t="s">
        <v>56</v>
      </c>
      <c r="E28" t="s">
        <v>56</v>
      </c>
      <c r="F28" t="s">
        <v>68</v>
      </c>
      <c r="G28" t="s">
        <v>56</v>
      </c>
      <c r="H28" t="s">
        <v>77</v>
      </c>
      <c r="I28">
        <v>4</v>
      </c>
    </row>
    <row r="29" spans="1:9">
      <c r="A29" t="s">
        <v>36</v>
      </c>
      <c r="B29">
        <f>HYPERLINK("https://edu.epfl.ch/studyplan/en/bachelor/computer-science/coursebook/introduction-to-operating-systems-CS-323", "Introduction to operating systems")</f>
        <v>0</v>
      </c>
      <c r="C29" t="s">
        <v>54</v>
      </c>
      <c r="D29" t="s">
        <v>56</v>
      </c>
      <c r="E29" t="s">
        <v>56</v>
      </c>
      <c r="F29" t="s">
        <v>63</v>
      </c>
      <c r="G29" t="s">
        <v>56</v>
      </c>
      <c r="H29" t="s">
        <v>75</v>
      </c>
      <c r="I29">
        <v>5</v>
      </c>
    </row>
    <row r="30" spans="1:9">
      <c r="A30" t="s">
        <v>37</v>
      </c>
      <c r="B30">
        <f>HYPERLINK("https://edu.epfl.ch/studyplan/en/bachelor/computer-science/coursebook/introduction-to-quantum-computation-CS-308", "Introduction to quantum computation")</f>
        <v>0</v>
      </c>
      <c r="C30" t="s">
        <v>54</v>
      </c>
      <c r="D30" t="s">
        <v>56</v>
      </c>
      <c r="E30" t="s">
        <v>56</v>
      </c>
      <c r="F30" t="s">
        <v>56</v>
      </c>
      <c r="G30" t="s">
        <v>69</v>
      </c>
      <c r="H30" t="s">
        <v>74</v>
      </c>
      <c r="I30">
        <v>5</v>
      </c>
    </row>
    <row r="31" spans="1:9">
      <c r="A31" t="s">
        <v>38</v>
      </c>
      <c r="B31">
        <f>HYPERLINK("https://edu.epfl.ch/studyplan/en/bachelor/computer-science/coursebook/introduction-to-quantum-information-processing-COM-309", "Introduction to quantum information processing")</f>
        <v>0</v>
      </c>
      <c r="C31" t="s">
        <v>54</v>
      </c>
      <c r="D31" t="s">
        <v>56</v>
      </c>
      <c r="E31" t="s">
        <v>56</v>
      </c>
      <c r="F31" t="s">
        <v>69</v>
      </c>
      <c r="G31" t="s">
        <v>56</v>
      </c>
      <c r="H31" t="s">
        <v>75</v>
      </c>
      <c r="I31">
        <v>5</v>
      </c>
    </row>
    <row r="32" spans="1:9">
      <c r="A32" t="s">
        <v>39</v>
      </c>
      <c r="B32">
        <f>HYPERLINK("https://edu.epfl.ch/studyplan/en/bachelor/computer-science/coursebook/numerical-methods-for-visual-computing-and-ml-CS-328", "Numerical methods for visual computing and ML")</f>
        <v>0</v>
      </c>
      <c r="C32" t="s">
        <v>54</v>
      </c>
      <c r="D32" t="s">
        <v>57</v>
      </c>
      <c r="E32" t="s">
        <v>56</v>
      </c>
      <c r="F32" t="s">
        <v>56</v>
      </c>
      <c r="G32" t="s">
        <v>56</v>
      </c>
      <c r="H32" t="s">
        <v>75</v>
      </c>
      <c r="I32">
        <v>4</v>
      </c>
    </row>
    <row r="33" spans="1:9">
      <c r="A33" t="s">
        <v>40</v>
      </c>
      <c r="B33">
        <f>HYPERLINK("https://edu.epfl.ch/studyplan/en/bachelor/computer-science/coursebook/parallelism-and-concurrency-in-software-CS-302", "Parallelism and concurrency in software")</f>
        <v>0</v>
      </c>
      <c r="C33" t="s">
        <v>54</v>
      </c>
      <c r="D33" t="s">
        <v>56</v>
      </c>
      <c r="E33" t="s">
        <v>56</v>
      </c>
      <c r="F33" t="s">
        <v>56</v>
      </c>
      <c r="G33" t="s">
        <v>72</v>
      </c>
      <c r="H33" t="s">
        <v>76</v>
      </c>
      <c r="I33">
        <v>6</v>
      </c>
    </row>
    <row r="34" spans="1:9">
      <c r="A34" t="s">
        <v>41</v>
      </c>
      <c r="B34">
        <f>HYPERLINK("https://edu.epfl.ch/studyplan/en/bachelor/computer-science/coursebook/principles-of-digital-communications-COM-302", "Principles of digital communications")</f>
        <v>0</v>
      </c>
      <c r="C34" t="s">
        <v>54</v>
      </c>
      <c r="D34" t="s">
        <v>56</v>
      </c>
      <c r="E34" t="s">
        <v>56</v>
      </c>
      <c r="F34" t="s">
        <v>56</v>
      </c>
      <c r="G34" t="s">
        <v>60</v>
      </c>
      <c r="H34" t="s">
        <v>74</v>
      </c>
      <c r="I34">
        <v>6</v>
      </c>
    </row>
    <row r="35" spans="1:9">
      <c r="A35" t="s">
        <v>42</v>
      </c>
      <c r="B35">
        <f>HYPERLINK("https://edu.epfl.ch/studyplan/en/bachelor/computer-science/coursebook/projet-de-recherche-optionnel-en-informatique-i-CS-304", "Projet de recherche optionnel en Informatique I")</f>
        <v>0</v>
      </c>
      <c r="C35" t="s">
        <v>55</v>
      </c>
      <c r="D35" t="s">
        <v>56</v>
      </c>
      <c r="E35" t="s">
        <v>56</v>
      </c>
      <c r="F35" t="s">
        <v>70</v>
      </c>
      <c r="G35" t="s">
        <v>70</v>
      </c>
      <c r="H35" t="s">
        <v>78</v>
      </c>
      <c r="I35">
        <v>8</v>
      </c>
    </row>
    <row r="36" spans="1:9">
      <c r="A36" t="s">
        <v>43</v>
      </c>
      <c r="B36">
        <f>HYPERLINK("https://edu.epfl.ch/studyplan/en/bachelor/computer-science/coursebook/signal-processing-COM-202", "Signal processing")</f>
        <v>0</v>
      </c>
      <c r="C36" t="s">
        <v>54</v>
      </c>
      <c r="D36" t="s">
        <v>62</v>
      </c>
      <c r="E36" t="s">
        <v>56</v>
      </c>
      <c r="F36" t="s">
        <v>56</v>
      </c>
      <c r="G36" t="s">
        <v>56</v>
      </c>
      <c r="H36" t="s">
        <v>75</v>
      </c>
      <c r="I36">
        <v>8</v>
      </c>
    </row>
    <row r="37" spans="1:9">
      <c r="A37" t="s">
        <v>44</v>
      </c>
      <c r="B37">
        <f>HYPERLINK("https://edu.epfl.ch/studyplan/en/bachelor/computer-science/coursebook/signal-processing-for-communications-COM-303", "Signal processing for communications")</f>
        <v>0</v>
      </c>
      <c r="C37" t="s">
        <v>54</v>
      </c>
      <c r="D37" t="s">
        <v>56</v>
      </c>
      <c r="E37" t="s">
        <v>56</v>
      </c>
      <c r="F37" t="s">
        <v>56</v>
      </c>
      <c r="G37" t="s">
        <v>60</v>
      </c>
      <c r="H37" t="s">
        <v>74</v>
      </c>
      <c r="I37">
        <v>6</v>
      </c>
    </row>
    <row r="38" spans="1:9">
      <c r="A38" t="s">
        <v>45</v>
      </c>
      <c r="B38">
        <f>HYPERLINK("https://edu.epfl.ch/studyplan/en/bachelor/computer-science/coursebook/stochastic-models-in-communication-COM-300", "Stochastic models in communication")</f>
        <v>0</v>
      </c>
      <c r="C38" t="s">
        <v>55</v>
      </c>
      <c r="D38" t="s">
        <v>56</v>
      </c>
      <c r="E38" t="s">
        <v>56</v>
      </c>
      <c r="F38" t="s">
        <v>60</v>
      </c>
      <c r="G38" t="s">
        <v>56</v>
      </c>
      <c r="H38" t="s">
        <v>75</v>
      </c>
      <c r="I38">
        <v>6</v>
      </c>
    </row>
    <row r="39" spans="1:9">
      <c r="A39" t="s">
        <v>46</v>
      </c>
      <c r="B39">
        <f>HYPERLINK("https://edu.epfl.ch/studyplan/en/bachelor/computer-science/coursebook/technologies-for-democratic-society-CS-234", "Technologies for democratic society")</f>
        <v>0</v>
      </c>
      <c r="C39" t="s">
        <v>54</v>
      </c>
      <c r="D39" t="s">
        <v>63</v>
      </c>
      <c r="E39" t="s">
        <v>56</v>
      </c>
      <c r="F39" t="s">
        <v>56</v>
      </c>
      <c r="G39" t="s">
        <v>56</v>
      </c>
      <c r="H39" t="s">
        <v>75</v>
      </c>
      <c r="I39">
        <v>5</v>
      </c>
    </row>
    <row r="40" spans="1:9">
      <c r="A40" t="s">
        <v>47</v>
      </c>
      <c r="B40">
        <f>HYPERLINK("https://edu.epfl.ch/studyplan/en/bachelor/computer-science/coursebook/analytical-mechanics-for-sph-PHYS-202", "Analytical mechanics (for SPH)")</f>
        <v>0</v>
      </c>
      <c r="C40" t="s">
        <v>55</v>
      </c>
      <c r="D40" t="s">
        <v>64</v>
      </c>
      <c r="E40" t="s">
        <v>56</v>
      </c>
      <c r="F40" t="s">
        <v>56</v>
      </c>
      <c r="G40" t="s">
        <v>56</v>
      </c>
      <c r="H40" t="s">
        <v>75</v>
      </c>
      <c r="I40">
        <v>5</v>
      </c>
    </row>
    <row r="41" spans="1:9">
      <c r="A41" t="s">
        <v>48</v>
      </c>
      <c r="B41">
        <f>HYPERLINK("https://edu.epfl.ch/studyplan/en/bachelor/computer-science/coursebook/general-physics-electromagnetism-PHYS-114", "General physics: electromagnetism")</f>
        <v>0</v>
      </c>
      <c r="C41" t="s">
        <v>54</v>
      </c>
      <c r="D41" t="s">
        <v>57</v>
      </c>
      <c r="E41" t="s">
        <v>56</v>
      </c>
      <c r="F41" t="s">
        <v>56</v>
      </c>
      <c r="G41" t="s">
        <v>56</v>
      </c>
      <c r="H41" t="s">
        <v>75</v>
      </c>
      <c r="I41">
        <v>4</v>
      </c>
    </row>
    <row r="42" spans="1:9">
      <c r="A42" t="s">
        <v>49</v>
      </c>
      <c r="B42">
        <f>HYPERLINK("https://edu.epfl.ch/studyplan/en/bachelor/computer-science/coursebook/introduction-to-life-sciences-for-ic-BIO-109", "Introduction to life sciences (for IC)")</f>
        <v>0</v>
      </c>
      <c r="C42" t="s">
        <v>55</v>
      </c>
      <c r="D42" t="s">
        <v>56</v>
      </c>
      <c r="E42" t="s">
        <v>60</v>
      </c>
      <c r="F42" t="s">
        <v>56</v>
      </c>
      <c r="G42" t="s">
        <v>56</v>
      </c>
      <c r="H42" t="s">
        <v>74</v>
      </c>
      <c r="I42">
        <v>6</v>
      </c>
    </row>
    <row r="43" spans="1:9">
      <c r="A43" t="s">
        <v>50</v>
      </c>
      <c r="B43">
        <f>HYPERLINK("https://edu.epfl.ch/studyplan/en/bachelor/computer-science/coursebook/quantum-mechanics-i-PHYS-207", "Quantum mechanics I")</f>
        <v>0</v>
      </c>
      <c r="C43" t="s">
        <v>54</v>
      </c>
      <c r="D43" t="s">
        <v>56</v>
      </c>
      <c r="E43" t="s">
        <v>64</v>
      </c>
      <c r="F43" t="s">
        <v>56</v>
      </c>
      <c r="G43" t="s">
        <v>56</v>
      </c>
      <c r="H43" t="s">
        <v>74</v>
      </c>
      <c r="I43">
        <v>5</v>
      </c>
    </row>
    <row r="44" spans="1:9">
      <c r="A44" t="s">
        <v>51</v>
      </c>
      <c r="B44">
        <f>HYPERLINK("https://edu.epfl.ch/studyplan/en/bachelor/computer-science/coursebook/making-intelligent-things-CS-358", "Making intelligent things")</f>
        <v>0</v>
      </c>
      <c r="C44" t="s">
        <v>54</v>
      </c>
      <c r="D44" t="s">
        <v>56</v>
      </c>
      <c r="E44" t="s">
        <v>56</v>
      </c>
      <c r="F44" t="s">
        <v>56</v>
      </c>
      <c r="G44" t="s">
        <v>70</v>
      </c>
      <c r="H44" t="s">
        <v>76</v>
      </c>
      <c r="I44">
        <v>8</v>
      </c>
    </row>
    <row r="45" spans="1:9">
      <c r="A45" t="s">
        <v>52</v>
      </c>
      <c r="B45">
        <f>HYPERLINK("https://edu.epfl.ch/studyplan/en/bachelor/computer-science/coursebook/the-software-enterprise-from-ideas-to-products-CS-311", "The software enterprise - from ideas to products")</f>
        <v>0</v>
      </c>
      <c r="C45" t="s">
        <v>54</v>
      </c>
      <c r="D45" t="s">
        <v>56</v>
      </c>
      <c r="E45" t="s">
        <v>56</v>
      </c>
      <c r="F45" t="s">
        <v>56</v>
      </c>
      <c r="G45" t="s">
        <v>73</v>
      </c>
      <c r="H45" t="s">
        <v>76</v>
      </c>
      <c r="I45">
        <v>8</v>
      </c>
    </row>
    <row r="46" spans="1:9">
      <c r="A46" t="s">
        <v>53</v>
      </c>
      <c r="B46">
        <f>HYPERLINK("https://edu.epfl.ch/studyplan/en/bachelor/humanities-and-social-sciences-program", "HSS : Bachelor cycle BA3")</f>
        <v>0</v>
      </c>
      <c r="C46" t="s">
        <v>55</v>
      </c>
      <c r="D46" t="s">
        <v>56</v>
      </c>
      <c r="E46" t="s">
        <v>56</v>
      </c>
      <c r="F46" t="s">
        <v>56</v>
      </c>
      <c r="G46" t="s">
        <v>56</v>
      </c>
      <c r="I46">
        <v>2</v>
      </c>
    </row>
    <row r="47" spans="1:9">
      <c r="A47" t="s">
        <v>53</v>
      </c>
      <c r="B47">
        <f>HYPERLINK("https://edu.epfl.ch/studyplan/en/bachelor/humanities-and-social-sciences-program", "HSS : Bachelor cycle BA4")</f>
        <v>0</v>
      </c>
      <c r="C47" t="s">
        <v>55</v>
      </c>
      <c r="D47" t="s">
        <v>56</v>
      </c>
      <c r="E47" t="s">
        <v>56</v>
      </c>
      <c r="F47" t="s">
        <v>56</v>
      </c>
      <c r="G47" t="s">
        <v>56</v>
      </c>
      <c r="I47">
        <v>2</v>
      </c>
    </row>
    <row r="48" spans="1:9">
      <c r="A48" t="s">
        <v>53</v>
      </c>
      <c r="B48">
        <f>HYPERLINK("https://edu.epfl.ch/studyplan/en/bachelor/humanities-and-social-sciences-program", "HSS : Bachelor cycle BA5")</f>
        <v>0</v>
      </c>
      <c r="C48" t="s">
        <v>55</v>
      </c>
      <c r="D48" t="s">
        <v>56</v>
      </c>
      <c r="E48" t="s">
        <v>56</v>
      </c>
      <c r="F48" t="s">
        <v>56</v>
      </c>
      <c r="G48" t="s">
        <v>56</v>
      </c>
      <c r="I48">
        <v>2</v>
      </c>
    </row>
    <row r="49" spans="1:9">
      <c r="A49" t="s">
        <v>53</v>
      </c>
      <c r="B49">
        <f>HYPERLINK("https://edu.epfl.ch/studyplan/en/bachelor/humanities-and-social-sciences-program", "SHS : Bachelor cycle BA6")</f>
        <v>0</v>
      </c>
      <c r="C49" t="s">
        <v>55</v>
      </c>
      <c r="D49" t="s">
        <v>56</v>
      </c>
      <c r="E49" t="s">
        <v>56</v>
      </c>
      <c r="F49" t="s">
        <v>56</v>
      </c>
      <c r="G49" t="s">
        <v>56</v>
      </c>
      <c r="I4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53</v>
      </c>
      <c r="B2">
        <f>HYPERLINK("https://edu.epfl.ch/studyplan/en/master/humanities-and-social-sciences-program", "HSS : Introduction to project")</f>
        <v>0</v>
      </c>
      <c r="C2" t="s">
        <v>164</v>
      </c>
      <c r="D2" t="s">
        <v>56</v>
      </c>
      <c r="E2" t="s">
        <v>56</v>
      </c>
      <c r="F2" t="s">
        <v>56</v>
      </c>
      <c r="G2" t="s">
        <v>56</v>
      </c>
      <c r="H2" t="s">
        <v>186</v>
      </c>
      <c r="I2">
        <v>3</v>
      </c>
    </row>
    <row r="3" spans="1:9">
      <c r="A3" t="s">
        <v>53</v>
      </c>
      <c r="B3">
        <f>HYPERLINK("https://edu.epfl.ch/studyplan/en/master/humanities-and-social-sciences-program", "HSS : Project")</f>
        <v>0</v>
      </c>
      <c r="C3" t="s">
        <v>164</v>
      </c>
      <c r="D3" t="s">
        <v>56</v>
      </c>
      <c r="E3" t="s">
        <v>56</v>
      </c>
      <c r="F3" t="s">
        <v>56</v>
      </c>
      <c r="G3" t="s">
        <v>56</v>
      </c>
      <c r="H3" t="s">
        <v>187</v>
      </c>
      <c r="I3">
        <v>3</v>
      </c>
    </row>
    <row r="4" spans="1:9">
      <c r="A4" t="s">
        <v>79</v>
      </c>
      <c r="B4">
        <f>HYPERLINK("https://edu.epfl.ch/studyplan/en/master/communication-systems-master-program/coursebook/research-project-in-communication-systems-ii-COM-416", "Research project in communication systems II")</f>
        <v>0</v>
      </c>
      <c r="C4" t="s">
        <v>54</v>
      </c>
      <c r="D4" t="s">
        <v>165</v>
      </c>
      <c r="E4" t="s">
        <v>165</v>
      </c>
      <c r="F4" t="s">
        <v>56</v>
      </c>
      <c r="G4" t="s">
        <v>56</v>
      </c>
      <c r="H4" t="s">
        <v>78</v>
      </c>
      <c r="I4">
        <v>12</v>
      </c>
    </row>
    <row r="5" spans="1:9">
      <c r="A5" t="s">
        <v>80</v>
      </c>
      <c r="B5">
        <f>HYPERLINK("https://edu.epfl.ch/studyplan/en/master/communication-systems-master-program/coursebook/advanced-probability-and-applications-COM-417", "Advanced probability and applications")</f>
        <v>0</v>
      </c>
      <c r="C5" t="s">
        <v>54</v>
      </c>
      <c r="D5" t="s">
        <v>56</v>
      </c>
      <c r="E5" t="s">
        <v>60</v>
      </c>
      <c r="F5" t="s">
        <v>56</v>
      </c>
      <c r="G5" t="s">
        <v>56</v>
      </c>
      <c r="H5" t="s">
        <v>74</v>
      </c>
      <c r="I5">
        <v>8</v>
      </c>
    </row>
    <row r="6" spans="1:9">
      <c r="A6" t="s">
        <v>81</v>
      </c>
      <c r="B6">
        <f>HYPERLINK("https://edu.epfl.ch/studyplan/en/master/communication-systems-master-program/coursebook/algorithms-ii-CS-450", "Algorithms II")</f>
        <v>0</v>
      </c>
      <c r="C6" t="s">
        <v>54</v>
      </c>
      <c r="D6" t="s">
        <v>166</v>
      </c>
      <c r="E6" t="s">
        <v>56</v>
      </c>
      <c r="F6" t="s">
        <v>56</v>
      </c>
      <c r="G6" t="s">
        <v>56</v>
      </c>
      <c r="H6" t="s">
        <v>75</v>
      </c>
      <c r="I6">
        <v>8</v>
      </c>
    </row>
    <row r="7" spans="1:9">
      <c r="A7" t="s">
        <v>82</v>
      </c>
      <c r="B7">
        <f>HYPERLINK("https://edu.epfl.ch/studyplan/en/master/communication-systems-master-program/coursebook/cryptography-and-security-COM-401", "Cryptography and security")</f>
        <v>0</v>
      </c>
      <c r="C7" t="s">
        <v>54</v>
      </c>
      <c r="D7" t="s">
        <v>60</v>
      </c>
      <c r="E7" t="s">
        <v>56</v>
      </c>
      <c r="F7" t="s">
        <v>56</v>
      </c>
      <c r="G7" t="s">
        <v>56</v>
      </c>
      <c r="H7" t="s">
        <v>75</v>
      </c>
      <c r="I7">
        <v>8</v>
      </c>
    </row>
    <row r="8" spans="1:9">
      <c r="A8" t="s">
        <v>83</v>
      </c>
      <c r="B8">
        <f>HYPERLINK("https://edu.epfl.ch/studyplan/en/master/communication-systems-master-program/coursebook/distributed-algorithms-CS-451", "Distributed algorithms")</f>
        <v>0</v>
      </c>
      <c r="C8" t="s">
        <v>54</v>
      </c>
      <c r="D8" t="s">
        <v>167</v>
      </c>
      <c r="E8" t="s">
        <v>56</v>
      </c>
      <c r="F8" t="s">
        <v>56</v>
      </c>
      <c r="G8" t="s">
        <v>56</v>
      </c>
      <c r="H8" t="s">
        <v>75</v>
      </c>
      <c r="I8">
        <v>8</v>
      </c>
    </row>
    <row r="9" spans="1:9">
      <c r="A9" t="s">
        <v>84</v>
      </c>
      <c r="B9">
        <f>HYPERLINK("https://edu.epfl.ch/studyplan/en/master/communication-systems-master-program/coursebook/information-security-and-privacy-COM-402", "Information security and privacy")</f>
        <v>0</v>
      </c>
      <c r="C9" t="s">
        <v>54</v>
      </c>
      <c r="D9" t="s">
        <v>168</v>
      </c>
      <c r="E9" t="s">
        <v>56</v>
      </c>
      <c r="F9" t="s">
        <v>56</v>
      </c>
      <c r="G9" t="s">
        <v>56</v>
      </c>
      <c r="H9" t="s">
        <v>75</v>
      </c>
      <c r="I9">
        <v>8</v>
      </c>
    </row>
    <row r="10" spans="1:9">
      <c r="A10" t="s">
        <v>85</v>
      </c>
      <c r="B10">
        <f>HYPERLINK("https://edu.epfl.ch/studyplan/en/master/communication-systems-master-program/coursebook/information-theory-and-coding-COM-404", "Information theory and coding")</f>
        <v>0</v>
      </c>
      <c r="C10" t="s">
        <v>54</v>
      </c>
      <c r="D10" t="s">
        <v>60</v>
      </c>
      <c r="E10" t="s">
        <v>56</v>
      </c>
      <c r="F10" t="s">
        <v>56</v>
      </c>
      <c r="G10" t="s">
        <v>56</v>
      </c>
      <c r="H10" t="s">
        <v>75</v>
      </c>
      <c r="I10">
        <v>8</v>
      </c>
    </row>
    <row r="11" spans="1:9">
      <c r="A11" t="s">
        <v>86</v>
      </c>
      <c r="B11">
        <f>HYPERLINK("https://edu.epfl.ch/studyplan/en/master/communication-systems-master-program/coursebook/machine-learning-CS-433", "Machine learning")</f>
        <v>0</v>
      </c>
      <c r="C11" t="s">
        <v>54</v>
      </c>
      <c r="D11" t="s">
        <v>60</v>
      </c>
      <c r="E11" t="s">
        <v>56</v>
      </c>
      <c r="F11" t="s">
        <v>56</v>
      </c>
      <c r="G11" t="s">
        <v>56</v>
      </c>
      <c r="H11" t="s">
        <v>75</v>
      </c>
      <c r="I11">
        <v>8</v>
      </c>
    </row>
    <row r="12" spans="1:9">
      <c r="A12" t="s">
        <v>87</v>
      </c>
      <c r="B12">
        <f>HYPERLINK("https://edu.epfl.ch/studyplan/en/master/communication-systems-master-program/coursebook/mobile-networks-COM-405", "Mobile networks")</f>
        <v>0</v>
      </c>
      <c r="C12" t="s">
        <v>54</v>
      </c>
      <c r="D12" t="s">
        <v>56</v>
      </c>
      <c r="E12" t="s">
        <v>64</v>
      </c>
      <c r="F12" t="s">
        <v>56</v>
      </c>
      <c r="G12" t="s">
        <v>56</v>
      </c>
      <c r="H12" t="s">
        <v>74</v>
      </c>
      <c r="I12">
        <v>8</v>
      </c>
    </row>
    <row r="13" spans="1:9">
      <c r="A13" t="s">
        <v>88</v>
      </c>
      <c r="B13">
        <f>HYPERLINK("https://edu.epfl.ch/studyplan/en/master/communication-systems-master-program/coursebook/modern-digital-communications-a-hands-on-approach-COM-430", "Modern digital communications: a hands-on approach")</f>
        <v>0</v>
      </c>
      <c r="C13" t="s">
        <v>54</v>
      </c>
      <c r="D13" t="s">
        <v>66</v>
      </c>
      <c r="E13" t="s">
        <v>56</v>
      </c>
      <c r="F13" t="s">
        <v>56</v>
      </c>
      <c r="G13" t="s">
        <v>56</v>
      </c>
      <c r="H13" t="s">
        <v>77</v>
      </c>
      <c r="I13">
        <v>8</v>
      </c>
    </row>
    <row r="14" spans="1:9">
      <c r="A14" t="s">
        <v>89</v>
      </c>
      <c r="B14">
        <f>HYPERLINK("https://edu.epfl.ch/studyplan/en/master/communication-systems-master-program/coursebook/statistical-signal-and-data-processing-through-applications-COM-500", "Statistical signal and data processing through applications")</f>
        <v>0</v>
      </c>
      <c r="C14" t="s">
        <v>54</v>
      </c>
      <c r="D14" t="s">
        <v>56</v>
      </c>
      <c r="E14" t="s">
        <v>64</v>
      </c>
      <c r="F14" t="s">
        <v>56</v>
      </c>
      <c r="G14" t="s">
        <v>56</v>
      </c>
      <c r="H14" t="s">
        <v>74</v>
      </c>
      <c r="I14">
        <v>8</v>
      </c>
    </row>
    <row r="15" spans="1:9">
      <c r="A15" t="s">
        <v>90</v>
      </c>
      <c r="B15">
        <f>HYPERLINK("https://edu.epfl.ch/studyplan/en/master/communication-systems-master-program/coursebook/tcp-ip-networking-COM-407", "TCP/IP networking")</f>
        <v>0</v>
      </c>
      <c r="C15" t="s">
        <v>54</v>
      </c>
      <c r="D15" t="s">
        <v>67</v>
      </c>
      <c r="E15" t="s">
        <v>56</v>
      </c>
      <c r="F15" t="s">
        <v>56</v>
      </c>
      <c r="G15" t="s">
        <v>56</v>
      </c>
      <c r="H15" t="s">
        <v>75</v>
      </c>
      <c r="I15">
        <v>8</v>
      </c>
    </row>
    <row r="16" spans="1:9">
      <c r="A16" t="s">
        <v>91</v>
      </c>
      <c r="B16">
        <f>HYPERLINK("https://edu.epfl.ch/studyplan/en/master/communication-systems-master-program/coursebook/advanced-compiler-construction-CS-420", "Advanced compiler construction")</f>
        <v>0</v>
      </c>
      <c r="C16" t="s">
        <v>54</v>
      </c>
      <c r="D16" t="s">
        <v>56</v>
      </c>
      <c r="E16" t="s">
        <v>66</v>
      </c>
      <c r="F16" t="s">
        <v>56</v>
      </c>
      <c r="G16" t="s">
        <v>56</v>
      </c>
      <c r="H16" t="s">
        <v>76</v>
      </c>
      <c r="I16">
        <v>6</v>
      </c>
    </row>
    <row r="17" spans="1:9">
      <c r="A17" t="s">
        <v>92</v>
      </c>
      <c r="B17">
        <f>HYPERLINK("https://edu.epfl.ch/studyplan/en/master/communication-systems-master-program/coursebook/advanced-computer-architecture-CS-470", "Advanced computer architecture")</f>
        <v>0</v>
      </c>
      <c r="C17" t="s">
        <v>54</v>
      </c>
      <c r="D17" t="s">
        <v>56</v>
      </c>
      <c r="E17" t="s">
        <v>172</v>
      </c>
      <c r="F17" t="s">
        <v>56</v>
      </c>
      <c r="G17" t="s">
        <v>56</v>
      </c>
      <c r="H17" t="s">
        <v>74</v>
      </c>
      <c r="I17">
        <v>8</v>
      </c>
    </row>
    <row r="18" spans="1:9">
      <c r="A18" t="s">
        <v>93</v>
      </c>
      <c r="B18">
        <f>HYPERLINK("https://edu.epfl.ch/studyplan/en/master/communication-systems-master-program/coursebook/advanced-computer-graphics-CS-440", "Advanced computer graphics")</f>
        <v>0</v>
      </c>
      <c r="C18" t="s">
        <v>54</v>
      </c>
      <c r="D18" t="s">
        <v>56</v>
      </c>
      <c r="E18" t="s">
        <v>57</v>
      </c>
      <c r="F18" t="s">
        <v>56</v>
      </c>
      <c r="G18" t="s">
        <v>56</v>
      </c>
      <c r="H18" t="s">
        <v>76</v>
      </c>
      <c r="I18">
        <v>6</v>
      </c>
    </row>
    <row r="19" spans="1:9">
      <c r="A19" t="s">
        <v>94</v>
      </c>
      <c r="B19">
        <f>HYPERLINK("https://edu.epfl.ch/studyplan/en/master/communication-systems-master-program/coursebook/advanced-cryptography-COM-501", "Advanced cryptography")</f>
        <v>0</v>
      </c>
      <c r="C19" t="s">
        <v>54</v>
      </c>
      <c r="D19" t="s">
        <v>56</v>
      </c>
      <c r="E19" t="s">
        <v>57</v>
      </c>
      <c r="F19" t="s">
        <v>56</v>
      </c>
      <c r="G19" t="s">
        <v>56</v>
      </c>
      <c r="H19" t="s">
        <v>74</v>
      </c>
      <c r="I19">
        <v>6</v>
      </c>
    </row>
    <row r="20" spans="1:9">
      <c r="A20" t="s">
        <v>95</v>
      </c>
      <c r="B20">
        <f>HYPERLINK("https://edu.epfl.ch/studyplan/en/master/communication-systems-master-program/coursebook/advanced-multiprocessor-architecture-CS-471", "Advanced multiprocessor architecture")</f>
        <v>0</v>
      </c>
      <c r="C20" t="s">
        <v>54</v>
      </c>
      <c r="D20" t="s">
        <v>169</v>
      </c>
      <c r="E20" t="s">
        <v>56</v>
      </c>
      <c r="F20" t="s">
        <v>56</v>
      </c>
      <c r="G20" t="s">
        <v>56</v>
      </c>
      <c r="H20" t="s">
        <v>77</v>
      </c>
      <c r="I20">
        <v>6</v>
      </c>
    </row>
    <row r="21" spans="1:9">
      <c r="A21" t="s">
        <v>96</v>
      </c>
      <c r="B21">
        <f>HYPERLINK("https://edu.epfl.ch/studyplan/en/master/communication-systems-master-program/coursebook/advanced-topics-on-privacy-enhancing-technologies-CS-523", "Advanced topics on privacy enhancing technologies")</f>
        <v>0</v>
      </c>
      <c r="C21" t="s">
        <v>54</v>
      </c>
      <c r="D21" t="s">
        <v>56</v>
      </c>
      <c r="E21" t="s">
        <v>168</v>
      </c>
      <c r="F21" t="s">
        <v>56</v>
      </c>
      <c r="G21" t="s">
        <v>56</v>
      </c>
      <c r="H21" t="s">
        <v>74</v>
      </c>
      <c r="I21">
        <v>8</v>
      </c>
    </row>
    <row r="22" spans="1:9">
      <c r="A22" t="s">
        <v>97</v>
      </c>
      <c r="B22">
        <f>HYPERLINK("https://edu.epfl.ch/studyplan/en/master/communication-systems-master-program/coursebook/ai-product-management-CS-500", "AI product management")</f>
        <v>0</v>
      </c>
      <c r="C22" t="s">
        <v>54</v>
      </c>
      <c r="D22" t="s">
        <v>170</v>
      </c>
      <c r="E22" t="s">
        <v>56</v>
      </c>
      <c r="F22" t="s">
        <v>56</v>
      </c>
      <c r="G22" t="s">
        <v>56</v>
      </c>
      <c r="H22" t="s">
        <v>77</v>
      </c>
      <c r="I22">
        <v>6</v>
      </c>
    </row>
    <row r="23" spans="1:9">
      <c r="A23" t="s">
        <v>98</v>
      </c>
      <c r="B23">
        <f>HYPERLINK("https://edu.epfl.ch/studyplan/en/master/communication-systems-master-program/coursebook/applied-biomedical-signal-processing-EE-512", "Applied biomedical signal processing")</f>
        <v>0</v>
      </c>
      <c r="C23" t="s">
        <v>54</v>
      </c>
      <c r="D23" t="s">
        <v>66</v>
      </c>
      <c r="E23" t="s">
        <v>56</v>
      </c>
      <c r="F23" t="s">
        <v>56</v>
      </c>
      <c r="G23" t="s">
        <v>56</v>
      </c>
      <c r="H23" t="s">
        <v>75</v>
      </c>
      <c r="I23">
        <v>4</v>
      </c>
    </row>
    <row r="24" spans="1:9">
      <c r="A24" t="s">
        <v>99</v>
      </c>
      <c r="B24">
        <f>HYPERLINK("https://edu.epfl.ch/studyplan/en/master/communication-systems-master-program/coursebook/applied-biostatistics-MATH-493", "Applied biostatistics")</f>
        <v>0</v>
      </c>
      <c r="C24" t="s">
        <v>54</v>
      </c>
      <c r="D24" t="s">
        <v>56</v>
      </c>
      <c r="E24" t="s">
        <v>57</v>
      </c>
      <c r="F24" t="s">
        <v>56</v>
      </c>
      <c r="G24" t="s">
        <v>56</v>
      </c>
      <c r="H24" t="s">
        <v>76</v>
      </c>
      <c r="I24">
        <v>5</v>
      </c>
    </row>
    <row r="25" spans="1:9">
      <c r="A25" t="s">
        <v>100</v>
      </c>
      <c r="B25">
        <f>HYPERLINK("https://edu.epfl.ch/studyplan/en/master/communication-systems-master-program/coursebook/applied-data-analysis-CS-401", "Applied data analysis")</f>
        <v>0</v>
      </c>
      <c r="C25" t="s">
        <v>54</v>
      </c>
      <c r="D25" t="s">
        <v>66</v>
      </c>
      <c r="E25" t="s">
        <v>56</v>
      </c>
      <c r="F25" t="s">
        <v>56</v>
      </c>
      <c r="G25" t="s">
        <v>56</v>
      </c>
      <c r="H25" t="s">
        <v>75</v>
      </c>
      <c r="I25">
        <v>8</v>
      </c>
    </row>
    <row r="26" spans="1:9">
      <c r="A26" t="s">
        <v>101</v>
      </c>
      <c r="B26">
        <f>HYPERLINK("https://edu.epfl.ch/studyplan/en/master/communication-systems-master-program/coursebook/artificial-neural-networks-reinforcement-learning-CS-456", "Artificial neural networks/reinforcement learning")</f>
        <v>0</v>
      </c>
      <c r="C26" t="s">
        <v>54</v>
      </c>
      <c r="D26" t="s">
        <v>56</v>
      </c>
      <c r="E26" t="s">
        <v>57</v>
      </c>
      <c r="F26" t="s">
        <v>56</v>
      </c>
      <c r="G26" t="s">
        <v>56</v>
      </c>
      <c r="H26" t="s">
        <v>74</v>
      </c>
      <c r="I26">
        <v>6</v>
      </c>
    </row>
    <row r="27" spans="1:9">
      <c r="A27" t="s">
        <v>102</v>
      </c>
      <c r="B27">
        <f>HYPERLINK("https://edu.epfl.ch/studyplan/en/master/communication-systems-master-program/coursebook/automatic-speech-processing-EE-554", "Automatic speech processing")</f>
        <v>0</v>
      </c>
      <c r="C27" t="s">
        <v>54</v>
      </c>
      <c r="D27" t="s">
        <v>61</v>
      </c>
      <c r="E27" t="s">
        <v>56</v>
      </c>
      <c r="F27" t="s">
        <v>56</v>
      </c>
      <c r="G27" t="s">
        <v>56</v>
      </c>
      <c r="H27" t="s">
        <v>75</v>
      </c>
      <c r="I27">
        <v>3</v>
      </c>
    </row>
    <row r="28" spans="1:9">
      <c r="A28" t="s">
        <v>103</v>
      </c>
      <c r="B28">
        <f>HYPERLINK("https://edu.epfl.ch/studyplan/en/master/communication-systems-master-program/coursebook/basics-of-mobile-robotics-MICRO-452", "Basics of mobile robotics")</f>
        <v>0</v>
      </c>
      <c r="C28" t="s">
        <v>54</v>
      </c>
      <c r="D28" t="s">
        <v>57</v>
      </c>
      <c r="E28" t="s">
        <v>56</v>
      </c>
      <c r="F28" t="s">
        <v>56</v>
      </c>
      <c r="G28" t="s">
        <v>56</v>
      </c>
      <c r="H28" t="s">
        <v>75</v>
      </c>
      <c r="I28">
        <v>4</v>
      </c>
    </row>
    <row r="29" spans="1:9">
      <c r="A29" t="s">
        <v>104</v>
      </c>
      <c r="B29">
        <f>HYPERLINK("https://edu.epfl.ch/studyplan/en/master/communication-systems-master-program/coursebook/bioimage-informatics-BIO-410", "Bioimage informatics")</f>
        <v>0</v>
      </c>
      <c r="C29" t="s">
        <v>54</v>
      </c>
      <c r="D29" t="s">
        <v>56</v>
      </c>
      <c r="E29" t="s">
        <v>66</v>
      </c>
      <c r="F29" t="s">
        <v>56</v>
      </c>
      <c r="G29" t="s">
        <v>56</v>
      </c>
      <c r="H29" t="s">
        <v>74</v>
      </c>
      <c r="I29">
        <v>4</v>
      </c>
    </row>
    <row r="30" spans="1:9">
      <c r="A30" t="s">
        <v>105</v>
      </c>
      <c r="B30">
        <f>HYPERLINK("https://edu.epfl.ch/studyplan/en/master/communication-systems-master-program/coursebook/causal-inference-MGT-416", "Causal inference")</f>
        <v>0</v>
      </c>
      <c r="C30" t="s">
        <v>54</v>
      </c>
      <c r="D30" t="s">
        <v>56</v>
      </c>
      <c r="E30" t="s">
        <v>61</v>
      </c>
      <c r="F30" t="s">
        <v>56</v>
      </c>
      <c r="G30" t="s">
        <v>56</v>
      </c>
      <c r="H30" t="s">
        <v>76</v>
      </c>
      <c r="I30">
        <v>4</v>
      </c>
    </row>
    <row r="31" spans="1:9">
      <c r="A31" t="s">
        <v>106</v>
      </c>
      <c r="B31">
        <f>HYPERLINK("https://edu.epfl.ch/studyplan/en/master/communication-systems-master-program/coursebook/causal-thinking-MATH-352", "Causal thinking")</f>
        <v>0</v>
      </c>
      <c r="C31" t="s">
        <v>54</v>
      </c>
      <c r="D31" t="s">
        <v>57</v>
      </c>
      <c r="E31" t="s">
        <v>56</v>
      </c>
      <c r="F31" t="s">
        <v>56</v>
      </c>
      <c r="G31" t="s">
        <v>56</v>
      </c>
      <c r="H31" t="s">
        <v>75</v>
      </c>
      <c r="I31">
        <v>5</v>
      </c>
    </row>
    <row r="32" spans="1:9">
      <c r="A32" t="s">
        <v>107</v>
      </c>
      <c r="B32">
        <f>HYPERLINK("https://edu.epfl.ch/studyplan/en/master/communication-systems-master-program/coursebook/cellular-biology-and-biochemistry-for-engineers-BIO-105", "Cellular biology and biochemistry for engineers")</f>
        <v>0</v>
      </c>
      <c r="C32" t="s">
        <v>54</v>
      </c>
      <c r="D32" t="s">
        <v>57</v>
      </c>
      <c r="E32" t="s">
        <v>56</v>
      </c>
      <c r="F32" t="s">
        <v>56</v>
      </c>
      <c r="G32" t="s">
        <v>56</v>
      </c>
      <c r="H32" t="s">
        <v>75</v>
      </c>
      <c r="I32">
        <v>4</v>
      </c>
    </row>
    <row r="33" spans="1:9">
      <c r="A33" t="s">
        <v>108</v>
      </c>
      <c r="B33">
        <f>HYPERLINK("https://edu.epfl.ch/studyplan/en/master/communication-systems-master-program/coursebook/computational-complexity-CS-524", "Computational complexity")</f>
        <v>0</v>
      </c>
      <c r="C33" t="s">
        <v>54</v>
      </c>
      <c r="D33" t="s">
        <v>57</v>
      </c>
      <c r="E33" t="s">
        <v>56</v>
      </c>
      <c r="F33" t="s">
        <v>56</v>
      </c>
      <c r="G33" t="s">
        <v>56</v>
      </c>
      <c r="H33" t="s">
        <v>77</v>
      </c>
      <c r="I33">
        <v>6</v>
      </c>
    </row>
    <row r="34" spans="1:9">
      <c r="A34" t="s">
        <v>109</v>
      </c>
      <c r="B34">
        <f>HYPERLINK("https://edu.epfl.ch/studyplan/en/master/communication-systems-master-program/coursebook/computational-neurosciences-neuronal-dynamics-NX-465", "Computational neurosciences: neuronal dynamics")</f>
        <v>0</v>
      </c>
      <c r="C34" t="s">
        <v>54</v>
      </c>
      <c r="D34" t="s">
        <v>56</v>
      </c>
      <c r="E34" t="s">
        <v>57</v>
      </c>
      <c r="F34" t="s">
        <v>56</v>
      </c>
      <c r="G34" t="s">
        <v>56</v>
      </c>
      <c r="H34" t="s">
        <v>74</v>
      </c>
      <c r="I34">
        <v>5</v>
      </c>
    </row>
    <row r="35" spans="1:9">
      <c r="A35" t="s">
        <v>110</v>
      </c>
      <c r="B35">
        <f>HYPERLINK("https://edu.epfl.ch/studyplan/en/master/communication-systems-master-program/coursebook/computational-photography-CS-413", "Computational photography")</f>
        <v>0</v>
      </c>
      <c r="C35" t="s">
        <v>54</v>
      </c>
      <c r="D35" t="s">
        <v>56</v>
      </c>
      <c r="E35" t="s">
        <v>66</v>
      </c>
      <c r="F35" t="s">
        <v>56</v>
      </c>
      <c r="G35" t="s">
        <v>56</v>
      </c>
      <c r="H35" t="s">
        <v>76</v>
      </c>
      <c r="I35">
        <v>6</v>
      </c>
    </row>
    <row r="36" spans="1:9">
      <c r="A36" t="s">
        <v>111</v>
      </c>
      <c r="B36">
        <f>HYPERLINK("https://edu.epfl.ch/studyplan/en/master/communication-systems-master-program/coursebook/computers-and-music-COM-418", "Computers and music")</f>
        <v>0</v>
      </c>
      <c r="C36" t="s">
        <v>54</v>
      </c>
      <c r="D36" t="s">
        <v>56</v>
      </c>
      <c r="E36" t="s">
        <v>61</v>
      </c>
      <c r="F36" t="s">
        <v>56</v>
      </c>
      <c r="G36" t="s">
        <v>56</v>
      </c>
      <c r="H36" t="s">
        <v>76</v>
      </c>
      <c r="I36">
        <v>6</v>
      </c>
    </row>
    <row r="37" spans="1:9">
      <c r="A37" t="s">
        <v>112</v>
      </c>
      <c r="B37">
        <f>HYPERLINK("https://edu.epfl.ch/studyplan/en/master/communication-systems-master-program/coursebook/computer-vision-CS-442", "Computer vision")</f>
        <v>0</v>
      </c>
      <c r="C37" t="s">
        <v>54</v>
      </c>
      <c r="D37" t="s">
        <v>56</v>
      </c>
      <c r="E37" t="s">
        <v>61</v>
      </c>
      <c r="F37" t="s">
        <v>56</v>
      </c>
      <c r="G37" t="s">
        <v>56</v>
      </c>
      <c r="H37" t="s">
        <v>74</v>
      </c>
      <c r="I37">
        <v>6</v>
      </c>
    </row>
    <row r="38" spans="1:9">
      <c r="A38" t="s">
        <v>113</v>
      </c>
      <c r="B38">
        <f>HYPERLINK("https://edu.epfl.ch/studyplan/en/master/communication-systems-master-program/coursebook/concurrent-computing-CS-453", "Concurrent computing")</f>
        <v>0</v>
      </c>
      <c r="C38" t="s">
        <v>54</v>
      </c>
      <c r="D38" t="s">
        <v>63</v>
      </c>
      <c r="E38" t="s">
        <v>56</v>
      </c>
      <c r="F38" t="s">
        <v>56</v>
      </c>
      <c r="G38" t="s">
        <v>56</v>
      </c>
      <c r="H38" t="s">
        <v>75</v>
      </c>
      <c r="I38">
        <v>6</v>
      </c>
    </row>
    <row r="39" spans="1:9">
      <c r="A39" t="s">
        <v>114</v>
      </c>
      <c r="B39">
        <f>HYPERLINK("https://edu.epfl.ch/studyplan/en/master/communication-systems-master-program/coursebook/data-visualization-COM-480", "Data visualization")</f>
        <v>0</v>
      </c>
      <c r="C39" t="s">
        <v>54</v>
      </c>
      <c r="D39" t="s">
        <v>56</v>
      </c>
      <c r="E39" t="s">
        <v>66</v>
      </c>
      <c r="F39" t="s">
        <v>56</v>
      </c>
      <c r="G39" t="s">
        <v>56</v>
      </c>
      <c r="H39" t="s">
        <v>76</v>
      </c>
      <c r="I39">
        <v>6</v>
      </c>
    </row>
    <row r="40" spans="1:9">
      <c r="A40" t="s">
        <v>115</v>
      </c>
      <c r="B40">
        <f>HYPERLINK("https://edu.epfl.ch/studyplan/en/master/communication-systems-master-program/coursebook/decentralized-systems-engineering-CS-438", "Decentralized systems engineering")</f>
        <v>0</v>
      </c>
      <c r="C40" t="s">
        <v>54</v>
      </c>
      <c r="D40" t="s">
        <v>67</v>
      </c>
      <c r="E40" t="s">
        <v>56</v>
      </c>
      <c r="F40" t="s">
        <v>56</v>
      </c>
      <c r="G40" t="s">
        <v>56</v>
      </c>
      <c r="H40" t="s">
        <v>188</v>
      </c>
      <c r="I40">
        <v>8</v>
      </c>
    </row>
    <row r="41" spans="1:9">
      <c r="A41" t="s">
        <v>116</v>
      </c>
      <c r="B41">
        <f>HYPERLINK("https://edu.epfl.ch/studyplan/en/master/communication-systems-master-program/coursebook/deep-learning-EE-559", "Deep learning")</f>
        <v>0</v>
      </c>
      <c r="C41" t="s">
        <v>54</v>
      </c>
      <c r="D41" t="s">
        <v>56</v>
      </c>
      <c r="E41" t="s">
        <v>57</v>
      </c>
      <c r="F41" t="s">
        <v>56</v>
      </c>
      <c r="G41" t="s">
        <v>56</v>
      </c>
      <c r="H41" t="s">
        <v>76</v>
      </c>
      <c r="I41">
        <v>4</v>
      </c>
    </row>
    <row r="42" spans="1:9">
      <c r="A42" t="s">
        <v>117</v>
      </c>
      <c r="B42">
        <f>HYPERLINK("https://edu.epfl.ch/studyplan/en/master/communication-systems-master-program/coursebook/deep-learning-in-biomedicine-CS-502", "Deep learning in biomedicine")</f>
        <v>0</v>
      </c>
      <c r="C42" t="s">
        <v>54</v>
      </c>
      <c r="D42" t="s">
        <v>171</v>
      </c>
      <c r="E42" t="s">
        <v>56</v>
      </c>
      <c r="F42" t="s">
        <v>56</v>
      </c>
      <c r="G42" t="s">
        <v>56</v>
      </c>
      <c r="H42" t="s">
        <v>77</v>
      </c>
      <c r="I42">
        <v>6</v>
      </c>
    </row>
    <row r="43" spans="1:9">
      <c r="A43" t="s">
        <v>118</v>
      </c>
      <c r="B43">
        <f>HYPERLINK("https://edu.epfl.ch/studyplan/en/master/communication-systems-master-program/coursebook/design-technologies-for-integrated-systems-CS-472", "Design technologies for integrated systems")</f>
        <v>0</v>
      </c>
      <c r="C43" t="s">
        <v>54</v>
      </c>
      <c r="D43" t="s">
        <v>172</v>
      </c>
      <c r="E43" t="s">
        <v>56</v>
      </c>
      <c r="F43" t="s">
        <v>56</v>
      </c>
      <c r="G43" t="s">
        <v>56</v>
      </c>
      <c r="H43" t="s">
        <v>77</v>
      </c>
      <c r="I43">
        <v>6</v>
      </c>
    </row>
    <row r="44" spans="1:9">
      <c r="A44" t="s">
        <v>119</v>
      </c>
      <c r="B44">
        <f>HYPERLINK("https://edu.epfl.ch/studyplan/en/master/communication-systems-master-program/coursebook/digital-education-CS-411", "Digital education ")</f>
        <v>0</v>
      </c>
      <c r="C44" t="s">
        <v>54</v>
      </c>
      <c r="D44" t="s">
        <v>66</v>
      </c>
      <c r="E44" t="s">
        <v>56</v>
      </c>
      <c r="F44" t="s">
        <v>56</v>
      </c>
      <c r="G44" t="s">
        <v>56</v>
      </c>
      <c r="H44" t="s">
        <v>75</v>
      </c>
      <c r="I44">
        <v>6</v>
      </c>
    </row>
    <row r="45" spans="1:9">
      <c r="A45" t="s">
        <v>120</v>
      </c>
      <c r="B45">
        <f>HYPERLINK("https://edu.epfl.ch/studyplan/en/master/communication-systems-master-program/coursebook/distributed-information-systems-CS-423", "Distributed information systems")</f>
        <v>0</v>
      </c>
      <c r="C45" t="s">
        <v>54</v>
      </c>
      <c r="D45" t="s">
        <v>61</v>
      </c>
      <c r="E45" t="s">
        <v>56</v>
      </c>
      <c r="F45" t="s">
        <v>56</v>
      </c>
      <c r="G45" t="s">
        <v>56</v>
      </c>
      <c r="H45" t="s">
        <v>75</v>
      </c>
      <c r="I45">
        <v>6</v>
      </c>
    </row>
    <row r="46" spans="1:9">
      <c r="A46" t="s">
        <v>121</v>
      </c>
      <c r="B46">
        <f>HYPERLINK("https://edu.epfl.ch/studyplan/en/master/communication-systems-master-program/coursebook/distributed-intelligent-systems-ENG-466", "Distributed intelligent systems")</f>
        <v>0</v>
      </c>
      <c r="C46" t="s">
        <v>54</v>
      </c>
      <c r="D46" t="s">
        <v>56</v>
      </c>
      <c r="E46" t="s">
        <v>180</v>
      </c>
      <c r="F46" t="s">
        <v>56</v>
      </c>
      <c r="G46" t="s">
        <v>56</v>
      </c>
      <c r="H46" t="s">
        <v>189</v>
      </c>
      <c r="I46">
        <v>5</v>
      </c>
    </row>
    <row r="47" spans="1:9">
      <c r="A47" t="s">
        <v>122</v>
      </c>
      <c r="B47">
        <f>HYPERLINK("https://edu.epfl.ch/studyplan/en/master/communication-systems-master-program/coursebook/dynamical-system-theory-for-engineers-COM-502", "Dynamical system theory for engineers")</f>
        <v>0</v>
      </c>
      <c r="C47" t="s">
        <v>54</v>
      </c>
      <c r="D47" t="s">
        <v>56</v>
      </c>
      <c r="E47" t="s">
        <v>61</v>
      </c>
      <c r="F47" t="s">
        <v>56</v>
      </c>
      <c r="G47" t="s">
        <v>56</v>
      </c>
      <c r="H47" t="s">
        <v>74</v>
      </c>
      <c r="I47">
        <v>6</v>
      </c>
    </row>
    <row r="48" spans="1:9">
      <c r="A48" t="s">
        <v>123</v>
      </c>
      <c r="B48">
        <f>HYPERLINK("https://edu.epfl.ch/studyplan/en/master/communication-systems-master-program/coursebook/embedded-system-design-CS-476", "Embedded system design")</f>
        <v>0</v>
      </c>
      <c r="C48" t="s">
        <v>54</v>
      </c>
      <c r="D48" t="s">
        <v>56</v>
      </c>
      <c r="E48" t="s">
        <v>66</v>
      </c>
      <c r="F48" t="s">
        <v>56</v>
      </c>
      <c r="G48" t="s">
        <v>56</v>
      </c>
      <c r="H48" t="s">
        <v>76</v>
      </c>
      <c r="I48">
        <v>6</v>
      </c>
    </row>
    <row r="49" spans="1:9">
      <c r="A49" t="s">
        <v>124</v>
      </c>
      <c r="B49">
        <f>HYPERLINK("https://edu.epfl.ch/studyplan/en/master/communication-systems-master-program/coursebook/ethics-and-law-of-ai-DH-415", "Ethics and law of AI")</f>
        <v>0</v>
      </c>
      <c r="C49" t="s">
        <v>54</v>
      </c>
      <c r="D49" t="s">
        <v>68</v>
      </c>
      <c r="E49" t="s">
        <v>56</v>
      </c>
      <c r="F49" t="s">
        <v>56</v>
      </c>
      <c r="G49" t="s">
        <v>56</v>
      </c>
      <c r="H49" t="s">
        <v>75</v>
      </c>
      <c r="I49">
        <v>4</v>
      </c>
    </row>
    <row r="50" spans="1:9">
      <c r="A50" t="s">
        <v>125</v>
      </c>
      <c r="B50">
        <f>HYPERLINK("https://edu.epfl.ch/studyplan/en/master/communication-systems-master-program/coursebook/experience-design-CS-489", "Experience design")</f>
        <v>0</v>
      </c>
      <c r="C50" t="s">
        <v>54</v>
      </c>
      <c r="D50" t="s">
        <v>173</v>
      </c>
      <c r="E50" t="s">
        <v>56</v>
      </c>
      <c r="F50" t="s">
        <v>56</v>
      </c>
      <c r="G50" t="s">
        <v>56</v>
      </c>
      <c r="H50" t="s">
        <v>77</v>
      </c>
      <c r="I50">
        <v>6</v>
      </c>
    </row>
    <row r="51" spans="1:9">
      <c r="A51" t="s">
        <v>126</v>
      </c>
      <c r="B51">
        <f>HYPERLINK("https://edu.epfl.ch/studyplan/en/master/communication-systems-master-program/coursebook/formal-verification-CS-550", "Formal verification")</f>
        <v>0</v>
      </c>
      <c r="C51" t="s">
        <v>54</v>
      </c>
      <c r="D51" t="s">
        <v>67</v>
      </c>
      <c r="E51" t="s">
        <v>56</v>
      </c>
      <c r="F51" t="s">
        <v>56</v>
      </c>
      <c r="G51" t="s">
        <v>56</v>
      </c>
      <c r="H51" t="s">
        <v>77</v>
      </c>
      <c r="I51">
        <v>6</v>
      </c>
    </row>
    <row r="52" spans="1:9">
      <c r="A52" t="s">
        <v>127</v>
      </c>
      <c r="B52">
        <f>HYPERLINK("https://edu.epfl.ch/studyplan/en/master/communication-systems-master-program/coursebook/foundations-of-probabilistic-proofs-CS-459", "Foundations of probabilistic proofs")</f>
        <v>0</v>
      </c>
      <c r="C52" t="s">
        <v>54</v>
      </c>
      <c r="D52" t="s">
        <v>174</v>
      </c>
      <c r="E52" t="s">
        <v>56</v>
      </c>
      <c r="F52" t="s">
        <v>56</v>
      </c>
      <c r="G52" t="s">
        <v>56</v>
      </c>
      <c r="H52" t="s">
        <v>77</v>
      </c>
      <c r="I52">
        <v>6</v>
      </c>
    </row>
    <row r="53" spans="1:9">
      <c r="A53" t="s">
        <v>128</v>
      </c>
      <c r="B53">
        <f>HYPERLINK("https://edu.epfl.ch/studyplan/en/master/communication-systems-master-program/coursebook/geometric-computing-CS-457", "Geometric computing")</f>
        <v>0</v>
      </c>
      <c r="C53" t="s">
        <v>54</v>
      </c>
      <c r="D53" t="s">
        <v>172</v>
      </c>
      <c r="E53" t="s">
        <v>56</v>
      </c>
      <c r="F53" t="s">
        <v>56</v>
      </c>
      <c r="G53" t="s">
        <v>56</v>
      </c>
      <c r="H53" t="s">
        <v>75</v>
      </c>
      <c r="I53">
        <v>6</v>
      </c>
    </row>
    <row r="54" spans="1:9">
      <c r="A54" t="s">
        <v>129</v>
      </c>
      <c r="B54">
        <f>HYPERLINK("https://edu.epfl.ch/studyplan/en/master/communication-systems-master-program/coursebook/godel-and-recursivity-MATH-483", "Gödel and recursivity")</f>
        <v>0</v>
      </c>
      <c r="C54" t="s">
        <v>54</v>
      </c>
      <c r="D54" t="s">
        <v>57</v>
      </c>
      <c r="E54" t="s">
        <v>56</v>
      </c>
      <c r="F54" t="s">
        <v>56</v>
      </c>
      <c r="G54" t="s">
        <v>56</v>
      </c>
      <c r="H54" t="s">
        <v>75</v>
      </c>
      <c r="I54">
        <v>5</v>
      </c>
    </row>
    <row r="55" spans="1:9">
      <c r="A55" t="s">
        <v>130</v>
      </c>
      <c r="B55">
        <f>HYPERLINK("https://edu.epfl.ch/studyplan/en/master/communication-systems-master-program/coursebook/image-processing-i-MICRO-511", "Image processing I")</f>
        <v>0</v>
      </c>
      <c r="C55" t="s">
        <v>54</v>
      </c>
      <c r="D55" t="s">
        <v>175</v>
      </c>
      <c r="E55" t="s">
        <v>56</v>
      </c>
      <c r="F55" t="s">
        <v>56</v>
      </c>
      <c r="G55" t="s">
        <v>56</v>
      </c>
      <c r="H55" t="s">
        <v>75</v>
      </c>
      <c r="I55">
        <v>3</v>
      </c>
    </row>
    <row r="56" spans="1:9">
      <c r="A56" t="s">
        <v>131</v>
      </c>
      <c r="B56">
        <f>HYPERLINK("https://edu.epfl.ch/studyplan/en/master/communication-systems-master-program/coursebook/image-processing-ii-MICRO-512", "Image processing II")</f>
        <v>0</v>
      </c>
      <c r="C56" t="s">
        <v>54</v>
      </c>
      <c r="D56" t="s">
        <v>56</v>
      </c>
      <c r="E56" t="s">
        <v>175</v>
      </c>
      <c r="F56" t="s">
        <v>56</v>
      </c>
      <c r="G56" t="s">
        <v>56</v>
      </c>
      <c r="H56" t="s">
        <v>74</v>
      </c>
      <c r="I56">
        <v>3</v>
      </c>
    </row>
    <row r="57" spans="1:9">
      <c r="A57" t="s">
        <v>132</v>
      </c>
      <c r="B57">
        <f>HYPERLINK("https://edu.epfl.ch/studyplan/en/master/communication-systems-master-program/coursebook/industrial-automation-CS-487", "Industrial automation")</f>
        <v>0</v>
      </c>
      <c r="C57" t="s">
        <v>54</v>
      </c>
      <c r="D57" t="s">
        <v>56</v>
      </c>
      <c r="E57" t="s">
        <v>68</v>
      </c>
      <c r="F57" t="s">
        <v>56</v>
      </c>
      <c r="G57" t="s">
        <v>56</v>
      </c>
      <c r="H57" t="s">
        <v>189</v>
      </c>
      <c r="I57">
        <v>3</v>
      </c>
    </row>
    <row r="58" spans="1:9">
      <c r="A58" t="s">
        <v>133</v>
      </c>
      <c r="B58">
        <f>HYPERLINK("https://edu.epfl.ch/studyplan/en/master/communication-systems-master-program/coursebook/intelligent-agents-CS-430", "Intelligent agents")</f>
        <v>0</v>
      </c>
      <c r="C58" t="s">
        <v>54</v>
      </c>
      <c r="D58" t="s">
        <v>72</v>
      </c>
      <c r="E58" t="s">
        <v>56</v>
      </c>
      <c r="F58" t="s">
        <v>56</v>
      </c>
      <c r="G58" t="s">
        <v>56</v>
      </c>
      <c r="H58" t="s">
        <v>77</v>
      </c>
      <c r="I58">
        <v>6</v>
      </c>
    </row>
    <row r="59" spans="1:9">
      <c r="A59" t="s">
        <v>134</v>
      </c>
      <c r="B59">
        <f>HYPERLINK("https://edu.epfl.ch/studyplan/en/master/communication-systems-master-program/coursebook/interaction-design-CS-486", "Interaction design")</f>
        <v>0</v>
      </c>
      <c r="C59" t="s">
        <v>54</v>
      </c>
      <c r="D59" t="s">
        <v>56</v>
      </c>
      <c r="E59" t="s">
        <v>177</v>
      </c>
      <c r="F59" t="s">
        <v>56</v>
      </c>
      <c r="G59" t="s">
        <v>56</v>
      </c>
      <c r="H59" t="s">
        <v>76</v>
      </c>
      <c r="I59">
        <v>6</v>
      </c>
    </row>
    <row r="60" spans="1:9">
      <c r="A60" t="s">
        <v>135</v>
      </c>
      <c r="B60">
        <f>HYPERLINK("https://edu.epfl.ch/studyplan/en/master/communication-systems-master-program/coursebook/introduction-to-it-consulting-CS-491", "Introduction to IT consulting")</f>
        <v>0</v>
      </c>
      <c r="C60" t="s">
        <v>54</v>
      </c>
      <c r="D60" t="s">
        <v>176</v>
      </c>
      <c r="E60" t="s">
        <v>56</v>
      </c>
      <c r="F60" t="s">
        <v>56</v>
      </c>
      <c r="G60" t="s">
        <v>56</v>
      </c>
      <c r="H60" t="s">
        <v>188</v>
      </c>
      <c r="I60">
        <v>6</v>
      </c>
    </row>
    <row r="61" spans="1:9">
      <c r="A61" t="s">
        <v>136</v>
      </c>
      <c r="B61">
        <f>HYPERLINK("https://edu.epfl.ch/studyplan/en/master/communication-systems-master-program/coursebook/introduction-to-natural-language-processing-CS-431", "Introduction to natural language processing")</f>
        <v>0</v>
      </c>
      <c r="C61" t="s">
        <v>54</v>
      </c>
      <c r="D61" t="s">
        <v>57</v>
      </c>
      <c r="E61" t="s">
        <v>56</v>
      </c>
      <c r="F61" t="s">
        <v>56</v>
      </c>
      <c r="G61" t="s">
        <v>56</v>
      </c>
      <c r="H61" t="s">
        <v>75</v>
      </c>
      <c r="I61">
        <v>6</v>
      </c>
    </row>
    <row r="62" spans="1:9">
      <c r="A62" t="s">
        <v>137</v>
      </c>
      <c r="B62">
        <f>HYPERLINK("https://edu.epfl.ch/studyplan/en/master/communication-systems-master-program/coursebook/learning-theory-CS-526", "Learning theory")</f>
        <v>0</v>
      </c>
      <c r="C62" t="s">
        <v>54</v>
      </c>
      <c r="D62" t="s">
        <v>56</v>
      </c>
      <c r="E62" t="s">
        <v>57</v>
      </c>
      <c r="F62" t="s">
        <v>56</v>
      </c>
      <c r="G62" t="s">
        <v>56</v>
      </c>
      <c r="H62" t="s">
        <v>74</v>
      </c>
      <c r="I62">
        <v>6</v>
      </c>
    </row>
    <row r="63" spans="1:9">
      <c r="A63" t="s">
        <v>138</v>
      </c>
      <c r="B63">
        <f>HYPERLINK("https://edu.epfl.ch/studyplan/en/master/communication-systems-master-program/coursebook/machine-learning-for-behavioral-data-CS-421", "Machine learning for behavioral data")</f>
        <v>0</v>
      </c>
      <c r="C63" t="s">
        <v>54</v>
      </c>
      <c r="D63" t="s">
        <v>56</v>
      </c>
      <c r="E63" t="s">
        <v>66</v>
      </c>
      <c r="F63" t="s">
        <v>56</v>
      </c>
      <c r="G63" t="s">
        <v>56</v>
      </c>
      <c r="H63" t="s">
        <v>74</v>
      </c>
      <c r="I63">
        <v>6</v>
      </c>
    </row>
    <row r="64" spans="1:9">
      <c r="A64" t="s">
        <v>139</v>
      </c>
      <c r="B64">
        <f>HYPERLINK("https://edu.epfl.ch/studyplan/en/master/communication-systems-master-program/coursebook/markov-chains-and-algorithmic-applications-COM-516", "Markov chains and algorithmic applications")</f>
        <v>0</v>
      </c>
      <c r="C64" t="s">
        <v>54</v>
      </c>
      <c r="D64" t="s">
        <v>177</v>
      </c>
      <c r="E64" t="s">
        <v>56</v>
      </c>
      <c r="F64" t="s">
        <v>56</v>
      </c>
      <c r="G64" t="s">
        <v>56</v>
      </c>
      <c r="H64" t="s">
        <v>75</v>
      </c>
      <c r="I64">
        <v>6</v>
      </c>
    </row>
    <row r="65" spans="1:9">
      <c r="A65" t="s">
        <v>140</v>
      </c>
      <c r="B65">
        <f>HYPERLINK("https://edu.epfl.ch/studyplan/en/master/communication-systems-master-program/coursebook/mathematical-foundations-of-signal-processing-COM-514", "Mathematical foundations of signal processing")</f>
        <v>0</v>
      </c>
      <c r="C65" t="s">
        <v>54</v>
      </c>
      <c r="D65" t="s">
        <v>64</v>
      </c>
      <c r="E65" t="s">
        <v>56</v>
      </c>
      <c r="F65" t="s">
        <v>56</v>
      </c>
      <c r="G65" t="s">
        <v>56</v>
      </c>
      <c r="H65" t="s">
        <v>75</v>
      </c>
      <c r="I65">
        <v>6</v>
      </c>
    </row>
    <row r="66" spans="1:9">
      <c r="A66" t="s">
        <v>141</v>
      </c>
      <c r="B66">
        <f>HYPERLINK("https://edu.epfl.ch/studyplan/en/master/communication-systems-master-program/coursebook/modern-natural-language-processing-CS-552", "Modern natural language processing")</f>
        <v>0</v>
      </c>
      <c r="C66" t="s">
        <v>54</v>
      </c>
      <c r="D66" t="s">
        <v>56</v>
      </c>
      <c r="E66" t="s">
        <v>181</v>
      </c>
      <c r="F66" t="s">
        <v>56</v>
      </c>
      <c r="G66" t="s">
        <v>56</v>
      </c>
      <c r="H66" t="s">
        <v>76</v>
      </c>
      <c r="I66">
        <v>8</v>
      </c>
    </row>
    <row r="67" spans="1:9">
      <c r="A67" t="s">
        <v>142</v>
      </c>
      <c r="B67">
        <f>HYPERLINK("https://edu.epfl.ch/studyplan/en/master/communication-systems-master-program/coursebook/networks-out-of-control-COM-512", "Networks out of control")</f>
        <v>0</v>
      </c>
      <c r="C67" t="s">
        <v>54</v>
      </c>
      <c r="D67" t="s">
        <v>56</v>
      </c>
      <c r="E67" t="s">
        <v>61</v>
      </c>
      <c r="F67" t="s">
        <v>56</v>
      </c>
      <c r="G67" t="s">
        <v>56</v>
      </c>
      <c r="H67" t="s">
        <v>74</v>
      </c>
      <c r="I67">
        <v>6</v>
      </c>
    </row>
    <row r="68" spans="1:9">
      <c r="A68" t="s">
        <v>143</v>
      </c>
      <c r="B68">
        <f>HYPERLINK("https://edu.epfl.ch/studyplan/en/master/communication-systems-master-program/coursebook/number-theory-ii-c-cryptography-MATH-489", "Number theory II.c - Cryptography")</f>
        <v>0</v>
      </c>
      <c r="C68" t="s">
        <v>54</v>
      </c>
      <c r="D68" t="s">
        <v>56</v>
      </c>
      <c r="E68" t="s">
        <v>57</v>
      </c>
      <c r="F68" t="s">
        <v>56</v>
      </c>
      <c r="G68" t="s">
        <v>56</v>
      </c>
      <c r="H68" t="s">
        <v>74</v>
      </c>
      <c r="I68">
        <v>5</v>
      </c>
    </row>
    <row r="69" spans="1:9">
      <c r="A69" t="s">
        <v>144</v>
      </c>
      <c r="B69">
        <f>HYPERLINK("https://edu.epfl.ch/studyplan/en/master/communication-systems-master-program/coursebook/optimization-for-machine-learning-CS-439", "Optimization for machine learning")</f>
        <v>0</v>
      </c>
      <c r="C69" t="s">
        <v>54</v>
      </c>
      <c r="D69" t="s">
        <v>56</v>
      </c>
      <c r="E69" t="s">
        <v>171</v>
      </c>
      <c r="F69" t="s">
        <v>56</v>
      </c>
      <c r="G69" t="s">
        <v>56</v>
      </c>
      <c r="H69" t="s">
        <v>74</v>
      </c>
      <c r="I69">
        <v>8</v>
      </c>
    </row>
    <row r="70" spans="1:9">
      <c r="A70" t="s">
        <v>145</v>
      </c>
      <c r="B70">
        <f>HYPERLINK("https://edu.epfl.ch/studyplan/en/master/communication-systems-master-program/coursebook/optional-research-project-in-communication-systems-COM-507", "Optional research project in communication Systems")</f>
        <v>0</v>
      </c>
      <c r="C70" t="s">
        <v>54</v>
      </c>
      <c r="D70" t="s">
        <v>165</v>
      </c>
      <c r="E70" t="s">
        <v>165</v>
      </c>
      <c r="F70" t="s">
        <v>56</v>
      </c>
      <c r="G70" t="s">
        <v>56</v>
      </c>
      <c r="H70" t="s">
        <v>78</v>
      </c>
      <c r="I70">
        <v>8</v>
      </c>
    </row>
    <row r="71" spans="1:9">
      <c r="A71" t="s">
        <v>146</v>
      </c>
      <c r="B71">
        <f>HYPERLINK("https://edu.epfl.ch/studyplan/en/master/communication-systems-master-program/coursebook/principles-of-computer-systems-CS-522", "Principles of computer systems")</f>
        <v>0</v>
      </c>
      <c r="C71" t="s">
        <v>54</v>
      </c>
      <c r="D71" t="s">
        <v>169</v>
      </c>
      <c r="E71" t="s">
        <v>56</v>
      </c>
      <c r="F71" t="s">
        <v>56</v>
      </c>
      <c r="G71" t="s">
        <v>56</v>
      </c>
      <c r="H71" t="s">
        <v>77</v>
      </c>
      <c r="I71">
        <v>8</v>
      </c>
    </row>
    <row r="72" spans="1:9">
      <c r="A72" t="s">
        <v>147</v>
      </c>
      <c r="B72">
        <f>HYPERLINK("https://edu.epfl.ch/studyplan/en/master/communication-systems-master-program/coursebook/project-management-and-risk-analysis-MGT-427", "Project management and risk analysis")</f>
        <v>0</v>
      </c>
      <c r="C72" t="s">
        <v>55</v>
      </c>
      <c r="D72" t="s">
        <v>68</v>
      </c>
      <c r="E72" t="s">
        <v>56</v>
      </c>
      <c r="F72" t="s">
        <v>56</v>
      </c>
      <c r="G72" t="s">
        <v>56</v>
      </c>
      <c r="H72" t="s">
        <v>77</v>
      </c>
      <c r="I72">
        <v>4</v>
      </c>
    </row>
    <row r="73" spans="1:9">
      <c r="A73" t="s">
        <v>148</v>
      </c>
      <c r="B73">
        <f>HYPERLINK("https://edu.epfl.ch/studyplan/en/master/communication-systems-master-program/coursebook/social-media-EE-593", "Social media")</f>
        <v>0</v>
      </c>
      <c r="C73" t="s">
        <v>54</v>
      </c>
      <c r="D73" t="s">
        <v>56</v>
      </c>
      <c r="E73" t="s">
        <v>182</v>
      </c>
      <c r="F73" t="s">
        <v>56</v>
      </c>
      <c r="G73" t="s">
        <v>56</v>
      </c>
      <c r="H73" t="s">
        <v>76</v>
      </c>
      <c r="I73">
        <v>2</v>
      </c>
    </row>
    <row r="74" spans="1:9">
      <c r="A74" t="s">
        <v>149</v>
      </c>
      <c r="B74">
        <f>HYPERLINK("https://edu.epfl.ch/studyplan/en/master/communication-systems-master-program/coursebook/software-security-CS-412", "Software security")</f>
        <v>0</v>
      </c>
      <c r="C74" t="s">
        <v>54</v>
      </c>
      <c r="D74" t="s">
        <v>56</v>
      </c>
      <c r="E74" t="s">
        <v>181</v>
      </c>
      <c r="F74" t="s">
        <v>56</v>
      </c>
      <c r="G74" t="s">
        <v>56</v>
      </c>
      <c r="H74" t="s">
        <v>76</v>
      </c>
      <c r="I74">
        <v>6</v>
      </c>
    </row>
    <row r="75" spans="1:9">
      <c r="A75" t="s">
        <v>150</v>
      </c>
      <c r="B75">
        <f>HYPERLINK("https://edu.epfl.ch/studyplan/en/master/communication-systems-master-program/coursebook/statistical-mechanics-and-gibbs-measures-MATH-486", "Statistical mechanics and Gibbs measures")</f>
        <v>0</v>
      </c>
      <c r="C75" t="s">
        <v>54</v>
      </c>
      <c r="D75" t="s">
        <v>56</v>
      </c>
      <c r="E75" t="s">
        <v>57</v>
      </c>
      <c r="F75" t="s">
        <v>56</v>
      </c>
      <c r="G75" t="s">
        <v>56</v>
      </c>
      <c r="H75" t="s">
        <v>189</v>
      </c>
      <c r="I75">
        <v>5</v>
      </c>
    </row>
    <row r="76" spans="1:9">
      <c r="A76" t="s">
        <v>151</v>
      </c>
      <c r="B76">
        <f>HYPERLINK("https://edu.epfl.ch/studyplan/en/master/communication-systems-master-program/coursebook/statistical-physics-of-computation-PHYS-512", "Statistical physics of computation")</f>
        <v>0</v>
      </c>
      <c r="C76" t="s">
        <v>54</v>
      </c>
      <c r="D76" t="s">
        <v>57</v>
      </c>
      <c r="E76" t="s">
        <v>56</v>
      </c>
      <c r="F76" t="s">
        <v>56</v>
      </c>
      <c r="G76" t="s">
        <v>56</v>
      </c>
      <c r="H76" t="s">
        <v>75</v>
      </c>
      <c r="I76">
        <v>4</v>
      </c>
    </row>
    <row r="77" spans="1:9">
      <c r="A77" t="s">
        <v>152</v>
      </c>
      <c r="B77">
        <f>HYPERLINK("https://edu.epfl.ch/studyplan/en/master/communication-systems-master-program/coursebook/statistics-for-data-science-MATH-413", "Statistics for data science")</f>
        <v>0</v>
      </c>
      <c r="C77" t="s">
        <v>54</v>
      </c>
      <c r="D77" t="s">
        <v>56</v>
      </c>
      <c r="E77" t="s">
        <v>60</v>
      </c>
      <c r="F77" t="s">
        <v>56</v>
      </c>
      <c r="G77" t="s">
        <v>56</v>
      </c>
      <c r="H77" t="s">
        <v>74</v>
      </c>
      <c r="I77">
        <v>8</v>
      </c>
    </row>
    <row r="78" spans="1:9">
      <c r="A78" t="s">
        <v>153</v>
      </c>
      <c r="B78">
        <f>HYPERLINK("https://edu.epfl.ch/studyplan/en/master/communication-systems-master-program/coursebook/student-seminar-security-protocols-and-applications-COM-506", "Student seminar: security protocols and applications")</f>
        <v>0</v>
      </c>
      <c r="C78" t="s">
        <v>54</v>
      </c>
      <c r="D78" t="s">
        <v>56</v>
      </c>
      <c r="E78" t="s">
        <v>183</v>
      </c>
      <c r="F78" t="s">
        <v>56</v>
      </c>
      <c r="G78" t="s">
        <v>56</v>
      </c>
      <c r="H78" t="s">
        <v>76</v>
      </c>
      <c r="I78">
        <v>3</v>
      </c>
    </row>
    <row r="79" spans="1:9">
      <c r="A79" t="s">
        <v>154</v>
      </c>
      <c r="B79">
        <f>HYPERLINK("https://edu.epfl.ch/studyplan/en/master/communication-systems-master-program/coursebook/sublinear-algorithms-for-big-data-analysis-CS-448", "Sublinear algorithms for big data analysis")</f>
        <v>0</v>
      </c>
      <c r="C79" t="s">
        <v>54</v>
      </c>
      <c r="D79" t="s">
        <v>61</v>
      </c>
      <c r="E79" t="s">
        <v>56</v>
      </c>
      <c r="F79" t="s">
        <v>56</v>
      </c>
      <c r="G79" t="s">
        <v>56</v>
      </c>
      <c r="H79" t="s">
        <v>77</v>
      </c>
      <c r="I79">
        <v>6</v>
      </c>
    </row>
    <row r="80" spans="1:9">
      <c r="A80" t="s">
        <v>155</v>
      </c>
      <c r="B80">
        <f>HYPERLINK("https://edu.epfl.ch/studyplan/en/master/communication-systems-master-program/coursebook/system-programming-for-systems-on-chip-CS-473", "System programming for Systems-on-chip")</f>
        <v>0</v>
      </c>
      <c r="C80" t="s">
        <v>54</v>
      </c>
      <c r="D80" t="s">
        <v>66</v>
      </c>
      <c r="E80" t="s">
        <v>56</v>
      </c>
      <c r="F80" t="s">
        <v>56</v>
      </c>
      <c r="G80" t="s">
        <v>56</v>
      </c>
      <c r="H80" t="s">
        <v>77</v>
      </c>
      <c r="I80">
        <v>6</v>
      </c>
    </row>
    <row r="81" spans="1:9">
      <c r="A81" t="s">
        <v>156</v>
      </c>
      <c r="B81">
        <f>HYPERLINK("https://edu.epfl.ch/studyplan/en/master/communication-systems-master-program/coursebook/systems-for-data-management-and-data-science-CS-460", "Systems for data management and data science")</f>
        <v>0</v>
      </c>
      <c r="C81" t="s">
        <v>54</v>
      </c>
      <c r="D81" t="s">
        <v>56</v>
      </c>
      <c r="E81" t="s">
        <v>67</v>
      </c>
      <c r="F81" t="s">
        <v>56</v>
      </c>
      <c r="G81" t="s">
        <v>56</v>
      </c>
      <c r="H81" t="s">
        <v>74</v>
      </c>
      <c r="I81">
        <v>8</v>
      </c>
    </row>
    <row r="82" spans="1:9">
      <c r="A82" t="s">
        <v>157</v>
      </c>
      <c r="B82">
        <f>HYPERLINK("https://edu.epfl.ch/studyplan/en/master/communication-systems-master-program/coursebook/the-gc-maker-project-CS-458", "The GC maker project")</f>
        <v>0</v>
      </c>
      <c r="C82" t="s">
        <v>54</v>
      </c>
      <c r="D82" t="s">
        <v>56</v>
      </c>
      <c r="E82" t="s">
        <v>184</v>
      </c>
      <c r="F82" t="s">
        <v>56</v>
      </c>
      <c r="G82" t="s">
        <v>56</v>
      </c>
      <c r="H82" t="s">
        <v>76</v>
      </c>
      <c r="I82">
        <v>6</v>
      </c>
    </row>
    <row r="83" spans="1:9">
      <c r="A83" t="s">
        <v>158</v>
      </c>
      <c r="B83">
        <f>HYPERLINK("https://edu.epfl.ch/studyplan/en/master/communication-systems-master-program/coursebook/topics-in-software-security-CS-510", "Topics in software security")</f>
        <v>0</v>
      </c>
      <c r="C83" t="s">
        <v>54</v>
      </c>
      <c r="D83" t="s">
        <v>178</v>
      </c>
      <c r="E83" t="s">
        <v>56</v>
      </c>
      <c r="F83" t="s">
        <v>56</v>
      </c>
      <c r="G83" t="s">
        <v>56</v>
      </c>
      <c r="H83" t="s">
        <v>77</v>
      </c>
      <c r="I83">
        <v>3</v>
      </c>
    </row>
    <row r="84" spans="1:9">
      <c r="A84" t="s">
        <v>159</v>
      </c>
      <c r="B84">
        <f>HYPERLINK("https://edu.epfl.ch/studyplan/en/master/communication-systems-master-program/coursebook/topics-in-theoretical-computer-science-CS-455", "Topics in theoretical computer science")</f>
        <v>0</v>
      </c>
      <c r="C84" t="s">
        <v>54</v>
      </c>
      <c r="D84" t="s">
        <v>69</v>
      </c>
      <c r="E84" t="s">
        <v>56</v>
      </c>
      <c r="F84" t="s">
        <v>56</v>
      </c>
      <c r="G84" t="s">
        <v>56</v>
      </c>
      <c r="H84" t="s">
        <v>77</v>
      </c>
      <c r="I84">
        <v>6</v>
      </c>
    </row>
    <row r="85" spans="1:9">
      <c r="A85" t="s">
        <v>160</v>
      </c>
      <c r="B85">
        <f>HYPERLINK("https://edu.epfl.ch/studyplan/en/master/communication-systems-master-program/coursebook/virtual-reality-CS-444", "Virtual reality")</f>
        <v>0</v>
      </c>
      <c r="C85" t="s">
        <v>54</v>
      </c>
      <c r="D85" t="s">
        <v>56</v>
      </c>
      <c r="E85" t="s">
        <v>61</v>
      </c>
      <c r="F85" t="s">
        <v>56</v>
      </c>
      <c r="G85" t="s">
        <v>56</v>
      </c>
      <c r="H85" t="s">
        <v>76</v>
      </c>
      <c r="I85">
        <v>6</v>
      </c>
    </row>
    <row r="86" spans="1:9">
      <c r="A86" t="s">
        <v>161</v>
      </c>
      <c r="B86">
        <f>HYPERLINK("https://edu.epfl.ch/studyplan/en/master/communication-systems-master-program/coursebook/visual-intelligence-machines-and-minds-CS-503", "Visual intelligence : machines and minds")</f>
        <v>0</v>
      </c>
      <c r="C86" t="s">
        <v>54</v>
      </c>
      <c r="D86" t="s">
        <v>56</v>
      </c>
      <c r="E86" t="s">
        <v>57</v>
      </c>
      <c r="F86" t="s">
        <v>56</v>
      </c>
      <c r="G86" t="s">
        <v>56</v>
      </c>
      <c r="H86" t="s">
        <v>76</v>
      </c>
      <c r="I86">
        <v>6</v>
      </c>
    </row>
    <row r="87" spans="1:9">
      <c r="A87" t="s">
        <v>162</v>
      </c>
      <c r="B87">
        <f>HYPERLINK("https://edu.epfl.ch/studyplan/en/master/communication-systems-master-program/coursebook/engineering-internship-credited-with-master-project-master-in-communication-systems-COM-597", "Engineering internship credited with Master project (master in Communication Systems)")</f>
        <v>0</v>
      </c>
      <c r="C87" t="s">
        <v>54</v>
      </c>
      <c r="D87" t="s">
        <v>179</v>
      </c>
      <c r="E87" t="s">
        <v>179</v>
      </c>
      <c r="F87" t="s">
        <v>179</v>
      </c>
      <c r="G87" t="s">
        <v>179</v>
      </c>
      <c r="H87" t="s">
        <v>190</v>
      </c>
      <c r="I87">
        <v>0</v>
      </c>
    </row>
    <row r="88" spans="1:9">
      <c r="A88" t="s">
        <v>163</v>
      </c>
      <c r="B88">
        <f>HYPERLINK("https://edu.epfl.ch/studyplan/en/master/communication-systems-master-program/coursebook/master-project-in-communication-systems-COM-599", "Master project in Communication Systems")</f>
        <v>0</v>
      </c>
      <c r="C88" t="s">
        <v>54</v>
      </c>
      <c r="D88" t="s">
        <v>56</v>
      </c>
      <c r="E88" t="s">
        <v>56</v>
      </c>
      <c r="F88" t="s">
        <v>185</v>
      </c>
      <c r="G88" t="s">
        <v>185</v>
      </c>
      <c r="H88" t="s">
        <v>191</v>
      </c>
      <c r="I88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53</v>
      </c>
      <c r="B2">
        <f>HYPERLINK("https://edu.epfl.ch/studyplan/en/master/humanities-and-social-sciences-program", "HSS : Introduction to project")</f>
        <v>0</v>
      </c>
      <c r="C2" t="s">
        <v>164</v>
      </c>
      <c r="D2" t="s">
        <v>56</v>
      </c>
      <c r="E2" t="s">
        <v>56</v>
      </c>
      <c r="F2" t="s">
        <v>56</v>
      </c>
      <c r="G2" t="s">
        <v>56</v>
      </c>
      <c r="H2" t="s">
        <v>186</v>
      </c>
      <c r="I2">
        <v>3</v>
      </c>
    </row>
    <row r="3" spans="1:9">
      <c r="A3" t="s">
        <v>53</v>
      </c>
      <c r="B3">
        <f>HYPERLINK("https://edu.epfl.ch/studyplan/en/master/humanities-and-social-sciences-program", "HSS : Project")</f>
        <v>0</v>
      </c>
      <c r="C3" t="s">
        <v>164</v>
      </c>
      <c r="D3" t="s">
        <v>56</v>
      </c>
      <c r="E3" t="s">
        <v>56</v>
      </c>
      <c r="F3" t="s">
        <v>56</v>
      </c>
      <c r="G3" t="s">
        <v>56</v>
      </c>
      <c r="H3" t="s">
        <v>187</v>
      </c>
      <c r="I3">
        <v>3</v>
      </c>
    </row>
    <row r="4" spans="1:9">
      <c r="A4" t="s">
        <v>192</v>
      </c>
      <c r="B4">
        <f>HYPERLINK("https://edu.epfl.ch/studyplan/en/master/computer-science-cybersecurity/coursebook/research-project-in-cyber-security-CS-496", "Research project in Cyber security")</f>
        <v>0</v>
      </c>
      <c r="C4" t="s">
        <v>54</v>
      </c>
      <c r="D4" t="s">
        <v>198</v>
      </c>
      <c r="E4" t="s">
        <v>198</v>
      </c>
      <c r="F4" t="s">
        <v>56</v>
      </c>
      <c r="G4" t="s">
        <v>56</v>
      </c>
      <c r="H4" t="s">
        <v>78</v>
      </c>
      <c r="I4">
        <v>12</v>
      </c>
    </row>
    <row r="5" spans="1:9">
      <c r="A5" t="s">
        <v>92</v>
      </c>
      <c r="B5">
        <f>HYPERLINK("https://edu.epfl.ch/studyplan/en/master/computer-science-cybersecurity/coursebook/advanced-computer-architecture-CS-470", "Advanced computer architecture")</f>
        <v>0</v>
      </c>
      <c r="C5" t="s">
        <v>54</v>
      </c>
      <c r="D5" t="s">
        <v>56</v>
      </c>
      <c r="E5" t="s">
        <v>172</v>
      </c>
      <c r="F5" t="s">
        <v>56</v>
      </c>
      <c r="G5" t="s">
        <v>56</v>
      </c>
      <c r="H5" t="s">
        <v>74</v>
      </c>
      <c r="I5">
        <v>8</v>
      </c>
    </row>
    <row r="6" spans="1:9">
      <c r="A6" t="s">
        <v>96</v>
      </c>
      <c r="B6">
        <f>HYPERLINK("https://edu.epfl.ch/studyplan/en/master/computer-science-cybersecurity/coursebook/advanced-topics-on-privacy-enhancing-technologies-CS-523", "Advanced topics on privacy enhancing technologies")</f>
        <v>0</v>
      </c>
      <c r="C6" t="s">
        <v>54</v>
      </c>
      <c r="D6" t="s">
        <v>56</v>
      </c>
      <c r="E6" t="s">
        <v>168</v>
      </c>
      <c r="F6" t="s">
        <v>56</v>
      </c>
      <c r="G6" t="s">
        <v>56</v>
      </c>
      <c r="H6" t="s">
        <v>74</v>
      </c>
      <c r="I6">
        <v>8</v>
      </c>
    </row>
    <row r="7" spans="1:9">
      <c r="A7" t="s">
        <v>81</v>
      </c>
      <c r="B7">
        <f>HYPERLINK("https://edu.epfl.ch/studyplan/en/master/computer-science-cybersecurity/coursebook/algorithms-ii-CS-450", "Algorithms II")</f>
        <v>0</v>
      </c>
      <c r="C7" t="s">
        <v>54</v>
      </c>
      <c r="D7" t="s">
        <v>166</v>
      </c>
      <c r="E7" t="s">
        <v>56</v>
      </c>
      <c r="F7" t="s">
        <v>56</v>
      </c>
      <c r="G7" t="s">
        <v>56</v>
      </c>
      <c r="H7" t="s">
        <v>75</v>
      </c>
      <c r="I7">
        <v>8</v>
      </c>
    </row>
    <row r="8" spans="1:9">
      <c r="A8" t="s">
        <v>82</v>
      </c>
      <c r="B8">
        <f>HYPERLINK("https://edu.epfl.ch/studyplan/en/master/computer-science-cybersecurity/coursebook/cryptography-and-security-COM-401", "Cryptography and security")</f>
        <v>0</v>
      </c>
      <c r="C8" t="s">
        <v>54</v>
      </c>
      <c r="D8" t="s">
        <v>60</v>
      </c>
      <c r="E8" t="s">
        <v>56</v>
      </c>
      <c r="F8" t="s">
        <v>56</v>
      </c>
      <c r="G8" t="s">
        <v>56</v>
      </c>
      <c r="H8" t="s">
        <v>75</v>
      </c>
      <c r="I8">
        <v>8</v>
      </c>
    </row>
    <row r="9" spans="1:9">
      <c r="A9" t="s">
        <v>115</v>
      </c>
      <c r="B9">
        <f>HYPERLINK("https://edu.epfl.ch/studyplan/en/master/computer-science-cybersecurity/coursebook/decentralized-systems-engineering-CS-438", "Decentralized systems engineering")</f>
        <v>0</v>
      </c>
      <c r="C9" t="s">
        <v>54</v>
      </c>
      <c r="D9" t="s">
        <v>67</v>
      </c>
      <c r="E9" t="s">
        <v>56</v>
      </c>
      <c r="F9" t="s">
        <v>56</v>
      </c>
      <c r="G9" t="s">
        <v>56</v>
      </c>
      <c r="H9" t="s">
        <v>188</v>
      </c>
      <c r="I9">
        <v>8</v>
      </c>
    </row>
    <row r="10" spans="1:9">
      <c r="A10" t="s">
        <v>83</v>
      </c>
      <c r="B10">
        <f>HYPERLINK("https://edu.epfl.ch/studyplan/en/master/computer-science-cybersecurity/coursebook/distributed-algorithms-CS-451", "Distributed algorithms")</f>
        <v>0</v>
      </c>
      <c r="C10" t="s">
        <v>54</v>
      </c>
      <c r="D10" t="s">
        <v>167</v>
      </c>
      <c r="E10" t="s">
        <v>56</v>
      </c>
      <c r="F10" t="s">
        <v>56</v>
      </c>
      <c r="G10" t="s">
        <v>56</v>
      </c>
      <c r="H10" t="s">
        <v>75</v>
      </c>
      <c r="I10">
        <v>8</v>
      </c>
    </row>
    <row r="11" spans="1:9">
      <c r="A11" t="s">
        <v>84</v>
      </c>
      <c r="B11">
        <f>HYPERLINK("https://edu.epfl.ch/studyplan/en/master/computer-science-cybersecurity/coursebook/information-security-and-privacy-COM-402", "Information security and privacy")</f>
        <v>0</v>
      </c>
      <c r="C11" t="s">
        <v>54</v>
      </c>
      <c r="D11" t="s">
        <v>168</v>
      </c>
      <c r="E11" t="s">
        <v>56</v>
      </c>
      <c r="F11" t="s">
        <v>56</v>
      </c>
      <c r="G11" t="s">
        <v>56</v>
      </c>
      <c r="H11" t="s">
        <v>75</v>
      </c>
      <c r="I11">
        <v>8</v>
      </c>
    </row>
    <row r="12" spans="1:9">
      <c r="A12" t="s">
        <v>86</v>
      </c>
      <c r="B12">
        <f>HYPERLINK("https://edu.epfl.ch/studyplan/en/master/computer-science-cybersecurity/coursebook/machine-learning-CS-433", "Machine learning")</f>
        <v>0</v>
      </c>
      <c r="C12" t="s">
        <v>54</v>
      </c>
      <c r="D12" t="s">
        <v>60</v>
      </c>
      <c r="E12" t="s">
        <v>56</v>
      </c>
      <c r="F12" t="s">
        <v>56</v>
      </c>
      <c r="G12" t="s">
        <v>56</v>
      </c>
      <c r="H12" t="s">
        <v>75</v>
      </c>
      <c r="I12">
        <v>8</v>
      </c>
    </row>
    <row r="13" spans="1:9">
      <c r="A13" t="s">
        <v>156</v>
      </c>
      <c r="B13">
        <f>HYPERLINK("https://edu.epfl.ch/studyplan/en/master/computer-science-cybersecurity/coursebook/systems-for-data-management-and-data-science-CS-460", "Systems for data management and data science")</f>
        <v>0</v>
      </c>
      <c r="C13" t="s">
        <v>54</v>
      </c>
      <c r="D13" t="s">
        <v>56</v>
      </c>
      <c r="E13" t="s">
        <v>67</v>
      </c>
      <c r="F13" t="s">
        <v>56</v>
      </c>
      <c r="G13" t="s">
        <v>56</v>
      </c>
      <c r="H13" t="s">
        <v>74</v>
      </c>
      <c r="I13">
        <v>8</v>
      </c>
    </row>
    <row r="14" spans="1:9">
      <c r="A14" t="s">
        <v>90</v>
      </c>
      <c r="B14">
        <f>HYPERLINK("https://edu.epfl.ch/studyplan/en/master/computer-science-cybersecurity/coursebook/tcp-ip-networking-COM-407", "TCP/IP networking")</f>
        <v>0</v>
      </c>
      <c r="C14" t="s">
        <v>54</v>
      </c>
      <c r="D14" t="s">
        <v>67</v>
      </c>
      <c r="E14" t="s">
        <v>56</v>
      </c>
      <c r="F14" t="s">
        <v>56</v>
      </c>
      <c r="G14" t="s">
        <v>56</v>
      </c>
      <c r="H14" t="s">
        <v>75</v>
      </c>
      <c r="I14">
        <v>8</v>
      </c>
    </row>
    <row r="15" spans="1:9">
      <c r="A15" t="s">
        <v>91</v>
      </c>
      <c r="B15">
        <f>HYPERLINK("https://edu.epfl.ch/studyplan/en/master/computer-science-cybersecurity/coursebook/advanced-compiler-construction-CS-420", "Advanced compiler construction")</f>
        <v>0</v>
      </c>
      <c r="C15" t="s">
        <v>54</v>
      </c>
      <c r="D15" t="s">
        <v>56</v>
      </c>
      <c r="E15" t="s">
        <v>66</v>
      </c>
      <c r="F15" t="s">
        <v>56</v>
      </c>
      <c r="G15" t="s">
        <v>56</v>
      </c>
      <c r="H15" t="s">
        <v>76</v>
      </c>
      <c r="I15">
        <v>6</v>
      </c>
    </row>
    <row r="16" spans="1:9">
      <c r="A16" t="s">
        <v>93</v>
      </c>
      <c r="B16">
        <f>HYPERLINK("https://edu.epfl.ch/studyplan/en/master/computer-science-cybersecurity/coursebook/advanced-computer-graphics-CS-440", "Advanced computer graphics")</f>
        <v>0</v>
      </c>
      <c r="C16" t="s">
        <v>54</v>
      </c>
      <c r="D16" t="s">
        <v>56</v>
      </c>
      <c r="E16" t="s">
        <v>57</v>
      </c>
      <c r="F16" t="s">
        <v>56</v>
      </c>
      <c r="G16" t="s">
        <v>56</v>
      </c>
      <c r="H16" t="s">
        <v>76</v>
      </c>
      <c r="I16">
        <v>6</v>
      </c>
    </row>
    <row r="17" spans="1:9">
      <c r="A17" t="s">
        <v>94</v>
      </c>
      <c r="B17">
        <f>HYPERLINK("https://edu.epfl.ch/studyplan/en/master/computer-science-cybersecurity/coursebook/advanced-cryptography-COM-501", "Advanced cryptography")</f>
        <v>0</v>
      </c>
      <c r="C17" t="s">
        <v>54</v>
      </c>
      <c r="D17" t="s">
        <v>56</v>
      </c>
      <c r="E17" t="s">
        <v>57</v>
      </c>
      <c r="F17" t="s">
        <v>56</v>
      </c>
      <c r="G17" t="s">
        <v>56</v>
      </c>
      <c r="H17" t="s">
        <v>74</v>
      </c>
      <c r="I17">
        <v>6</v>
      </c>
    </row>
    <row r="18" spans="1:9">
      <c r="A18" t="s">
        <v>95</v>
      </c>
      <c r="B18">
        <f>HYPERLINK("https://edu.epfl.ch/studyplan/en/master/computer-science-cybersecurity/coursebook/advanced-multiprocessor-architecture-CS-471", "Advanced multiprocessor architecture")</f>
        <v>0</v>
      </c>
      <c r="C18" t="s">
        <v>54</v>
      </c>
      <c r="D18" t="s">
        <v>169</v>
      </c>
      <c r="E18" t="s">
        <v>56</v>
      </c>
      <c r="F18" t="s">
        <v>56</v>
      </c>
      <c r="G18" t="s">
        <v>56</v>
      </c>
      <c r="H18" t="s">
        <v>77</v>
      </c>
      <c r="I18">
        <v>6</v>
      </c>
    </row>
    <row r="19" spans="1:9">
      <c r="A19" t="s">
        <v>80</v>
      </c>
      <c r="B19">
        <f>HYPERLINK("https://edu.epfl.ch/studyplan/en/master/computer-science-cybersecurity/coursebook/advanced-probability-and-applications-COM-417", "Advanced probability and applications")</f>
        <v>0</v>
      </c>
      <c r="C19" t="s">
        <v>54</v>
      </c>
      <c r="D19" t="s">
        <v>56</v>
      </c>
      <c r="E19" t="s">
        <v>60</v>
      </c>
      <c r="F19" t="s">
        <v>56</v>
      </c>
      <c r="G19" t="s">
        <v>56</v>
      </c>
      <c r="H19" t="s">
        <v>74</v>
      </c>
      <c r="I19">
        <v>8</v>
      </c>
    </row>
    <row r="20" spans="1:9">
      <c r="A20" t="s">
        <v>97</v>
      </c>
      <c r="B20">
        <f>HYPERLINK("https://edu.epfl.ch/studyplan/en/master/computer-science-cybersecurity/coursebook/ai-product-management-CS-500", "AI product management")</f>
        <v>0</v>
      </c>
      <c r="C20" t="s">
        <v>54</v>
      </c>
      <c r="D20" t="s">
        <v>170</v>
      </c>
      <c r="E20" t="s">
        <v>56</v>
      </c>
      <c r="F20" t="s">
        <v>56</v>
      </c>
      <c r="G20" t="s">
        <v>56</v>
      </c>
      <c r="H20" t="s">
        <v>77</v>
      </c>
      <c r="I20">
        <v>6</v>
      </c>
    </row>
    <row r="21" spans="1:9">
      <c r="A21" t="s">
        <v>98</v>
      </c>
      <c r="B21">
        <f>HYPERLINK("https://edu.epfl.ch/studyplan/en/master/computer-science-cybersecurity/coursebook/applied-biomedical-signal-processing-EE-512", "Applied biomedical signal processing")</f>
        <v>0</v>
      </c>
      <c r="C21" t="s">
        <v>54</v>
      </c>
      <c r="D21" t="s">
        <v>66</v>
      </c>
      <c r="E21" t="s">
        <v>56</v>
      </c>
      <c r="F21" t="s">
        <v>56</v>
      </c>
      <c r="G21" t="s">
        <v>56</v>
      </c>
      <c r="H21" t="s">
        <v>75</v>
      </c>
      <c r="I21">
        <v>4</v>
      </c>
    </row>
    <row r="22" spans="1:9">
      <c r="A22" t="s">
        <v>99</v>
      </c>
      <c r="B22">
        <f>HYPERLINK("https://edu.epfl.ch/studyplan/en/master/computer-science-cybersecurity/coursebook/applied-biostatistics-MATH-493", "Applied biostatistics")</f>
        <v>0</v>
      </c>
      <c r="C22" t="s">
        <v>54</v>
      </c>
      <c r="D22" t="s">
        <v>56</v>
      </c>
      <c r="E22" t="s">
        <v>57</v>
      </c>
      <c r="F22" t="s">
        <v>56</v>
      </c>
      <c r="G22" t="s">
        <v>56</v>
      </c>
      <c r="H22" t="s">
        <v>76</v>
      </c>
      <c r="I22">
        <v>5</v>
      </c>
    </row>
    <row r="23" spans="1:9">
      <c r="A23" t="s">
        <v>100</v>
      </c>
      <c r="B23">
        <f>HYPERLINK("https://edu.epfl.ch/studyplan/en/master/computer-science-cybersecurity/coursebook/applied-data-analysis-CS-401", "Applied data analysis")</f>
        <v>0</v>
      </c>
      <c r="C23" t="s">
        <v>54</v>
      </c>
      <c r="D23" t="s">
        <v>66</v>
      </c>
      <c r="E23" t="s">
        <v>56</v>
      </c>
      <c r="F23" t="s">
        <v>56</v>
      </c>
      <c r="G23" t="s">
        <v>56</v>
      </c>
      <c r="H23" t="s">
        <v>75</v>
      </c>
      <c r="I23">
        <v>8</v>
      </c>
    </row>
    <row r="24" spans="1:9">
      <c r="A24" t="s">
        <v>101</v>
      </c>
      <c r="B24">
        <f>HYPERLINK("https://edu.epfl.ch/studyplan/en/master/computer-science-cybersecurity/coursebook/artificial-neural-networks-reinforcement-learning-CS-456", "Artificial neural networks/reinforcement learning")</f>
        <v>0</v>
      </c>
      <c r="C24" t="s">
        <v>54</v>
      </c>
      <c r="D24" t="s">
        <v>56</v>
      </c>
      <c r="E24" t="s">
        <v>57</v>
      </c>
      <c r="F24" t="s">
        <v>56</v>
      </c>
      <c r="G24" t="s">
        <v>56</v>
      </c>
      <c r="H24" t="s">
        <v>74</v>
      </c>
      <c r="I24">
        <v>6</v>
      </c>
    </row>
    <row r="25" spans="1:9">
      <c r="A25" t="s">
        <v>102</v>
      </c>
      <c r="B25">
        <f>HYPERLINK("https://edu.epfl.ch/studyplan/en/master/computer-science-cybersecurity/coursebook/automatic-speech-processing-EE-554", "Automatic speech processing")</f>
        <v>0</v>
      </c>
      <c r="C25" t="s">
        <v>54</v>
      </c>
      <c r="D25" t="s">
        <v>61</v>
      </c>
      <c r="E25" t="s">
        <v>56</v>
      </c>
      <c r="F25" t="s">
        <v>56</v>
      </c>
      <c r="G25" t="s">
        <v>56</v>
      </c>
      <c r="H25" t="s">
        <v>75</v>
      </c>
      <c r="I25">
        <v>3</v>
      </c>
    </row>
    <row r="26" spans="1:9">
      <c r="A26" t="s">
        <v>103</v>
      </c>
      <c r="B26">
        <f>HYPERLINK("https://edu.epfl.ch/studyplan/en/master/computer-science-cybersecurity/coursebook/basics-of-mobile-robotics-MICRO-452", "Basics of mobile robotics")</f>
        <v>0</v>
      </c>
      <c r="C26" t="s">
        <v>54</v>
      </c>
      <c r="D26" t="s">
        <v>57</v>
      </c>
      <c r="E26" t="s">
        <v>56</v>
      </c>
      <c r="F26" t="s">
        <v>56</v>
      </c>
      <c r="G26" t="s">
        <v>56</v>
      </c>
      <c r="H26" t="s">
        <v>75</v>
      </c>
      <c r="I26">
        <v>4</v>
      </c>
    </row>
    <row r="27" spans="1:9">
      <c r="A27" t="s">
        <v>105</v>
      </c>
      <c r="B27">
        <f>HYPERLINK("https://edu.epfl.ch/studyplan/en/master/computer-science-cybersecurity/coursebook/causal-inference-MGT-416", "Causal inference")</f>
        <v>0</v>
      </c>
      <c r="C27" t="s">
        <v>54</v>
      </c>
      <c r="D27" t="s">
        <v>56</v>
      </c>
      <c r="E27" t="s">
        <v>61</v>
      </c>
      <c r="F27" t="s">
        <v>56</v>
      </c>
      <c r="G27" t="s">
        <v>56</v>
      </c>
      <c r="H27" t="s">
        <v>76</v>
      </c>
      <c r="I27">
        <v>4</v>
      </c>
    </row>
    <row r="28" spans="1:9">
      <c r="A28" t="s">
        <v>106</v>
      </c>
      <c r="B28">
        <f>HYPERLINK("https://edu.epfl.ch/studyplan/en/master/computer-science-cybersecurity/coursebook/causal-thinking-MATH-352", "Causal thinking")</f>
        <v>0</v>
      </c>
      <c r="C28" t="s">
        <v>54</v>
      </c>
      <c r="D28" t="s">
        <v>57</v>
      </c>
      <c r="E28" t="s">
        <v>56</v>
      </c>
      <c r="F28" t="s">
        <v>56</v>
      </c>
      <c r="G28" t="s">
        <v>56</v>
      </c>
      <c r="H28" t="s">
        <v>75</v>
      </c>
      <c r="I28">
        <v>5</v>
      </c>
    </row>
    <row r="29" spans="1:9">
      <c r="A29" t="s">
        <v>107</v>
      </c>
      <c r="B29">
        <f>HYPERLINK("https://edu.epfl.ch/studyplan/en/master/computer-science-cybersecurity/coursebook/cellular-biology-and-biochemistry-for-engineers-BIO-105", "Cellular biology and biochemistry for engineers")</f>
        <v>0</v>
      </c>
      <c r="C29" t="s">
        <v>54</v>
      </c>
      <c r="D29" t="s">
        <v>57</v>
      </c>
      <c r="E29" t="s">
        <v>56</v>
      </c>
      <c r="F29" t="s">
        <v>56</v>
      </c>
      <c r="G29" t="s">
        <v>56</v>
      </c>
      <c r="H29" t="s">
        <v>75</v>
      </c>
      <c r="I29">
        <v>4</v>
      </c>
    </row>
    <row r="30" spans="1:9">
      <c r="A30" t="s">
        <v>108</v>
      </c>
      <c r="B30">
        <f>HYPERLINK("https://edu.epfl.ch/studyplan/en/master/computer-science-cybersecurity/coursebook/computational-complexity-CS-524", "Computational complexity")</f>
        <v>0</v>
      </c>
      <c r="C30" t="s">
        <v>54</v>
      </c>
      <c r="D30" t="s">
        <v>57</v>
      </c>
      <c r="E30" t="s">
        <v>56</v>
      </c>
      <c r="F30" t="s">
        <v>56</v>
      </c>
      <c r="G30" t="s">
        <v>56</v>
      </c>
      <c r="H30" t="s">
        <v>77</v>
      </c>
      <c r="I30">
        <v>6</v>
      </c>
    </row>
    <row r="31" spans="1:9">
      <c r="A31" t="s">
        <v>109</v>
      </c>
      <c r="B31">
        <f>HYPERLINK("https://edu.epfl.ch/studyplan/en/master/computer-science-cybersecurity/coursebook/computational-neurosciences-neuronal-dynamics-NX-465", "Computational neurosciences: neuronal dynamics")</f>
        <v>0</v>
      </c>
      <c r="C31" t="s">
        <v>54</v>
      </c>
      <c r="D31" t="s">
        <v>56</v>
      </c>
      <c r="E31" t="s">
        <v>57</v>
      </c>
      <c r="F31" t="s">
        <v>56</v>
      </c>
      <c r="G31" t="s">
        <v>56</v>
      </c>
      <c r="H31" t="s">
        <v>74</v>
      </c>
      <c r="I31">
        <v>5</v>
      </c>
    </row>
    <row r="32" spans="1:9">
      <c r="A32" t="s">
        <v>110</v>
      </c>
      <c r="B32">
        <f>HYPERLINK("https://edu.epfl.ch/studyplan/en/master/computer-science-cybersecurity/coursebook/computational-photography-CS-413", "Computational photography")</f>
        <v>0</v>
      </c>
      <c r="C32" t="s">
        <v>54</v>
      </c>
      <c r="D32" t="s">
        <v>56</v>
      </c>
      <c r="E32" t="s">
        <v>66</v>
      </c>
      <c r="F32" t="s">
        <v>56</v>
      </c>
      <c r="G32" t="s">
        <v>56</v>
      </c>
      <c r="H32" t="s">
        <v>76</v>
      </c>
      <c r="I32">
        <v>6</v>
      </c>
    </row>
    <row r="33" spans="1:9">
      <c r="A33" t="s">
        <v>112</v>
      </c>
      <c r="B33">
        <f>HYPERLINK("https://edu.epfl.ch/studyplan/en/master/computer-science-cybersecurity/coursebook/computer-vision-CS-442", "Computer vision")</f>
        <v>0</v>
      </c>
      <c r="C33" t="s">
        <v>54</v>
      </c>
      <c r="D33" t="s">
        <v>56</v>
      </c>
      <c r="E33" t="s">
        <v>61</v>
      </c>
      <c r="F33" t="s">
        <v>56</v>
      </c>
      <c r="G33" t="s">
        <v>56</v>
      </c>
      <c r="H33" t="s">
        <v>74</v>
      </c>
      <c r="I33">
        <v>6</v>
      </c>
    </row>
    <row r="34" spans="1:9">
      <c r="A34" t="s">
        <v>113</v>
      </c>
      <c r="B34">
        <f>HYPERLINK("https://edu.epfl.ch/studyplan/en/master/computer-science-cybersecurity/coursebook/concurrent-computing-CS-453", "Concurrent computing")</f>
        <v>0</v>
      </c>
      <c r="C34" t="s">
        <v>54</v>
      </c>
      <c r="D34" t="s">
        <v>63</v>
      </c>
      <c r="E34" t="s">
        <v>56</v>
      </c>
      <c r="F34" t="s">
        <v>56</v>
      </c>
      <c r="G34" t="s">
        <v>56</v>
      </c>
      <c r="H34" t="s">
        <v>75</v>
      </c>
      <c r="I34">
        <v>6</v>
      </c>
    </row>
    <row r="35" spans="1:9">
      <c r="A35" t="s">
        <v>114</v>
      </c>
      <c r="B35">
        <f>HYPERLINK("https://edu.epfl.ch/studyplan/en/master/computer-science-cybersecurity/coursebook/data-visualization-COM-480", "Data visualization")</f>
        <v>0</v>
      </c>
      <c r="C35" t="s">
        <v>54</v>
      </c>
      <c r="D35" t="s">
        <v>56</v>
      </c>
      <c r="E35" t="s">
        <v>66</v>
      </c>
      <c r="F35" t="s">
        <v>56</v>
      </c>
      <c r="G35" t="s">
        <v>56</v>
      </c>
      <c r="H35" t="s">
        <v>76</v>
      </c>
      <c r="I35">
        <v>6</v>
      </c>
    </row>
    <row r="36" spans="1:9">
      <c r="A36" t="s">
        <v>116</v>
      </c>
      <c r="B36">
        <f>HYPERLINK("https://edu.epfl.ch/studyplan/en/master/computer-science-cybersecurity/coursebook/deep-learning-EE-559", "Deep learning")</f>
        <v>0</v>
      </c>
      <c r="C36" t="s">
        <v>54</v>
      </c>
      <c r="D36" t="s">
        <v>56</v>
      </c>
      <c r="E36" t="s">
        <v>57</v>
      </c>
      <c r="F36" t="s">
        <v>56</v>
      </c>
      <c r="G36" t="s">
        <v>56</v>
      </c>
      <c r="H36" t="s">
        <v>76</v>
      </c>
      <c r="I36">
        <v>4</v>
      </c>
    </row>
    <row r="37" spans="1:9">
      <c r="A37" t="s">
        <v>118</v>
      </c>
      <c r="B37">
        <f>HYPERLINK("https://edu.epfl.ch/studyplan/en/master/computer-science-cybersecurity/coursebook/design-technologies-for-integrated-systems-CS-472", "Design technologies for integrated systems")</f>
        <v>0</v>
      </c>
      <c r="C37" t="s">
        <v>54</v>
      </c>
      <c r="D37" t="s">
        <v>172</v>
      </c>
      <c r="E37" t="s">
        <v>56</v>
      </c>
      <c r="F37" t="s">
        <v>56</v>
      </c>
      <c r="G37" t="s">
        <v>56</v>
      </c>
      <c r="H37" t="s">
        <v>77</v>
      </c>
      <c r="I37">
        <v>6</v>
      </c>
    </row>
    <row r="38" spans="1:9">
      <c r="A38" t="s">
        <v>119</v>
      </c>
      <c r="B38">
        <f>HYPERLINK("https://edu.epfl.ch/studyplan/en/master/computer-science-cybersecurity/coursebook/digital-education-CS-411", "Digital education ")</f>
        <v>0</v>
      </c>
      <c r="C38" t="s">
        <v>54</v>
      </c>
      <c r="D38" t="s">
        <v>66</v>
      </c>
      <c r="E38" t="s">
        <v>56</v>
      </c>
      <c r="F38" t="s">
        <v>56</v>
      </c>
      <c r="G38" t="s">
        <v>56</v>
      </c>
      <c r="H38" t="s">
        <v>75</v>
      </c>
      <c r="I38">
        <v>6</v>
      </c>
    </row>
    <row r="39" spans="1:9">
      <c r="A39" t="s">
        <v>120</v>
      </c>
      <c r="B39">
        <f>HYPERLINK("https://edu.epfl.ch/studyplan/en/master/computer-science-cybersecurity/coursebook/distributed-information-systems-CS-423", "Distributed information systems")</f>
        <v>0</v>
      </c>
      <c r="C39" t="s">
        <v>54</v>
      </c>
      <c r="D39" t="s">
        <v>61</v>
      </c>
      <c r="E39" t="s">
        <v>56</v>
      </c>
      <c r="F39" t="s">
        <v>56</v>
      </c>
      <c r="G39" t="s">
        <v>56</v>
      </c>
      <c r="H39" t="s">
        <v>75</v>
      </c>
      <c r="I39">
        <v>6</v>
      </c>
    </row>
    <row r="40" spans="1:9">
      <c r="A40" t="s">
        <v>121</v>
      </c>
      <c r="B40">
        <f>HYPERLINK("https://edu.epfl.ch/studyplan/en/master/computer-science-cybersecurity/coursebook/distributed-intelligent-systems-ENG-466", "Distributed intelligent systems")</f>
        <v>0</v>
      </c>
      <c r="C40" t="s">
        <v>54</v>
      </c>
      <c r="D40" t="s">
        <v>56</v>
      </c>
      <c r="E40" t="s">
        <v>180</v>
      </c>
      <c r="F40" t="s">
        <v>56</v>
      </c>
      <c r="G40" t="s">
        <v>56</v>
      </c>
      <c r="H40" t="s">
        <v>189</v>
      </c>
      <c r="I40">
        <v>5</v>
      </c>
    </row>
    <row r="41" spans="1:9">
      <c r="A41" t="s">
        <v>122</v>
      </c>
      <c r="B41">
        <f>HYPERLINK("https://edu.epfl.ch/studyplan/en/master/computer-science-cybersecurity/coursebook/dynamical-system-theory-for-engineers-COM-502", "Dynamical system theory for engineers")</f>
        <v>0</v>
      </c>
      <c r="C41" t="s">
        <v>54</v>
      </c>
      <c r="D41" t="s">
        <v>56</v>
      </c>
      <c r="E41" t="s">
        <v>61</v>
      </c>
      <c r="F41" t="s">
        <v>56</v>
      </c>
      <c r="G41" t="s">
        <v>56</v>
      </c>
      <c r="H41" t="s">
        <v>74</v>
      </c>
      <c r="I41">
        <v>6</v>
      </c>
    </row>
    <row r="42" spans="1:9">
      <c r="A42" t="s">
        <v>123</v>
      </c>
      <c r="B42">
        <f>HYPERLINK("https://edu.epfl.ch/studyplan/en/master/computer-science-cybersecurity/coursebook/embedded-system-design-CS-476", "Embedded system design")</f>
        <v>0</v>
      </c>
      <c r="C42" t="s">
        <v>54</v>
      </c>
      <c r="D42" t="s">
        <v>56</v>
      </c>
      <c r="E42" t="s">
        <v>66</v>
      </c>
      <c r="F42" t="s">
        <v>56</v>
      </c>
      <c r="G42" t="s">
        <v>56</v>
      </c>
      <c r="H42" t="s">
        <v>76</v>
      </c>
      <c r="I42">
        <v>6</v>
      </c>
    </row>
    <row r="43" spans="1:9">
      <c r="A43" t="s">
        <v>124</v>
      </c>
      <c r="B43">
        <f>HYPERLINK("https://edu.epfl.ch/studyplan/en/master/computer-science-cybersecurity/coursebook/ethics-and-law-of-ai-DH-415", "Ethics and law of AI")</f>
        <v>0</v>
      </c>
      <c r="C43" t="s">
        <v>54</v>
      </c>
      <c r="D43" t="s">
        <v>68</v>
      </c>
      <c r="E43" t="s">
        <v>56</v>
      </c>
      <c r="F43" t="s">
        <v>56</v>
      </c>
      <c r="G43" t="s">
        <v>56</v>
      </c>
      <c r="H43" t="s">
        <v>75</v>
      </c>
      <c r="I43">
        <v>4</v>
      </c>
    </row>
    <row r="44" spans="1:9">
      <c r="A44" t="s">
        <v>125</v>
      </c>
      <c r="B44">
        <f>HYPERLINK("https://edu.epfl.ch/studyplan/en/master/computer-science-cybersecurity/coursebook/experience-design-CS-489", "Experience design")</f>
        <v>0</v>
      </c>
      <c r="C44" t="s">
        <v>54</v>
      </c>
      <c r="D44" t="s">
        <v>173</v>
      </c>
      <c r="E44" t="s">
        <v>56</v>
      </c>
      <c r="F44" t="s">
        <v>56</v>
      </c>
      <c r="G44" t="s">
        <v>56</v>
      </c>
      <c r="H44" t="s">
        <v>77</v>
      </c>
      <c r="I44">
        <v>6</v>
      </c>
    </row>
    <row r="45" spans="1:9">
      <c r="A45" t="s">
        <v>126</v>
      </c>
      <c r="B45">
        <f>HYPERLINK("https://edu.epfl.ch/studyplan/en/master/computer-science-cybersecurity/coursebook/formal-verification-CS-550", "Formal verification")</f>
        <v>0</v>
      </c>
      <c r="C45" t="s">
        <v>54</v>
      </c>
      <c r="D45" t="s">
        <v>67</v>
      </c>
      <c r="E45" t="s">
        <v>56</v>
      </c>
      <c r="F45" t="s">
        <v>56</v>
      </c>
      <c r="G45" t="s">
        <v>56</v>
      </c>
      <c r="H45" t="s">
        <v>77</v>
      </c>
      <c r="I45">
        <v>6</v>
      </c>
    </row>
    <row r="46" spans="1:9">
      <c r="A46" t="s">
        <v>193</v>
      </c>
      <c r="B46">
        <f>HYPERLINK("https://edu.epfl.ch/studyplan/en/master/computer-science-cybersecurity/coursebook/foundations-of-data-science-COM-406", "Foundations of Data Science")</f>
        <v>0</v>
      </c>
      <c r="C46" t="s">
        <v>54</v>
      </c>
      <c r="D46" t="s">
        <v>60</v>
      </c>
      <c r="E46" t="s">
        <v>56</v>
      </c>
      <c r="F46" t="s">
        <v>56</v>
      </c>
      <c r="G46" t="s">
        <v>56</v>
      </c>
      <c r="H46" t="s">
        <v>75</v>
      </c>
      <c r="I46">
        <v>8</v>
      </c>
    </row>
    <row r="47" spans="1:9">
      <c r="A47" t="s">
        <v>127</v>
      </c>
      <c r="B47">
        <f>HYPERLINK("https://edu.epfl.ch/studyplan/en/master/computer-science-cybersecurity/coursebook/foundations-of-probabilistic-proofs-CS-459", "Foundations of probabilistic proofs")</f>
        <v>0</v>
      </c>
      <c r="C47" t="s">
        <v>54</v>
      </c>
      <c r="D47" t="s">
        <v>174</v>
      </c>
      <c r="E47" t="s">
        <v>56</v>
      </c>
      <c r="F47" t="s">
        <v>56</v>
      </c>
      <c r="G47" t="s">
        <v>56</v>
      </c>
      <c r="H47" t="s">
        <v>77</v>
      </c>
      <c r="I47">
        <v>6</v>
      </c>
    </row>
    <row r="48" spans="1:9">
      <c r="A48" t="s">
        <v>194</v>
      </c>
      <c r="B48">
        <f>HYPERLINK("https://edu.epfl.ch/studyplan/en/master/computer-science-cybersecurity/coursebook/foundations-of-software-CS-452", "Foundations of software")</f>
        <v>0</v>
      </c>
      <c r="C48" t="s">
        <v>54</v>
      </c>
      <c r="D48" t="s">
        <v>57</v>
      </c>
      <c r="E48" t="s">
        <v>56</v>
      </c>
      <c r="F48" t="s">
        <v>56</v>
      </c>
      <c r="G48" t="s">
        <v>56</v>
      </c>
      <c r="H48" t="s">
        <v>75</v>
      </c>
      <c r="I48">
        <v>6</v>
      </c>
    </row>
    <row r="49" spans="1:9">
      <c r="A49" t="s">
        <v>129</v>
      </c>
      <c r="B49">
        <f>HYPERLINK("https://edu.epfl.ch/studyplan/en/master/computer-science-cybersecurity/coursebook/godel-and-recursivity-MATH-483", "Gödel and recursivity")</f>
        <v>0</v>
      </c>
      <c r="C49" t="s">
        <v>54</v>
      </c>
      <c r="D49" t="s">
        <v>57</v>
      </c>
      <c r="E49" t="s">
        <v>56</v>
      </c>
      <c r="F49" t="s">
        <v>56</v>
      </c>
      <c r="G49" t="s">
        <v>56</v>
      </c>
      <c r="H49" t="s">
        <v>75</v>
      </c>
      <c r="I49">
        <v>5</v>
      </c>
    </row>
    <row r="50" spans="1:9">
      <c r="A50" t="s">
        <v>130</v>
      </c>
      <c r="B50">
        <f>HYPERLINK("https://edu.epfl.ch/studyplan/en/master/computer-science-cybersecurity/coursebook/image-processing-i-MICRO-511", "Image processing I")</f>
        <v>0</v>
      </c>
      <c r="C50" t="s">
        <v>54</v>
      </c>
      <c r="D50" t="s">
        <v>175</v>
      </c>
      <c r="E50" t="s">
        <v>56</v>
      </c>
      <c r="F50" t="s">
        <v>56</v>
      </c>
      <c r="G50" t="s">
        <v>56</v>
      </c>
      <c r="H50" t="s">
        <v>75</v>
      </c>
      <c r="I50">
        <v>3</v>
      </c>
    </row>
    <row r="51" spans="1:9">
      <c r="A51" t="s">
        <v>131</v>
      </c>
      <c r="B51">
        <f>HYPERLINK("https://edu.epfl.ch/studyplan/en/master/computer-science-cybersecurity/coursebook/image-processing-ii-MICRO-512", "Image processing II")</f>
        <v>0</v>
      </c>
      <c r="C51" t="s">
        <v>54</v>
      </c>
      <c r="D51" t="s">
        <v>56</v>
      </c>
      <c r="E51" t="s">
        <v>175</v>
      </c>
      <c r="F51" t="s">
        <v>56</v>
      </c>
      <c r="G51" t="s">
        <v>56</v>
      </c>
      <c r="H51" t="s">
        <v>74</v>
      </c>
      <c r="I51">
        <v>3</v>
      </c>
    </row>
    <row r="52" spans="1:9">
      <c r="A52" t="s">
        <v>132</v>
      </c>
      <c r="B52">
        <f>HYPERLINK("https://edu.epfl.ch/studyplan/en/master/computer-science-cybersecurity/coursebook/industrial-automation-CS-487", "Industrial automation")</f>
        <v>0</v>
      </c>
      <c r="C52" t="s">
        <v>54</v>
      </c>
      <c r="D52" t="s">
        <v>56</v>
      </c>
      <c r="E52" t="s">
        <v>68</v>
      </c>
      <c r="F52" t="s">
        <v>56</v>
      </c>
      <c r="G52" t="s">
        <v>56</v>
      </c>
      <c r="H52" t="s">
        <v>189</v>
      </c>
      <c r="I52">
        <v>3</v>
      </c>
    </row>
    <row r="53" spans="1:9">
      <c r="A53" t="s">
        <v>85</v>
      </c>
      <c r="B53">
        <f>HYPERLINK("https://edu.epfl.ch/studyplan/en/master/computer-science-cybersecurity/coursebook/information-theory-and-coding-COM-404", "Information theory and coding")</f>
        <v>0</v>
      </c>
      <c r="C53" t="s">
        <v>54</v>
      </c>
      <c r="D53" t="s">
        <v>60</v>
      </c>
      <c r="E53" t="s">
        <v>56</v>
      </c>
      <c r="F53" t="s">
        <v>56</v>
      </c>
      <c r="G53" t="s">
        <v>56</v>
      </c>
      <c r="H53" t="s">
        <v>75</v>
      </c>
      <c r="I53">
        <v>8</v>
      </c>
    </row>
    <row r="54" spans="1:9">
      <c r="A54" t="s">
        <v>133</v>
      </c>
      <c r="B54">
        <f>HYPERLINK("https://edu.epfl.ch/studyplan/en/master/computer-science-cybersecurity/coursebook/intelligent-agents-CS-430", "Intelligent agents")</f>
        <v>0</v>
      </c>
      <c r="C54" t="s">
        <v>54</v>
      </c>
      <c r="D54" t="s">
        <v>72</v>
      </c>
      <c r="E54" t="s">
        <v>56</v>
      </c>
      <c r="F54" t="s">
        <v>56</v>
      </c>
      <c r="G54" t="s">
        <v>56</v>
      </c>
      <c r="H54" t="s">
        <v>77</v>
      </c>
      <c r="I54">
        <v>6</v>
      </c>
    </row>
    <row r="55" spans="1:9">
      <c r="A55" t="s">
        <v>134</v>
      </c>
      <c r="B55">
        <f>HYPERLINK("https://edu.epfl.ch/studyplan/en/master/computer-science-cybersecurity/coursebook/interaction-design-CS-486", "Interaction design")</f>
        <v>0</v>
      </c>
      <c r="C55" t="s">
        <v>54</v>
      </c>
      <c r="D55" t="s">
        <v>56</v>
      </c>
      <c r="E55" t="s">
        <v>177</v>
      </c>
      <c r="F55" t="s">
        <v>56</v>
      </c>
      <c r="G55" t="s">
        <v>56</v>
      </c>
      <c r="H55" t="s">
        <v>76</v>
      </c>
      <c r="I55">
        <v>6</v>
      </c>
    </row>
    <row r="56" spans="1:9">
      <c r="A56" t="s">
        <v>135</v>
      </c>
      <c r="B56">
        <f>HYPERLINK("https://edu.epfl.ch/studyplan/en/master/computer-science-cybersecurity/coursebook/introduction-to-it-consulting-CS-491", "Introduction to IT consulting")</f>
        <v>0</v>
      </c>
      <c r="C56" t="s">
        <v>54</v>
      </c>
      <c r="D56" t="s">
        <v>176</v>
      </c>
      <c r="E56" t="s">
        <v>56</v>
      </c>
      <c r="F56" t="s">
        <v>56</v>
      </c>
      <c r="G56" t="s">
        <v>56</v>
      </c>
      <c r="H56" t="s">
        <v>188</v>
      </c>
      <c r="I56">
        <v>6</v>
      </c>
    </row>
    <row r="57" spans="1:9">
      <c r="A57" t="s">
        <v>136</v>
      </c>
      <c r="B57">
        <f>HYPERLINK("https://edu.epfl.ch/studyplan/en/master/computer-science-cybersecurity/coursebook/introduction-to-natural-language-processing-CS-431", "Introduction to natural language processing")</f>
        <v>0</v>
      </c>
      <c r="C57" t="s">
        <v>54</v>
      </c>
      <c r="D57" t="s">
        <v>57</v>
      </c>
      <c r="E57" t="s">
        <v>56</v>
      </c>
      <c r="F57" t="s">
        <v>56</v>
      </c>
      <c r="G57" t="s">
        <v>56</v>
      </c>
      <c r="H57" t="s">
        <v>75</v>
      </c>
      <c r="I57">
        <v>6</v>
      </c>
    </row>
    <row r="58" spans="1:9">
      <c r="A58" t="s">
        <v>137</v>
      </c>
      <c r="B58">
        <f>HYPERLINK("https://edu.epfl.ch/studyplan/en/master/computer-science-cybersecurity/coursebook/learning-theory-CS-526", "Learning theory")</f>
        <v>0</v>
      </c>
      <c r="C58" t="s">
        <v>54</v>
      </c>
      <c r="D58" t="s">
        <v>56</v>
      </c>
      <c r="E58" t="s">
        <v>57</v>
      </c>
      <c r="F58" t="s">
        <v>56</v>
      </c>
      <c r="G58" t="s">
        <v>56</v>
      </c>
      <c r="H58" t="s">
        <v>74</v>
      </c>
      <c r="I58">
        <v>6</v>
      </c>
    </row>
    <row r="59" spans="1:9">
      <c r="A59" t="s">
        <v>138</v>
      </c>
      <c r="B59">
        <f>HYPERLINK("https://edu.epfl.ch/studyplan/en/master/computer-science-cybersecurity/coursebook/machine-learning-for-behavioral-data-CS-421", "Machine learning for behavioral data")</f>
        <v>0</v>
      </c>
      <c r="C59" t="s">
        <v>54</v>
      </c>
      <c r="D59" t="s">
        <v>56</v>
      </c>
      <c r="E59" t="s">
        <v>66</v>
      </c>
      <c r="F59" t="s">
        <v>56</v>
      </c>
      <c r="G59" t="s">
        <v>56</v>
      </c>
      <c r="H59" t="s">
        <v>74</v>
      </c>
      <c r="I59">
        <v>6</v>
      </c>
    </row>
    <row r="60" spans="1:9">
      <c r="A60" t="s">
        <v>139</v>
      </c>
      <c r="B60">
        <f>HYPERLINK("https://edu.epfl.ch/studyplan/en/master/computer-science-cybersecurity/coursebook/markov-chains-and-algorithmic-applications-COM-516", "Markov chains and algorithmic applications")</f>
        <v>0</v>
      </c>
      <c r="C60" t="s">
        <v>54</v>
      </c>
      <c r="D60" t="s">
        <v>177</v>
      </c>
      <c r="E60" t="s">
        <v>56</v>
      </c>
      <c r="F60" t="s">
        <v>56</v>
      </c>
      <c r="G60" t="s">
        <v>56</v>
      </c>
      <c r="H60" t="s">
        <v>75</v>
      </c>
      <c r="I60">
        <v>6</v>
      </c>
    </row>
    <row r="61" spans="1:9">
      <c r="A61" t="s">
        <v>140</v>
      </c>
      <c r="B61">
        <f>HYPERLINK("https://edu.epfl.ch/studyplan/en/master/computer-science-cybersecurity/coursebook/mathematical-foundations-of-signal-processing-COM-514", "Mathematical foundations of signal processing")</f>
        <v>0</v>
      </c>
      <c r="C61" t="s">
        <v>54</v>
      </c>
      <c r="D61" t="s">
        <v>64</v>
      </c>
      <c r="E61" t="s">
        <v>56</v>
      </c>
      <c r="F61" t="s">
        <v>56</v>
      </c>
      <c r="G61" t="s">
        <v>56</v>
      </c>
      <c r="H61" t="s">
        <v>75</v>
      </c>
      <c r="I61">
        <v>6</v>
      </c>
    </row>
    <row r="62" spans="1:9">
      <c r="A62" t="s">
        <v>87</v>
      </c>
      <c r="B62">
        <f>HYPERLINK("https://edu.epfl.ch/studyplan/en/master/computer-science-cybersecurity/coursebook/mobile-networks-COM-405", "Mobile networks")</f>
        <v>0</v>
      </c>
      <c r="C62" t="s">
        <v>54</v>
      </c>
      <c r="D62" t="s">
        <v>56</v>
      </c>
      <c r="E62" t="s">
        <v>64</v>
      </c>
      <c r="F62" t="s">
        <v>56</v>
      </c>
      <c r="G62" t="s">
        <v>56</v>
      </c>
      <c r="H62" t="s">
        <v>74</v>
      </c>
      <c r="I62">
        <v>8</v>
      </c>
    </row>
    <row r="63" spans="1:9">
      <c r="A63" t="s">
        <v>88</v>
      </c>
      <c r="B63">
        <f>HYPERLINK("https://edu.epfl.ch/studyplan/en/master/computer-science-cybersecurity/coursebook/modern-digital-communications-a-hands-on-approach-COM-430", "Modern digital communications: a hands-on approach")</f>
        <v>0</v>
      </c>
      <c r="C63" t="s">
        <v>54</v>
      </c>
      <c r="D63" t="s">
        <v>66</v>
      </c>
      <c r="E63" t="s">
        <v>56</v>
      </c>
      <c r="F63" t="s">
        <v>56</v>
      </c>
      <c r="G63" t="s">
        <v>56</v>
      </c>
      <c r="H63" t="s">
        <v>77</v>
      </c>
      <c r="I63">
        <v>8</v>
      </c>
    </row>
    <row r="64" spans="1:9">
      <c r="A64" t="s">
        <v>142</v>
      </c>
      <c r="B64">
        <f>HYPERLINK("https://edu.epfl.ch/studyplan/en/master/computer-science-cybersecurity/coursebook/networks-out-of-control-COM-512", "Networks out of control")</f>
        <v>0</v>
      </c>
      <c r="C64" t="s">
        <v>54</v>
      </c>
      <c r="D64" t="s">
        <v>56</v>
      </c>
      <c r="E64" t="s">
        <v>61</v>
      </c>
      <c r="F64" t="s">
        <v>56</v>
      </c>
      <c r="G64" t="s">
        <v>56</v>
      </c>
      <c r="H64" t="s">
        <v>74</v>
      </c>
      <c r="I64">
        <v>6</v>
      </c>
    </row>
    <row r="65" spans="1:9">
      <c r="A65" t="s">
        <v>143</v>
      </c>
      <c r="B65">
        <f>HYPERLINK("https://edu.epfl.ch/studyplan/en/master/computer-science-cybersecurity/coursebook/number-theory-ii-c-cryptography-MATH-489", "Number theory II.c - Cryptography")</f>
        <v>0</v>
      </c>
      <c r="C65" t="s">
        <v>54</v>
      </c>
      <c r="D65" t="s">
        <v>56</v>
      </c>
      <c r="E65" t="s">
        <v>57</v>
      </c>
      <c r="F65" t="s">
        <v>56</v>
      </c>
      <c r="G65" t="s">
        <v>56</v>
      </c>
      <c r="H65" t="s">
        <v>74</v>
      </c>
      <c r="I65">
        <v>5</v>
      </c>
    </row>
    <row r="66" spans="1:9">
      <c r="A66" t="s">
        <v>144</v>
      </c>
      <c r="B66">
        <f>HYPERLINK("https://edu.epfl.ch/studyplan/en/master/computer-science-cybersecurity/coursebook/optimization-for-machine-learning-CS-439", "Optimization for machine learning")</f>
        <v>0</v>
      </c>
      <c r="C66" t="s">
        <v>54</v>
      </c>
      <c r="D66" t="s">
        <v>56</v>
      </c>
      <c r="E66" t="s">
        <v>171</v>
      </c>
      <c r="F66" t="s">
        <v>56</v>
      </c>
      <c r="G66" t="s">
        <v>56</v>
      </c>
      <c r="H66" t="s">
        <v>74</v>
      </c>
      <c r="I66">
        <v>8</v>
      </c>
    </row>
    <row r="67" spans="1:9">
      <c r="A67" t="s">
        <v>195</v>
      </c>
      <c r="B67">
        <f>HYPERLINK("https://edu.epfl.ch/studyplan/en/master/computer-science-cybersecurity/coursebook/optional-research-project-in-computer-science-ii-CS-596", "Optional research project in computer science II")</f>
        <v>0</v>
      </c>
      <c r="C67" t="s">
        <v>54</v>
      </c>
      <c r="D67" t="s">
        <v>70</v>
      </c>
      <c r="E67" t="s">
        <v>70</v>
      </c>
      <c r="F67" t="s">
        <v>56</v>
      </c>
      <c r="G67" t="s">
        <v>56</v>
      </c>
      <c r="H67" t="s">
        <v>78</v>
      </c>
      <c r="I67">
        <v>8</v>
      </c>
    </row>
    <row r="68" spans="1:9">
      <c r="A68" t="s">
        <v>146</v>
      </c>
      <c r="B68">
        <f>HYPERLINK("https://edu.epfl.ch/studyplan/en/master/computer-science-cybersecurity/coursebook/principles-of-computer-systems-CS-522", "Principles of computer systems")</f>
        <v>0</v>
      </c>
      <c r="C68" t="s">
        <v>54</v>
      </c>
      <c r="D68" t="s">
        <v>169</v>
      </c>
      <c r="E68" t="s">
        <v>56</v>
      </c>
      <c r="F68" t="s">
        <v>56</v>
      </c>
      <c r="G68" t="s">
        <v>56</v>
      </c>
      <c r="H68" t="s">
        <v>77</v>
      </c>
      <c r="I68">
        <v>8</v>
      </c>
    </row>
    <row r="69" spans="1:9">
      <c r="A69" t="s">
        <v>147</v>
      </c>
      <c r="B69">
        <f>HYPERLINK("https://edu.epfl.ch/studyplan/en/master/computer-science-cybersecurity/coursebook/project-management-and-risk-analysis-MGT-427", "Project management and risk analysis")</f>
        <v>0</v>
      </c>
      <c r="C69" t="s">
        <v>55</v>
      </c>
      <c r="D69" t="s">
        <v>68</v>
      </c>
      <c r="E69" t="s">
        <v>56</v>
      </c>
      <c r="F69" t="s">
        <v>56</v>
      </c>
      <c r="G69" t="s">
        <v>56</v>
      </c>
      <c r="H69" t="s">
        <v>77</v>
      </c>
      <c r="I69">
        <v>4</v>
      </c>
    </row>
    <row r="70" spans="1:9">
      <c r="A70" t="s">
        <v>148</v>
      </c>
      <c r="B70">
        <f>HYPERLINK("https://edu.epfl.ch/studyplan/en/master/computer-science-cybersecurity/coursebook/social-media-EE-593", "Social media")</f>
        <v>0</v>
      </c>
      <c r="C70" t="s">
        <v>54</v>
      </c>
      <c r="D70" t="s">
        <v>56</v>
      </c>
      <c r="E70" t="s">
        <v>182</v>
      </c>
      <c r="F70" t="s">
        <v>56</v>
      </c>
      <c r="G70" t="s">
        <v>56</v>
      </c>
      <c r="H70" t="s">
        <v>76</v>
      </c>
      <c r="I70">
        <v>2</v>
      </c>
    </row>
    <row r="71" spans="1:9">
      <c r="A71" t="s">
        <v>149</v>
      </c>
      <c r="B71">
        <f>HYPERLINK("https://edu.epfl.ch/studyplan/en/master/computer-science-cybersecurity/coursebook/software-security-CS-412", "Software security")</f>
        <v>0</v>
      </c>
      <c r="C71" t="s">
        <v>54</v>
      </c>
      <c r="D71" t="s">
        <v>56</v>
      </c>
      <c r="E71" t="s">
        <v>181</v>
      </c>
      <c r="F71" t="s">
        <v>56</v>
      </c>
      <c r="G71" t="s">
        <v>56</v>
      </c>
      <c r="H71" t="s">
        <v>76</v>
      </c>
      <c r="I71">
        <v>6</v>
      </c>
    </row>
    <row r="72" spans="1:9">
      <c r="A72" t="s">
        <v>151</v>
      </c>
      <c r="B72">
        <f>HYPERLINK("https://edu.epfl.ch/studyplan/en/master/computer-science-cybersecurity/coursebook/statistical-physics-of-computation-PHYS-512", "Statistical physics of computation")</f>
        <v>0</v>
      </c>
      <c r="C72" t="s">
        <v>54</v>
      </c>
      <c r="D72" t="s">
        <v>57</v>
      </c>
      <c r="E72" t="s">
        <v>56</v>
      </c>
      <c r="F72" t="s">
        <v>56</v>
      </c>
      <c r="G72" t="s">
        <v>56</v>
      </c>
      <c r="H72" t="s">
        <v>75</v>
      </c>
      <c r="I72">
        <v>4</v>
      </c>
    </row>
    <row r="73" spans="1:9">
      <c r="A73" t="s">
        <v>89</v>
      </c>
      <c r="B73">
        <f>HYPERLINK("https://edu.epfl.ch/studyplan/en/master/computer-science-cybersecurity/coursebook/statistical-signal-and-data-processing-through-applications-COM-500", "Statistical signal and data processing through applications")</f>
        <v>0</v>
      </c>
      <c r="C73" t="s">
        <v>54</v>
      </c>
      <c r="D73" t="s">
        <v>56</v>
      </c>
      <c r="E73" t="s">
        <v>64</v>
      </c>
      <c r="F73" t="s">
        <v>56</v>
      </c>
      <c r="G73" t="s">
        <v>56</v>
      </c>
      <c r="H73" t="s">
        <v>74</v>
      </c>
      <c r="I73">
        <v>8</v>
      </c>
    </row>
    <row r="74" spans="1:9">
      <c r="A74" t="s">
        <v>153</v>
      </c>
      <c r="B74">
        <f>HYPERLINK("https://edu.epfl.ch/studyplan/en/master/computer-science-cybersecurity/coursebook/student-seminar-security-protocols-and-applications-COM-506", "Student seminar: security protocols and applications")</f>
        <v>0</v>
      </c>
      <c r="C74" t="s">
        <v>54</v>
      </c>
      <c r="D74" t="s">
        <v>56</v>
      </c>
      <c r="E74" t="s">
        <v>183</v>
      </c>
      <c r="F74" t="s">
        <v>56</v>
      </c>
      <c r="G74" t="s">
        <v>56</v>
      </c>
      <c r="H74" t="s">
        <v>76</v>
      </c>
      <c r="I74">
        <v>3</v>
      </c>
    </row>
    <row r="75" spans="1:9">
      <c r="A75" t="s">
        <v>154</v>
      </c>
      <c r="B75">
        <f>HYPERLINK("https://edu.epfl.ch/studyplan/en/master/computer-science-cybersecurity/coursebook/sublinear-algorithms-for-big-data-analysis-CS-448", "Sublinear algorithms for big data analysis")</f>
        <v>0</v>
      </c>
      <c r="C75" t="s">
        <v>54</v>
      </c>
      <c r="D75" t="s">
        <v>61</v>
      </c>
      <c r="E75" t="s">
        <v>56</v>
      </c>
      <c r="F75" t="s">
        <v>56</v>
      </c>
      <c r="G75" t="s">
        <v>56</v>
      </c>
      <c r="H75" t="s">
        <v>77</v>
      </c>
      <c r="I75">
        <v>6</v>
      </c>
    </row>
    <row r="76" spans="1:9">
      <c r="A76" t="s">
        <v>155</v>
      </c>
      <c r="B76">
        <f>HYPERLINK("https://edu.epfl.ch/studyplan/en/master/computer-science-cybersecurity/coursebook/system-programming-for-systems-on-chip-CS-473", "System programming for Systems-on-chip")</f>
        <v>0</v>
      </c>
      <c r="C76" t="s">
        <v>54</v>
      </c>
      <c r="D76" t="s">
        <v>66</v>
      </c>
      <c r="E76" t="s">
        <v>56</v>
      </c>
      <c r="F76" t="s">
        <v>56</v>
      </c>
      <c r="G76" t="s">
        <v>56</v>
      </c>
      <c r="H76" t="s">
        <v>77</v>
      </c>
      <c r="I76">
        <v>6</v>
      </c>
    </row>
    <row r="77" spans="1:9">
      <c r="A77" t="s">
        <v>158</v>
      </c>
      <c r="B77">
        <f>HYPERLINK("https://edu.epfl.ch/studyplan/en/master/computer-science-cybersecurity/coursebook/topics-in-software-security-CS-510", "Topics in software security")</f>
        <v>0</v>
      </c>
      <c r="C77" t="s">
        <v>54</v>
      </c>
      <c r="D77" t="s">
        <v>178</v>
      </c>
      <c r="E77" t="s">
        <v>56</v>
      </c>
      <c r="F77" t="s">
        <v>56</v>
      </c>
      <c r="G77" t="s">
        <v>56</v>
      </c>
      <c r="H77" t="s">
        <v>77</v>
      </c>
      <c r="I77">
        <v>3</v>
      </c>
    </row>
    <row r="78" spans="1:9">
      <c r="A78" t="s">
        <v>159</v>
      </c>
      <c r="B78">
        <f>HYPERLINK("https://edu.epfl.ch/studyplan/en/master/computer-science-cybersecurity/coursebook/topics-in-theoretical-computer-science-CS-455", "Topics in theoretical computer science")</f>
        <v>0</v>
      </c>
      <c r="C78" t="s">
        <v>54</v>
      </c>
      <c r="D78" t="s">
        <v>69</v>
      </c>
      <c r="E78" t="s">
        <v>56</v>
      </c>
      <c r="F78" t="s">
        <v>56</v>
      </c>
      <c r="G78" t="s">
        <v>56</v>
      </c>
      <c r="H78" t="s">
        <v>77</v>
      </c>
      <c r="I78">
        <v>6</v>
      </c>
    </row>
    <row r="79" spans="1:9">
      <c r="A79" t="s">
        <v>160</v>
      </c>
      <c r="B79">
        <f>HYPERLINK("https://edu.epfl.ch/studyplan/en/master/computer-science-cybersecurity/coursebook/virtual-reality-CS-444", "Virtual reality")</f>
        <v>0</v>
      </c>
      <c r="C79" t="s">
        <v>54</v>
      </c>
      <c r="D79" t="s">
        <v>56</v>
      </c>
      <c r="E79" t="s">
        <v>61</v>
      </c>
      <c r="F79" t="s">
        <v>56</v>
      </c>
      <c r="G79" t="s">
        <v>56</v>
      </c>
      <c r="H79" t="s">
        <v>76</v>
      </c>
      <c r="I79">
        <v>6</v>
      </c>
    </row>
    <row r="80" spans="1:9">
      <c r="A80" t="s">
        <v>196</v>
      </c>
      <c r="B80">
        <f>HYPERLINK("https://edu.epfl.ch/studyplan/en/master/computer-science-cybersecurity/coursebook/internship-credited-with-master-project-master-in-cybersecurity-CS-594", "Internship credited with Master Project (master in Cybersecurity)")</f>
        <v>0</v>
      </c>
      <c r="C80" t="s">
        <v>54</v>
      </c>
      <c r="D80" t="s">
        <v>179</v>
      </c>
      <c r="E80" t="s">
        <v>179</v>
      </c>
      <c r="F80" t="s">
        <v>179</v>
      </c>
      <c r="G80" t="s">
        <v>179</v>
      </c>
      <c r="H80" t="s">
        <v>190</v>
      </c>
      <c r="I80">
        <v>0</v>
      </c>
    </row>
    <row r="81" spans="1:9">
      <c r="A81" t="s">
        <v>197</v>
      </c>
      <c r="B81">
        <f>HYPERLINK("https://edu.epfl.ch/studyplan/en/master/computer-science-cybersecurity/coursebook/master-project-in-cybersecurity-CS-597", "Master project in Cybersecurity")</f>
        <v>0</v>
      </c>
      <c r="C81" t="s">
        <v>54</v>
      </c>
      <c r="D81" t="s">
        <v>56</v>
      </c>
      <c r="E81" t="s">
        <v>56</v>
      </c>
      <c r="F81" t="s">
        <v>185</v>
      </c>
      <c r="G81" t="s">
        <v>185</v>
      </c>
      <c r="H81" t="s">
        <v>191</v>
      </c>
      <c r="I8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53</v>
      </c>
      <c r="B2">
        <f>HYPERLINK("https://edu.epfl.ch/studyplan/en/master/humanities-and-social-sciences-program", "HSS : Introduction to project")</f>
        <v>0</v>
      </c>
      <c r="C2" t="s">
        <v>164</v>
      </c>
      <c r="D2" t="s">
        <v>56</v>
      </c>
      <c r="E2" t="s">
        <v>56</v>
      </c>
      <c r="F2" t="s">
        <v>56</v>
      </c>
      <c r="G2" t="s">
        <v>56</v>
      </c>
      <c r="H2" t="s">
        <v>186</v>
      </c>
      <c r="I2">
        <v>3</v>
      </c>
    </row>
    <row r="3" spans="1:9">
      <c r="A3" t="s">
        <v>53</v>
      </c>
      <c r="B3">
        <f>HYPERLINK("https://edu.epfl.ch/studyplan/en/master/humanities-and-social-sciences-program", "HSS : Project")</f>
        <v>0</v>
      </c>
      <c r="C3" t="s">
        <v>164</v>
      </c>
      <c r="D3" t="s">
        <v>56</v>
      </c>
      <c r="E3" t="s">
        <v>56</v>
      </c>
      <c r="F3" t="s">
        <v>56</v>
      </c>
      <c r="G3" t="s">
        <v>56</v>
      </c>
      <c r="H3" t="s">
        <v>187</v>
      </c>
      <c r="I3">
        <v>3</v>
      </c>
    </row>
    <row r="4" spans="1:9">
      <c r="A4" t="s">
        <v>199</v>
      </c>
      <c r="B4">
        <f>HYPERLINK("https://edu.epfl.ch/studyplan/en/master/computer-science/coursebook/research-project-in-computer-science-ii-CS-498", "Research project in Computer Science II")</f>
        <v>0</v>
      </c>
      <c r="C4" t="s">
        <v>54</v>
      </c>
      <c r="D4" t="s">
        <v>165</v>
      </c>
      <c r="E4" t="s">
        <v>165</v>
      </c>
      <c r="F4" t="s">
        <v>56</v>
      </c>
      <c r="G4" t="s">
        <v>56</v>
      </c>
      <c r="H4" t="s">
        <v>78</v>
      </c>
      <c r="I4">
        <v>12</v>
      </c>
    </row>
    <row r="5" spans="1:9">
      <c r="A5" t="s">
        <v>92</v>
      </c>
      <c r="B5">
        <f>HYPERLINK("https://edu.epfl.ch/studyplan/en/master/computer-science/coursebook/advanced-computer-architecture-CS-470", "Advanced computer architecture")</f>
        <v>0</v>
      </c>
      <c r="C5" t="s">
        <v>54</v>
      </c>
      <c r="D5" t="s">
        <v>56</v>
      </c>
      <c r="E5" t="s">
        <v>172</v>
      </c>
      <c r="F5" t="s">
        <v>56</v>
      </c>
      <c r="G5" t="s">
        <v>56</v>
      </c>
      <c r="H5" t="s">
        <v>74</v>
      </c>
      <c r="I5">
        <v>8</v>
      </c>
    </row>
    <row r="6" spans="1:9">
      <c r="A6" t="s">
        <v>81</v>
      </c>
      <c r="B6">
        <f>HYPERLINK("https://edu.epfl.ch/studyplan/en/master/computer-science/coursebook/algorithms-ii-CS-450", "Algorithms II")</f>
        <v>0</v>
      </c>
      <c r="C6" t="s">
        <v>54</v>
      </c>
      <c r="D6" t="s">
        <v>166</v>
      </c>
      <c r="E6" t="s">
        <v>56</v>
      </c>
      <c r="F6" t="s">
        <v>56</v>
      </c>
      <c r="G6" t="s">
        <v>56</v>
      </c>
      <c r="H6" t="s">
        <v>75</v>
      </c>
      <c r="I6">
        <v>8</v>
      </c>
    </row>
    <row r="7" spans="1:9">
      <c r="A7" t="s">
        <v>82</v>
      </c>
      <c r="B7">
        <f>HYPERLINK("https://edu.epfl.ch/studyplan/en/master/computer-science/coursebook/cryptography-and-security-COM-401", "Cryptography and security")</f>
        <v>0</v>
      </c>
      <c r="C7" t="s">
        <v>54</v>
      </c>
      <c r="D7" t="s">
        <v>60</v>
      </c>
      <c r="E7" t="s">
        <v>56</v>
      </c>
      <c r="F7" t="s">
        <v>56</v>
      </c>
      <c r="G7" t="s">
        <v>56</v>
      </c>
      <c r="H7" t="s">
        <v>75</v>
      </c>
      <c r="I7">
        <v>8</v>
      </c>
    </row>
    <row r="8" spans="1:9">
      <c r="A8" t="s">
        <v>115</v>
      </c>
      <c r="B8">
        <f>HYPERLINK("https://edu.epfl.ch/studyplan/en/master/computer-science/coursebook/decentralized-systems-engineering-CS-438", "Decentralized systems engineering")</f>
        <v>0</v>
      </c>
      <c r="C8" t="s">
        <v>54</v>
      </c>
      <c r="D8" t="s">
        <v>67</v>
      </c>
      <c r="E8" t="s">
        <v>56</v>
      </c>
      <c r="F8" t="s">
        <v>56</v>
      </c>
      <c r="G8" t="s">
        <v>56</v>
      </c>
      <c r="H8" t="s">
        <v>188</v>
      </c>
      <c r="I8">
        <v>8</v>
      </c>
    </row>
    <row r="9" spans="1:9">
      <c r="A9" t="s">
        <v>83</v>
      </c>
      <c r="B9">
        <f>HYPERLINK("https://edu.epfl.ch/studyplan/en/master/computer-science/coursebook/distributed-algorithms-CS-451", "Distributed algorithms")</f>
        <v>0</v>
      </c>
      <c r="C9" t="s">
        <v>54</v>
      </c>
      <c r="D9" t="s">
        <v>167</v>
      </c>
      <c r="E9" t="s">
        <v>56</v>
      </c>
      <c r="F9" t="s">
        <v>56</v>
      </c>
      <c r="G9" t="s">
        <v>56</v>
      </c>
      <c r="H9" t="s">
        <v>75</v>
      </c>
      <c r="I9">
        <v>8</v>
      </c>
    </row>
    <row r="10" spans="1:9">
      <c r="A10" t="s">
        <v>84</v>
      </c>
      <c r="B10">
        <f>HYPERLINK("https://edu.epfl.ch/studyplan/en/master/computer-science/coursebook/information-security-and-privacy-COM-402", "Information security and privacy")</f>
        <v>0</v>
      </c>
      <c r="C10" t="s">
        <v>54</v>
      </c>
      <c r="D10" t="s">
        <v>168</v>
      </c>
      <c r="E10" t="s">
        <v>56</v>
      </c>
      <c r="F10" t="s">
        <v>56</v>
      </c>
      <c r="G10" t="s">
        <v>56</v>
      </c>
      <c r="H10" t="s">
        <v>75</v>
      </c>
      <c r="I10">
        <v>8</v>
      </c>
    </row>
    <row r="11" spans="1:9">
      <c r="A11" t="s">
        <v>86</v>
      </c>
      <c r="B11">
        <f>HYPERLINK("https://edu.epfl.ch/studyplan/en/master/computer-science/coursebook/machine-learning-CS-433", "Machine learning")</f>
        <v>0</v>
      </c>
      <c r="C11" t="s">
        <v>54</v>
      </c>
      <c r="D11" t="s">
        <v>60</v>
      </c>
      <c r="E11" t="s">
        <v>56</v>
      </c>
      <c r="F11" t="s">
        <v>56</v>
      </c>
      <c r="G11" t="s">
        <v>56</v>
      </c>
      <c r="H11" t="s">
        <v>75</v>
      </c>
      <c r="I11">
        <v>8</v>
      </c>
    </row>
    <row r="12" spans="1:9">
      <c r="A12" t="s">
        <v>141</v>
      </c>
      <c r="B12">
        <f>HYPERLINK("https://edu.epfl.ch/studyplan/en/master/computer-science/coursebook/modern-natural-language-processing-CS-552", "Modern natural language processing")</f>
        <v>0</v>
      </c>
      <c r="C12" t="s">
        <v>54</v>
      </c>
      <c r="D12" t="s">
        <v>56</v>
      </c>
      <c r="E12" t="s">
        <v>181</v>
      </c>
      <c r="F12" t="s">
        <v>56</v>
      </c>
      <c r="G12" t="s">
        <v>56</v>
      </c>
      <c r="H12" t="s">
        <v>76</v>
      </c>
      <c r="I12">
        <v>8</v>
      </c>
    </row>
    <row r="13" spans="1:9">
      <c r="A13" t="s">
        <v>156</v>
      </c>
      <c r="B13">
        <f>HYPERLINK("https://edu.epfl.ch/studyplan/en/master/computer-science/coursebook/systems-for-data-management-and-data-science-CS-460", "Systems for data management and data science")</f>
        <v>0</v>
      </c>
      <c r="C13" t="s">
        <v>54</v>
      </c>
      <c r="D13" t="s">
        <v>56</v>
      </c>
      <c r="E13" t="s">
        <v>67</v>
      </c>
      <c r="F13" t="s">
        <v>56</v>
      </c>
      <c r="G13" t="s">
        <v>56</v>
      </c>
      <c r="H13" t="s">
        <v>74</v>
      </c>
      <c r="I13">
        <v>8</v>
      </c>
    </row>
    <row r="14" spans="1:9">
      <c r="A14" t="s">
        <v>90</v>
      </c>
      <c r="B14">
        <f>HYPERLINK("https://edu.epfl.ch/studyplan/en/master/computer-science/coursebook/tcp-ip-networking-COM-407", "TCP/IP networking")</f>
        <v>0</v>
      </c>
      <c r="C14" t="s">
        <v>54</v>
      </c>
      <c r="D14" t="s">
        <v>67</v>
      </c>
      <c r="E14" t="s">
        <v>56</v>
      </c>
      <c r="F14" t="s">
        <v>56</v>
      </c>
      <c r="G14" t="s">
        <v>56</v>
      </c>
      <c r="H14" t="s">
        <v>75</v>
      </c>
      <c r="I14">
        <v>8</v>
      </c>
    </row>
    <row r="15" spans="1:9">
      <c r="A15" t="s">
        <v>91</v>
      </c>
      <c r="B15">
        <f>HYPERLINK("https://edu.epfl.ch/studyplan/en/master/computer-science/coursebook/advanced-compiler-construction-CS-420", "Advanced compiler construction")</f>
        <v>0</v>
      </c>
      <c r="C15" t="s">
        <v>54</v>
      </c>
      <c r="D15" t="s">
        <v>56</v>
      </c>
      <c r="E15" t="s">
        <v>66</v>
      </c>
      <c r="F15" t="s">
        <v>56</v>
      </c>
      <c r="G15" t="s">
        <v>56</v>
      </c>
      <c r="H15" t="s">
        <v>76</v>
      </c>
      <c r="I15">
        <v>6</v>
      </c>
    </row>
    <row r="16" spans="1:9">
      <c r="A16" t="s">
        <v>93</v>
      </c>
      <c r="B16">
        <f>HYPERLINK("https://edu.epfl.ch/studyplan/en/master/computer-science/coursebook/advanced-computer-graphics-CS-440", "Advanced computer graphics")</f>
        <v>0</v>
      </c>
      <c r="C16" t="s">
        <v>54</v>
      </c>
      <c r="D16" t="s">
        <v>56</v>
      </c>
      <c r="E16" t="s">
        <v>57</v>
      </c>
      <c r="F16" t="s">
        <v>56</v>
      </c>
      <c r="G16" t="s">
        <v>56</v>
      </c>
      <c r="H16" t="s">
        <v>76</v>
      </c>
      <c r="I16">
        <v>6</v>
      </c>
    </row>
    <row r="17" spans="1:9">
      <c r="A17" t="s">
        <v>94</v>
      </c>
      <c r="B17">
        <f>HYPERLINK("https://edu.epfl.ch/studyplan/en/master/computer-science/coursebook/advanced-cryptography-COM-501", "Advanced cryptography")</f>
        <v>0</v>
      </c>
      <c r="C17" t="s">
        <v>54</v>
      </c>
      <c r="D17" t="s">
        <v>56</v>
      </c>
      <c r="E17" t="s">
        <v>57</v>
      </c>
      <c r="F17" t="s">
        <v>56</v>
      </c>
      <c r="G17" t="s">
        <v>56</v>
      </c>
      <c r="H17" t="s">
        <v>74</v>
      </c>
      <c r="I17">
        <v>6</v>
      </c>
    </row>
    <row r="18" spans="1:9">
      <c r="A18" t="s">
        <v>95</v>
      </c>
      <c r="B18">
        <f>HYPERLINK("https://edu.epfl.ch/studyplan/en/master/computer-science/coursebook/advanced-multiprocessor-architecture-CS-471", "Advanced multiprocessor architecture")</f>
        <v>0</v>
      </c>
      <c r="C18" t="s">
        <v>54</v>
      </c>
      <c r="D18" t="s">
        <v>169</v>
      </c>
      <c r="E18" t="s">
        <v>56</v>
      </c>
      <c r="F18" t="s">
        <v>56</v>
      </c>
      <c r="G18" t="s">
        <v>56</v>
      </c>
      <c r="H18" t="s">
        <v>77</v>
      </c>
      <c r="I18">
        <v>6</v>
      </c>
    </row>
    <row r="19" spans="1:9">
      <c r="A19" t="s">
        <v>80</v>
      </c>
      <c r="B19">
        <f>HYPERLINK("https://edu.epfl.ch/studyplan/en/master/computer-science/coursebook/advanced-probability-and-applications-COM-417", "Advanced probability and applications")</f>
        <v>0</v>
      </c>
      <c r="C19" t="s">
        <v>54</v>
      </c>
      <c r="D19" t="s">
        <v>56</v>
      </c>
      <c r="E19" t="s">
        <v>60</v>
      </c>
      <c r="F19" t="s">
        <v>56</v>
      </c>
      <c r="G19" t="s">
        <v>56</v>
      </c>
      <c r="H19" t="s">
        <v>74</v>
      </c>
      <c r="I19">
        <v>8</v>
      </c>
    </row>
    <row r="20" spans="1:9">
      <c r="A20" t="s">
        <v>96</v>
      </c>
      <c r="B20">
        <f>HYPERLINK("https://edu.epfl.ch/studyplan/en/master/computer-science/coursebook/advanced-topics-on-privacy-enhancing-technologies-CS-523", "Advanced topics on privacy enhancing technologies")</f>
        <v>0</v>
      </c>
      <c r="C20" t="s">
        <v>54</v>
      </c>
      <c r="D20" t="s">
        <v>56</v>
      </c>
      <c r="E20" t="s">
        <v>168</v>
      </c>
      <c r="F20" t="s">
        <v>56</v>
      </c>
      <c r="G20" t="s">
        <v>56</v>
      </c>
      <c r="H20" t="s">
        <v>74</v>
      </c>
      <c r="I20">
        <v>8</v>
      </c>
    </row>
    <row r="21" spans="1:9">
      <c r="A21" t="s">
        <v>97</v>
      </c>
      <c r="B21">
        <f>HYPERLINK("https://edu.epfl.ch/studyplan/en/master/computer-science/coursebook/ai-product-management-CS-500", "AI product management")</f>
        <v>0</v>
      </c>
      <c r="C21" t="s">
        <v>54</v>
      </c>
      <c r="D21" t="s">
        <v>170</v>
      </c>
      <c r="E21" t="s">
        <v>56</v>
      </c>
      <c r="F21" t="s">
        <v>56</v>
      </c>
      <c r="G21" t="s">
        <v>56</v>
      </c>
      <c r="H21" t="s">
        <v>77</v>
      </c>
      <c r="I21">
        <v>6</v>
      </c>
    </row>
    <row r="22" spans="1:9">
      <c r="A22" t="s">
        <v>98</v>
      </c>
      <c r="B22">
        <f>HYPERLINK("https://edu.epfl.ch/studyplan/en/master/computer-science/coursebook/applied-biomedical-signal-processing-EE-512", "Applied biomedical signal processing")</f>
        <v>0</v>
      </c>
      <c r="C22" t="s">
        <v>54</v>
      </c>
      <c r="D22" t="s">
        <v>66</v>
      </c>
      <c r="E22" t="s">
        <v>56</v>
      </c>
      <c r="F22" t="s">
        <v>56</v>
      </c>
      <c r="G22" t="s">
        <v>56</v>
      </c>
      <c r="H22" t="s">
        <v>75</v>
      </c>
      <c r="I22">
        <v>4</v>
      </c>
    </row>
    <row r="23" spans="1:9">
      <c r="A23" t="s">
        <v>99</v>
      </c>
      <c r="B23">
        <f>HYPERLINK("https://edu.epfl.ch/studyplan/en/master/computer-science/coursebook/applied-biostatistics-MATH-493", "Applied biostatistics")</f>
        <v>0</v>
      </c>
      <c r="C23" t="s">
        <v>54</v>
      </c>
      <c r="D23" t="s">
        <v>56</v>
      </c>
      <c r="E23" t="s">
        <v>57</v>
      </c>
      <c r="F23" t="s">
        <v>56</v>
      </c>
      <c r="G23" t="s">
        <v>56</v>
      </c>
      <c r="H23" t="s">
        <v>76</v>
      </c>
      <c r="I23">
        <v>5</v>
      </c>
    </row>
    <row r="24" spans="1:9">
      <c r="A24" t="s">
        <v>100</v>
      </c>
      <c r="B24">
        <f>HYPERLINK("https://edu.epfl.ch/studyplan/en/master/computer-science/coursebook/applied-data-analysis-CS-401", "Applied data analysis")</f>
        <v>0</v>
      </c>
      <c r="C24" t="s">
        <v>54</v>
      </c>
      <c r="D24" t="s">
        <v>66</v>
      </c>
      <c r="E24" t="s">
        <v>56</v>
      </c>
      <c r="F24" t="s">
        <v>56</v>
      </c>
      <c r="G24" t="s">
        <v>56</v>
      </c>
      <c r="H24" t="s">
        <v>75</v>
      </c>
      <c r="I24">
        <v>8</v>
      </c>
    </row>
    <row r="25" spans="1:9">
      <c r="A25" t="s">
        <v>101</v>
      </c>
      <c r="B25">
        <f>HYPERLINK("https://edu.epfl.ch/studyplan/en/master/computer-science/coursebook/artificial-neural-networks-reinforcement-learning-CS-456", "Artificial neural networks/reinforcement learning")</f>
        <v>0</v>
      </c>
      <c r="C25" t="s">
        <v>54</v>
      </c>
      <c r="D25" t="s">
        <v>56</v>
      </c>
      <c r="E25" t="s">
        <v>57</v>
      </c>
      <c r="F25" t="s">
        <v>56</v>
      </c>
      <c r="G25" t="s">
        <v>56</v>
      </c>
      <c r="H25" t="s">
        <v>74</v>
      </c>
      <c r="I25">
        <v>6</v>
      </c>
    </row>
    <row r="26" spans="1:9">
      <c r="A26" t="s">
        <v>102</v>
      </c>
      <c r="B26">
        <f>HYPERLINK("https://edu.epfl.ch/studyplan/en/master/computer-science/coursebook/automatic-speech-processing-EE-554", "Automatic speech processing")</f>
        <v>0</v>
      </c>
      <c r="C26" t="s">
        <v>54</v>
      </c>
      <c r="D26" t="s">
        <v>61</v>
      </c>
      <c r="E26" t="s">
        <v>56</v>
      </c>
      <c r="F26" t="s">
        <v>56</v>
      </c>
      <c r="G26" t="s">
        <v>56</v>
      </c>
      <c r="H26" t="s">
        <v>75</v>
      </c>
      <c r="I26">
        <v>3</v>
      </c>
    </row>
    <row r="27" spans="1:9">
      <c r="A27" t="s">
        <v>103</v>
      </c>
      <c r="B27">
        <f>HYPERLINK("https://edu.epfl.ch/studyplan/en/master/computer-science/coursebook/basics-of-mobile-robotics-MICRO-452", "Basics of mobile robotics")</f>
        <v>0</v>
      </c>
      <c r="C27" t="s">
        <v>54</v>
      </c>
      <c r="D27" t="s">
        <v>57</v>
      </c>
      <c r="E27" t="s">
        <v>56</v>
      </c>
      <c r="F27" t="s">
        <v>56</v>
      </c>
      <c r="G27" t="s">
        <v>56</v>
      </c>
      <c r="H27" t="s">
        <v>75</v>
      </c>
      <c r="I27">
        <v>4</v>
      </c>
    </row>
    <row r="28" spans="1:9">
      <c r="A28" t="s">
        <v>104</v>
      </c>
      <c r="B28">
        <f>HYPERLINK("https://edu.epfl.ch/studyplan/en/master/computer-science/coursebook/bioimage-informatics-BIO-410", "Bioimage informatics")</f>
        <v>0</v>
      </c>
      <c r="C28" t="s">
        <v>54</v>
      </c>
      <c r="D28" t="s">
        <v>56</v>
      </c>
      <c r="E28" t="s">
        <v>66</v>
      </c>
      <c r="F28" t="s">
        <v>56</v>
      </c>
      <c r="G28" t="s">
        <v>56</v>
      </c>
      <c r="H28" t="s">
        <v>74</v>
      </c>
      <c r="I28">
        <v>4</v>
      </c>
    </row>
    <row r="29" spans="1:9">
      <c r="A29" t="s">
        <v>105</v>
      </c>
      <c r="B29">
        <f>HYPERLINK("https://edu.epfl.ch/studyplan/en/master/computer-science/coursebook/causal-inference-MGT-416", "Causal inference")</f>
        <v>0</v>
      </c>
      <c r="C29" t="s">
        <v>54</v>
      </c>
      <c r="D29" t="s">
        <v>56</v>
      </c>
      <c r="E29" t="s">
        <v>61</v>
      </c>
      <c r="F29" t="s">
        <v>56</v>
      </c>
      <c r="G29" t="s">
        <v>56</v>
      </c>
      <c r="H29" t="s">
        <v>76</v>
      </c>
      <c r="I29">
        <v>4</v>
      </c>
    </row>
    <row r="30" spans="1:9">
      <c r="A30" t="s">
        <v>106</v>
      </c>
      <c r="B30">
        <f>HYPERLINK("https://edu.epfl.ch/studyplan/en/master/computer-science/coursebook/causal-thinking-MATH-352", "Causal thinking")</f>
        <v>0</v>
      </c>
      <c r="C30" t="s">
        <v>54</v>
      </c>
      <c r="D30" t="s">
        <v>57</v>
      </c>
      <c r="E30" t="s">
        <v>56</v>
      </c>
      <c r="F30" t="s">
        <v>56</v>
      </c>
      <c r="G30" t="s">
        <v>56</v>
      </c>
      <c r="H30" t="s">
        <v>75</v>
      </c>
      <c r="I30">
        <v>5</v>
      </c>
    </row>
    <row r="31" spans="1:9">
      <c r="A31" t="s">
        <v>107</v>
      </c>
      <c r="B31">
        <f>HYPERLINK("https://edu.epfl.ch/studyplan/en/master/computer-science/coursebook/cellular-biology-and-biochemistry-for-engineers-BIO-105", "Cellular biology and biochemistry for engineers")</f>
        <v>0</v>
      </c>
      <c r="C31" t="s">
        <v>54</v>
      </c>
      <c r="D31" t="s">
        <v>57</v>
      </c>
      <c r="E31" t="s">
        <v>56</v>
      </c>
      <c r="F31" t="s">
        <v>56</v>
      </c>
      <c r="G31" t="s">
        <v>56</v>
      </c>
      <c r="H31" t="s">
        <v>75</v>
      </c>
      <c r="I31">
        <v>4</v>
      </c>
    </row>
    <row r="32" spans="1:9">
      <c r="A32" t="s">
        <v>108</v>
      </c>
      <c r="B32">
        <f>HYPERLINK("https://edu.epfl.ch/studyplan/en/master/computer-science/coursebook/computational-complexity-CS-524", "Computational complexity")</f>
        <v>0</v>
      </c>
      <c r="C32" t="s">
        <v>54</v>
      </c>
      <c r="D32" t="s">
        <v>57</v>
      </c>
      <c r="E32" t="s">
        <v>56</v>
      </c>
      <c r="F32" t="s">
        <v>56</v>
      </c>
      <c r="G32" t="s">
        <v>56</v>
      </c>
      <c r="H32" t="s">
        <v>77</v>
      </c>
      <c r="I32">
        <v>6</v>
      </c>
    </row>
    <row r="33" spans="1:9">
      <c r="A33" t="s">
        <v>109</v>
      </c>
      <c r="B33">
        <f>HYPERLINK("https://edu.epfl.ch/studyplan/en/master/computer-science/coursebook/computational-neurosciences-neuronal-dynamics-NX-465", "Computational neurosciences: neuronal dynamics")</f>
        <v>0</v>
      </c>
      <c r="C33" t="s">
        <v>54</v>
      </c>
      <c r="D33" t="s">
        <v>56</v>
      </c>
      <c r="E33" t="s">
        <v>57</v>
      </c>
      <c r="F33" t="s">
        <v>56</v>
      </c>
      <c r="G33" t="s">
        <v>56</v>
      </c>
      <c r="H33" t="s">
        <v>74</v>
      </c>
      <c r="I33">
        <v>5</v>
      </c>
    </row>
    <row r="34" spans="1:9">
      <c r="A34" t="s">
        <v>110</v>
      </c>
      <c r="B34">
        <f>HYPERLINK("https://edu.epfl.ch/studyplan/en/master/computer-science/coursebook/computational-photography-CS-413", "Computational photography")</f>
        <v>0</v>
      </c>
      <c r="C34" t="s">
        <v>54</v>
      </c>
      <c r="D34" t="s">
        <v>56</v>
      </c>
      <c r="E34" t="s">
        <v>66</v>
      </c>
      <c r="F34" t="s">
        <v>56</v>
      </c>
      <c r="G34" t="s">
        <v>56</v>
      </c>
      <c r="H34" t="s">
        <v>76</v>
      </c>
      <c r="I34">
        <v>6</v>
      </c>
    </row>
    <row r="35" spans="1:9">
      <c r="A35" t="s">
        <v>111</v>
      </c>
      <c r="B35">
        <f>HYPERLINK("https://edu.epfl.ch/studyplan/en/master/computer-science/coursebook/computers-and-music-COM-418", "Computers and music")</f>
        <v>0</v>
      </c>
      <c r="C35" t="s">
        <v>54</v>
      </c>
      <c r="D35" t="s">
        <v>56</v>
      </c>
      <c r="E35" t="s">
        <v>61</v>
      </c>
      <c r="F35" t="s">
        <v>56</v>
      </c>
      <c r="G35" t="s">
        <v>56</v>
      </c>
      <c r="H35" t="s">
        <v>76</v>
      </c>
      <c r="I35">
        <v>6</v>
      </c>
    </row>
    <row r="36" spans="1:9">
      <c r="A36" t="s">
        <v>112</v>
      </c>
      <c r="B36">
        <f>HYPERLINK("https://edu.epfl.ch/studyplan/en/master/computer-science/coursebook/computer-vision-CS-442", "Computer vision")</f>
        <v>0</v>
      </c>
      <c r="C36" t="s">
        <v>54</v>
      </c>
      <c r="D36" t="s">
        <v>56</v>
      </c>
      <c r="E36" t="s">
        <v>61</v>
      </c>
      <c r="F36" t="s">
        <v>56</v>
      </c>
      <c r="G36" t="s">
        <v>56</v>
      </c>
      <c r="H36" t="s">
        <v>74</v>
      </c>
      <c r="I36">
        <v>6</v>
      </c>
    </row>
    <row r="37" spans="1:9">
      <c r="A37" t="s">
        <v>113</v>
      </c>
      <c r="B37">
        <f>HYPERLINK("https://edu.epfl.ch/studyplan/en/master/computer-science/coursebook/concurrent-computing-CS-453", "Concurrent computing")</f>
        <v>0</v>
      </c>
      <c r="C37" t="s">
        <v>54</v>
      </c>
      <c r="D37" t="s">
        <v>63</v>
      </c>
      <c r="E37" t="s">
        <v>56</v>
      </c>
      <c r="F37" t="s">
        <v>56</v>
      </c>
      <c r="G37" t="s">
        <v>56</v>
      </c>
      <c r="H37" t="s">
        <v>75</v>
      </c>
      <c r="I37">
        <v>6</v>
      </c>
    </row>
    <row r="38" spans="1:9">
      <c r="A38" t="s">
        <v>114</v>
      </c>
      <c r="B38">
        <f>HYPERLINK("https://edu.epfl.ch/studyplan/en/master/computer-science/coursebook/data-visualization-COM-480", "Data visualization")</f>
        <v>0</v>
      </c>
      <c r="C38" t="s">
        <v>54</v>
      </c>
      <c r="D38" t="s">
        <v>56</v>
      </c>
      <c r="E38" t="s">
        <v>66</v>
      </c>
      <c r="F38" t="s">
        <v>56</v>
      </c>
      <c r="G38" t="s">
        <v>56</v>
      </c>
      <c r="H38" t="s">
        <v>76</v>
      </c>
      <c r="I38">
        <v>6</v>
      </c>
    </row>
    <row r="39" spans="1:9">
      <c r="A39" t="s">
        <v>116</v>
      </c>
      <c r="B39">
        <f>HYPERLINK("https://edu.epfl.ch/studyplan/en/master/computer-science/coursebook/deep-learning-EE-559", "Deep learning")</f>
        <v>0</v>
      </c>
      <c r="C39" t="s">
        <v>54</v>
      </c>
      <c r="D39" t="s">
        <v>56</v>
      </c>
      <c r="E39" t="s">
        <v>57</v>
      </c>
      <c r="F39" t="s">
        <v>56</v>
      </c>
      <c r="G39" t="s">
        <v>56</v>
      </c>
      <c r="H39" t="s">
        <v>76</v>
      </c>
      <c r="I39">
        <v>4</v>
      </c>
    </row>
    <row r="40" spans="1:9">
      <c r="A40" t="s">
        <v>117</v>
      </c>
      <c r="B40">
        <f>HYPERLINK("https://edu.epfl.ch/studyplan/en/master/computer-science/coursebook/deep-learning-in-biomedicine-CS-502", "Deep learning in biomedicine")</f>
        <v>0</v>
      </c>
      <c r="C40" t="s">
        <v>54</v>
      </c>
      <c r="D40" t="s">
        <v>171</v>
      </c>
      <c r="E40" t="s">
        <v>56</v>
      </c>
      <c r="F40" t="s">
        <v>56</v>
      </c>
      <c r="G40" t="s">
        <v>56</v>
      </c>
      <c r="H40" t="s">
        <v>77</v>
      </c>
      <c r="I40">
        <v>6</v>
      </c>
    </row>
    <row r="41" spans="1:9">
      <c r="A41" t="s">
        <v>118</v>
      </c>
      <c r="B41">
        <f>HYPERLINK("https://edu.epfl.ch/studyplan/en/master/computer-science/coursebook/design-technologies-for-integrated-systems-CS-472", "Design technologies for integrated systems")</f>
        <v>0</v>
      </c>
      <c r="C41" t="s">
        <v>54</v>
      </c>
      <c r="D41" t="s">
        <v>172</v>
      </c>
      <c r="E41" t="s">
        <v>56</v>
      </c>
      <c r="F41" t="s">
        <v>56</v>
      </c>
      <c r="G41" t="s">
        <v>56</v>
      </c>
      <c r="H41" t="s">
        <v>77</v>
      </c>
      <c r="I41">
        <v>6</v>
      </c>
    </row>
    <row r="42" spans="1:9">
      <c r="A42" t="s">
        <v>119</v>
      </c>
      <c r="B42">
        <f>HYPERLINK("https://edu.epfl.ch/studyplan/en/master/computer-science/coursebook/digital-education-CS-411", "Digital education ")</f>
        <v>0</v>
      </c>
      <c r="C42" t="s">
        <v>54</v>
      </c>
      <c r="D42" t="s">
        <v>66</v>
      </c>
      <c r="E42" t="s">
        <v>56</v>
      </c>
      <c r="F42" t="s">
        <v>56</v>
      </c>
      <c r="G42" t="s">
        <v>56</v>
      </c>
      <c r="H42" t="s">
        <v>75</v>
      </c>
      <c r="I42">
        <v>6</v>
      </c>
    </row>
    <row r="43" spans="1:9">
      <c r="A43" t="s">
        <v>120</v>
      </c>
      <c r="B43">
        <f>HYPERLINK("https://edu.epfl.ch/studyplan/en/master/computer-science/coursebook/distributed-information-systems-CS-423", "Distributed information systems")</f>
        <v>0</v>
      </c>
      <c r="C43" t="s">
        <v>54</v>
      </c>
      <c r="D43" t="s">
        <v>61</v>
      </c>
      <c r="E43" t="s">
        <v>56</v>
      </c>
      <c r="F43" t="s">
        <v>56</v>
      </c>
      <c r="G43" t="s">
        <v>56</v>
      </c>
      <c r="H43" t="s">
        <v>75</v>
      </c>
      <c r="I43">
        <v>6</v>
      </c>
    </row>
    <row r="44" spans="1:9">
      <c r="A44" t="s">
        <v>121</v>
      </c>
      <c r="B44">
        <f>HYPERLINK("https://edu.epfl.ch/studyplan/en/master/computer-science/coursebook/distributed-intelligent-systems-ENG-466", "Distributed intelligent systems")</f>
        <v>0</v>
      </c>
      <c r="C44" t="s">
        <v>54</v>
      </c>
      <c r="D44" t="s">
        <v>56</v>
      </c>
      <c r="E44" t="s">
        <v>180</v>
      </c>
      <c r="F44" t="s">
        <v>56</v>
      </c>
      <c r="G44" t="s">
        <v>56</v>
      </c>
      <c r="H44" t="s">
        <v>189</v>
      </c>
      <c r="I44">
        <v>5</v>
      </c>
    </row>
    <row r="45" spans="1:9">
      <c r="A45" t="s">
        <v>122</v>
      </c>
      <c r="B45">
        <f>HYPERLINK("https://edu.epfl.ch/studyplan/en/master/computer-science/coursebook/dynamical-system-theory-for-engineers-COM-502", "Dynamical system theory for engineers")</f>
        <v>0</v>
      </c>
      <c r="C45" t="s">
        <v>54</v>
      </c>
      <c r="D45" t="s">
        <v>56</v>
      </c>
      <c r="E45" t="s">
        <v>61</v>
      </c>
      <c r="F45" t="s">
        <v>56</v>
      </c>
      <c r="G45" t="s">
        <v>56</v>
      </c>
      <c r="H45" t="s">
        <v>74</v>
      </c>
      <c r="I45">
        <v>6</v>
      </c>
    </row>
    <row r="46" spans="1:9">
      <c r="A46" t="s">
        <v>123</v>
      </c>
      <c r="B46">
        <f>HYPERLINK("https://edu.epfl.ch/studyplan/en/master/computer-science/coursebook/embedded-system-design-CS-476", "Embedded system design")</f>
        <v>0</v>
      </c>
      <c r="C46" t="s">
        <v>54</v>
      </c>
      <c r="D46" t="s">
        <v>56</v>
      </c>
      <c r="E46" t="s">
        <v>66</v>
      </c>
      <c r="F46" t="s">
        <v>56</v>
      </c>
      <c r="G46" t="s">
        <v>56</v>
      </c>
      <c r="H46" t="s">
        <v>76</v>
      </c>
      <c r="I46">
        <v>6</v>
      </c>
    </row>
    <row r="47" spans="1:9">
      <c r="A47" t="s">
        <v>124</v>
      </c>
      <c r="B47">
        <f>HYPERLINK("https://edu.epfl.ch/studyplan/en/master/computer-science/coursebook/ethics-and-law-of-ai-DH-415", "Ethics and law of AI")</f>
        <v>0</v>
      </c>
      <c r="C47" t="s">
        <v>54</v>
      </c>
      <c r="D47" t="s">
        <v>68</v>
      </c>
      <c r="E47" t="s">
        <v>56</v>
      </c>
      <c r="F47" t="s">
        <v>56</v>
      </c>
      <c r="G47" t="s">
        <v>56</v>
      </c>
      <c r="H47" t="s">
        <v>75</v>
      </c>
      <c r="I47">
        <v>4</v>
      </c>
    </row>
    <row r="48" spans="1:9">
      <c r="A48" t="s">
        <v>125</v>
      </c>
      <c r="B48">
        <f>HYPERLINK("https://edu.epfl.ch/studyplan/en/master/computer-science/coursebook/experience-design-CS-489", "Experience design")</f>
        <v>0</v>
      </c>
      <c r="C48" t="s">
        <v>54</v>
      </c>
      <c r="D48" t="s">
        <v>173</v>
      </c>
      <c r="E48" t="s">
        <v>56</v>
      </c>
      <c r="F48" t="s">
        <v>56</v>
      </c>
      <c r="G48" t="s">
        <v>56</v>
      </c>
      <c r="H48" t="s">
        <v>77</v>
      </c>
      <c r="I48">
        <v>6</v>
      </c>
    </row>
    <row r="49" spans="1:9">
      <c r="A49" t="s">
        <v>126</v>
      </c>
      <c r="B49">
        <f>HYPERLINK("https://edu.epfl.ch/studyplan/en/master/computer-science/coursebook/formal-verification-CS-550", "Formal verification")</f>
        <v>0</v>
      </c>
      <c r="C49" t="s">
        <v>54</v>
      </c>
      <c r="D49" t="s">
        <v>67</v>
      </c>
      <c r="E49" t="s">
        <v>56</v>
      </c>
      <c r="F49" t="s">
        <v>56</v>
      </c>
      <c r="G49" t="s">
        <v>56</v>
      </c>
      <c r="H49" t="s">
        <v>77</v>
      </c>
      <c r="I49">
        <v>6</v>
      </c>
    </row>
    <row r="50" spans="1:9">
      <c r="A50" t="s">
        <v>127</v>
      </c>
      <c r="B50">
        <f>HYPERLINK("https://edu.epfl.ch/studyplan/en/master/computer-science/coursebook/foundations-of-probabilistic-proofs-CS-459", "Foundations of probabilistic proofs")</f>
        <v>0</v>
      </c>
      <c r="C50" t="s">
        <v>54</v>
      </c>
      <c r="D50" t="s">
        <v>174</v>
      </c>
      <c r="E50" t="s">
        <v>56</v>
      </c>
      <c r="F50" t="s">
        <v>56</v>
      </c>
      <c r="G50" t="s">
        <v>56</v>
      </c>
      <c r="H50" t="s">
        <v>77</v>
      </c>
      <c r="I50">
        <v>6</v>
      </c>
    </row>
    <row r="51" spans="1:9">
      <c r="A51" t="s">
        <v>194</v>
      </c>
      <c r="B51">
        <f>HYPERLINK("https://edu.epfl.ch/studyplan/en/master/computer-science/coursebook/foundations-of-software-CS-452", "Foundations of software")</f>
        <v>0</v>
      </c>
      <c r="C51" t="s">
        <v>54</v>
      </c>
      <c r="D51" t="s">
        <v>57</v>
      </c>
      <c r="E51" t="s">
        <v>56</v>
      </c>
      <c r="F51" t="s">
        <v>56</v>
      </c>
      <c r="G51" t="s">
        <v>56</v>
      </c>
      <c r="H51" t="s">
        <v>75</v>
      </c>
      <c r="I51">
        <v>6</v>
      </c>
    </row>
    <row r="52" spans="1:9">
      <c r="A52" t="s">
        <v>128</v>
      </c>
      <c r="B52">
        <f>HYPERLINK("https://edu.epfl.ch/studyplan/en/master/computer-science/coursebook/geometric-computing-CS-457", "Geometric computing")</f>
        <v>0</v>
      </c>
      <c r="C52" t="s">
        <v>54</v>
      </c>
      <c r="D52" t="s">
        <v>172</v>
      </c>
      <c r="E52" t="s">
        <v>56</v>
      </c>
      <c r="F52" t="s">
        <v>56</v>
      </c>
      <c r="G52" t="s">
        <v>56</v>
      </c>
      <c r="H52" t="s">
        <v>75</v>
      </c>
      <c r="I52">
        <v>6</v>
      </c>
    </row>
    <row r="53" spans="1:9">
      <c r="A53" t="s">
        <v>129</v>
      </c>
      <c r="B53">
        <f>HYPERLINK("https://edu.epfl.ch/studyplan/en/master/computer-science/coursebook/godel-and-recursivity-MATH-483", "Gödel and recursivity")</f>
        <v>0</v>
      </c>
      <c r="C53" t="s">
        <v>54</v>
      </c>
      <c r="D53" t="s">
        <v>57</v>
      </c>
      <c r="E53" t="s">
        <v>56</v>
      </c>
      <c r="F53" t="s">
        <v>56</v>
      </c>
      <c r="G53" t="s">
        <v>56</v>
      </c>
      <c r="H53" t="s">
        <v>75</v>
      </c>
      <c r="I53">
        <v>5</v>
      </c>
    </row>
    <row r="54" spans="1:9">
      <c r="A54" t="s">
        <v>130</v>
      </c>
      <c r="B54">
        <f>HYPERLINK("https://edu.epfl.ch/studyplan/en/master/computer-science/coursebook/image-processing-i-MICRO-511", "Image processing I")</f>
        <v>0</v>
      </c>
      <c r="C54" t="s">
        <v>54</v>
      </c>
      <c r="D54" t="s">
        <v>175</v>
      </c>
      <c r="E54" t="s">
        <v>56</v>
      </c>
      <c r="F54" t="s">
        <v>56</v>
      </c>
      <c r="G54" t="s">
        <v>56</v>
      </c>
      <c r="H54" t="s">
        <v>75</v>
      </c>
      <c r="I54">
        <v>3</v>
      </c>
    </row>
    <row r="55" spans="1:9">
      <c r="A55" t="s">
        <v>131</v>
      </c>
      <c r="B55">
        <f>HYPERLINK("https://edu.epfl.ch/studyplan/en/master/computer-science/coursebook/image-processing-ii-MICRO-512", "Image processing II")</f>
        <v>0</v>
      </c>
      <c r="C55" t="s">
        <v>54</v>
      </c>
      <c r="D55" t="s">
        <v>56</v>
      </c>
      <c r="E55" t="s">
        <v>175</v>
      </c>
      <c r="F55" t="s">
        <v>56</v>
      </c>
      <c r="G55" t="s">
        <v>56</v>
      </c>
      <c r="H55" t="s">
        <v>74</v>
      </c>
      <c r="I55">
        <v>3</v>
      </c>
    </row>
    <row r="56" spans="1:9">
      <c r="A56" t="s">
        <v>132</v>
      </c>
      <c r="B56">
        <f>HYPERLINK("https://edu.epfl.ch/studyplan/en/master/computer-science/coursebook/industrial-automation-CS-487", "Industrial automation")</f>
        <v>0</v>
      </c>
      <c r="C56" t="s">
        <v>54</v>
      </c>
      <c r="D56" t="s">
        <v>56</v>
      </c>
      <c r="E56" t="s">
        <v>68</v>
      </c>
      <c r="F56" t="s">
        <v>56</v>
      </c>
      <c r="G56" t="s">
        <v>56</v>
      </c>
      <c r="H56" t="s">
        <v>189</v>
      </c>
      <c r="I56">
        <v>3</v>
      </c>
    </row>
    <row r="57" spans="1:9">
      <c r="A57" t="s">
        <v>85</v>
      </c>
      <c r="B57">
        <f>HYPERLINK("https://edu.epfl.ch/studyplan/en/master/computer-science/coursebook/information-theory-and-coding-COM-404", "Information theory and coding")</f>
        <v>0</v>
      </c>
      <c r="C57" t="s">
        <v>54</v>
      </c>
      <c r="D57" t="s">
        <v>60</v>
      </c>
      <c r="E57" t="s">
        <v>56</v>
      </c>
      <c r="F57" t="s">
        <v>56</v>
      </c>
      <c r="G57" t="s">
        <v>56</v>
      </c>
      <c r="H57" t="s">
        <v>75</v>
      </c>
      <c r="I57">
        <v>8</v>
      </c>
    </row>
    <row r="58" spans="1:9">
      <c r="A58" t="s">
        <v>133</v>
      </c>
      <c r="B58">
        <f>HYPERLINK("https://edu.epfl.ch/studyplan/en/master/computer-science/coursebook/intelligent-agents-CS-430", "Intelligent agents")</f>
        <v>0</v>
      </c>
      <c r="C58" t="s">
        <v>54</v>
      </c>
      <c r="D58" t="s">
        <v>72</v>
      </c>
      <c r="E58" t="s">
        <v>56</v>
      </c>
      <c r="F58" t="s">
        <v>56</v>
      </c>
      <c r="G58" t="s">
        <v>56</v>
      </c>
      <c r="H58" t="s">
        <v>77</v>
      </c>
      <c r="I58">
        <v>6</v>
      </c>
    </row>
    <row r="59" spans="1:9">
      <c r="A59" t="s">
        <v>134</v>
      </c>
      <c r="B59">
        <f>HYPERLINK("https://edu.epfl.ch/studyplan/en/master/computer-science/coursebook/interaction-design-CS-486", "Interaction design")</f>
        <v>0</v>
      </c>
      <c r="C59" t="s">
        <v>54</v>
      </c>
      <c r="D59" t="s">
        <v>56</v>
      </c>
      <c r="E59" t="s">
        <v>177</v>
      </c>
      <c r="F59" t="s">
        <v>56</v>
      </c>
      <c r="G59" t="s">
        <v>56</v>
      </c>
      <c r="H59" t="s">
        <v>76</v>
      </c>
      <c r="I59">
        <v>6</v>
      </c>
    </row>
    <row r="60" spans="1:9">
      <c r="A60" t="s">
        <v>135</v>
      </c>
      <c r="B60">
        <f>HYPERLINK("https://edu.epfl.ch/studyplan/en/master/computer-science/coursebook/introduction-to-it-consulting-CS-491", "Introduction to IT consulting")</f>
        <v>0</v>
      </c>
      <c r="C60" t="s">
        <v>54</v>
      </c>
      <c r="D60" t="s">
        <v>176</v>
      </c>
      <c r="E60" t="s">
        <v>56</v>
      </c>
      <c r="F60" t="s">
        <v>56</v>
      </c>
      <c r="G60" t="s">
        <v>56</v>
      </c>
      <c r="H60" t="s">
        <v>188</v>
      </c>
      <c r="I60">
        <v>6</v>
      </c>
    </row>
    <row r="61" spans="1:9">
      <c r="A61" t="s">
        <v>136</v>
      </c>
      <c r="B61">
        <f>HYPERLINK("https://edu.epfl.ch/studyplan/en/master/computer-science/coursebook/introduction-to-natural-language-processing-CS-431", "Introduction to natural language processing")</f>
        <v>0</v>
      </c>
      <c r="C61" t="s">
        <v>54</v>
      </c>
      <c r="D61" t="s">
        <v>57</v>
      </c>
      <c r="E61" t="s">
        <v>56</v>
      </c>
      <c r="F61" t="s">
        <v>56</v>
      </c>
      <c r="G61" t="s">
        <v>56</v>
      </c>
      <c r="H61" t="s">
        <v>75</v>
      </c>
      <c r="I61">
        <v>6</v>
      </c>
    </row>
    <row r="62" spans="1:9">
      <c r="A62" t="s">
        <v>137</v>
      </c>
      <c r="B62">
        <f>HYPERLINK("https://edu.epfl.ch/studyplan/en/master/computer-science/coursebook/learning-theory-CS-526", "Learning theory")</f>
        <v>0</v>
      </c>
      <c r="C62" t="s">
        <v>54</v>
      </c>
      <c r="D62" t="s">
        <v>56</v>
      </c>
      <c r="E62" t="s">
        <v>57</v>
      </c>
      <c r="F62" t="s">
        <v>56</v>
      </c>
      <c r="G62" t="s">
        <v>56</v>
      </c>
      <c r="H62" t="s">
        <v>74</v>
      </c>
      <c r="I62">
        <v>6</v>
      </c>
    </row>
    <row r="63" spans="1:9">
      <c r="A63" t="s">
        <v>138</v>
      </c>
      <c r="B63">
        <f>HYPERLINK("https://edu.epfl.ch/studyplan/en/master/computer-science/coursebook/machine-learning-for-behavioral-data-CS-421", "Machine learning for behavioral data")</f>
        <v>0</v>
      </c>
      <c r="C63" t="s">
        <v>54</v>
      </c>
      <c r="D63" t="s">
        <v>56</v>
      </c>
      <c r="E63" t="s">
        <v>66</v>
      </c>
      <c r="F63" t="s">
        <v>56</v>
      </c>
      <c r="G63" t="s">
        <v>56</v>
      </c>
      <c r="H63" t="s">
        <v>74</v>
      </c>
      <c r="I63">
        <v>6</v>
      </c>
    </row>
    <row r="64" spans="1:9">
      <c r="A64" t="s">
        <v>139</v>
      </c>
      <c r="B64">
        <f>HYPERLINK("https://edu.epfl.ch/studyplan/en/master/computer-science/coursebook/markov-chains-and-algorithmic-applications-COM-516", "Markov chains and algorithmic applications")</f>
        <v>0</v>
      </c>
      <c r="C64" t="s">
        <v>54</v>
      </c>
      <c r="D64" t="s">
        <v>177</v>
      </c>
      <c r="E64" t="s">
        <v>56</v>
      </c>
      <c r="F64" t="s">
        <v>56</v>
      </c>
      <c r="G64" t="s">
        <v>56</v>
      </c>
      <c r="H64" t="s">
        <v>75</v>
      </c>
      <c r="I64">
        <v>6</v>
      </c>
    </row>
    <row r="65" spans="1:9">
      <c r="A65" t="s">
        <v>140</v>
      </c>
      <c r="B65">
        <f>HYPERLINK("https://edu.epfl.ch/studyplan/en/master/computer-science/coursebook/mathematical-foundations-of-signal-processing-COM-514", "Mathematical foundations of signal processing")</f>
        <v>0</v>
      </c>
      <c r="C65" t="s">
        <v>54</v>
      </c>
      <c r="D65" t="s">
        <v>64</v>
      </c>
      <c r="E65" t="s">
        <v>56</v>
      </c>
      <c r="F65" t="s">
        <v>56</v>
      </c>
      <c r="G65" t="s">
        <v>56</v>
      </c>
      <c r="H65" t="s">
        <v>75</v>
      </c>
      <c r="I65">
        <v>6</v>
      </c>
    </row>
    <row r="66" spans="1:9">
      <c r="A66" t="s">
        <v>87</v>
      </c>
      <c r="B66">
        <f>HYPERLINK("https://edu.epfl.ch/studyplan/en/master/computer-science/coursebook/mobile-networks-COM-405", "Mobile networks")</f>
        <v>0</v>
      </c>
      <c r="C66" t="s">
        <v>54</v>
      </c>
      <c r="D66" t="s">
        <v>56</v>
      </c>
      <c r="E66" t="s">
        <v>64</v>
      </c>
      <c r="F66" t="s">
        <v>56</v>
      </c>
      <c r="G66" t="s">
        <v>56</v>
      </c>
      <c r="H66" t="s">
        <v>74</v>
      </c>
      <c r="I66">
        <v>8</v>
      </c>
    </row>
    <row r="67" spans="1:9">
      <c r="A67" t="s">
        <v>88</v>
      </c>
      <c r="B67">
        <f>HYPERLINK("https://edu.epfl.ch/studyplan/en/master/computer-science/coursebook/modern-digital-communications-a-hands-on-approach-COM-430", "Modern digital communications: a hands-on approach")</f>
        <v>0</v>
      </c>
      <c r="C67" t="s">
        <v>54</v>
      </c>
      <c r="D67" t="s">
        <v>66</v>
      </c>
      <c r="E67" t="s">
        <v>56</v>
      </c>
      <c r="F67" t="s">
        <v>56</v>
      </c>
      <c r="G67" t="s">
        <v>56</v>
      </c>
      <c r="H67" t="s">
        <v>77</v>
      </c>
      <c r="I67">
        <v>8</v>
      </c>
    </row>
    <row r="68" spans="1:9">
      <c r="A68" t="s">
        <v>142</v>
      </c>
      <c r="B68">
        <f>HYPERLINK("https://edu.epfl.ch/studyplan/en/master/computer-science/coursebook/networks-out-of-control-COM-512", "Networks out of control")</f>
        <v>0</v>
      </c>
      <c r="C68" t="s">
        <v>54</v>
      </c>
      <c r="D68" t="s">
        <v>56</v>
      </c>
      <c r="E68" t="s">
        <v>61</v>
      </c>
      <c r="F68" t="s">
        <v>56</v>
      </c>
      <c r="G68" t="s">
        <v>56</v>
      </c>
      <c r="H68" t="s">
        <v>74</v>
      </c>
      <c r="I68">
        <v>6</v>
      </c>
    </row>
    <row r="69" spans="1:9">
      <c r="A69" t="s">
        <v>143</v>
      </c>
      <c r="B69">
        <f>HYPERLINK("https://edu.epfl.ch/studyplan/en/master/computer-science/coursebook/number-theory-ii-c-cryptography-MATH-489", "Number theory II.c - Cryptography")</f>
        <v>0</v>
      </c>
      <c r="C69" t="s">
        <v>54</v>
      </c>
      <c r="D69" t="s">
        <v>56</v>
      </c>
      <c r="E69" t="s">
        <v>57</v>
      </c>
      <c r="F69" t="s">
        <v>56</v>
      </c>
      <c r="G69" t="s">
        <v>56</v>
      </c>
      <c r="H69" t="s">
        <v>74</v>
      </c>
      <c r="I69">
        <v>5</v>
      </c>
    </row>
    <row r="70" spans="1:9">
      <c r="A70" t="s">
        <v>144</v>
      </c>
      <c r="B70">
        <f>HYPERLINK("https://edu.epfl.ch/studyplan/en/master/computer-science/coursebook/optimization-for-machine-learning-CS-439", "Optimization for machine learning")</f>
        <v>0</v>
      </c>
      <c r="C70" t="s">
        <v>54</v>
      </c>
      <c r="D70" t="s">
        <v>56</v>
      </c>
      <c r="E70" t="s">
        <v>171</v>
      </c>
      <c r="F70" t="s">
        <v>56</v>
      </c>
      <c r="G70" t="s">
        <v>56</v>
      </c>
      <c r="H70" t="s">
        <v>74</v>
      </c>
      <c r="I70">
        <v>8</v>
      </c>
    </row>
    <row r="71" spans="1:9">
      <c r="A71" t="s">
        <v>195</v>
      </c>
      <c r="B71">
        <f>HYPERLINK("https://edu.epfl.ch/studyplan/en/master/computer-science/coursebook/optional-research-project-in-computer-science-ii-CS-596", "Optional research project in computer science II")</f>
        <v>0</v>
      </c>
      <c r="C71" t="s">
        <v>54</v>
      </c>
      <c r="D71" t="s">
        <v>70</v>
      </c>
      <c r="E71" t="s">
        <v>70</v>
      </c>
      <c r="F71" t="s">
        <v>56</v>
      </c>
      <c r="G71" t="s">
        <v>56</v>
      </c>
      <c r="H71" t="s">
        <v>78</v>
      </c>
      <c r="I71">
        <v>8</v>
      </c>
    </row>
    <row r="72" spans="1:9">
      <c r="A72" t="s">
        <v>146</v>
      </c>
      <c r="B72">
        <f>HYPERLINK("https://edu.epfl.ch/studyplan/en/master/computer-science/coursebook/principles-of-computer-systems-CS-522", "Principles of computer systems")</f>
        <v>0</v>
      </c>
      <c r="C72" t="s">
        <v>54</v>
      </c>
      <c r="D72" t="s">
        <v>169</v>
      </c>
      <c r="E72" t="s">
        <v>56</v>
      </c>
      <c r="F72" t="s">
        <v>56</v>
      </c>
      <c r="G72" t="s">
        <v>56</v>
      </c>
      <c r="H72" t="s">
        <v>77</v>
      </c>
      <c r="I72">
        <v>8</v>
      </c>
    </row>
    <row r="73" spans="1:9">
      <c r="A73" t="s">
        <v>147</v>
      </c>
      <c r="B73">
        <f>HYPERLINK("https://edu.epfl.ch/studyplan/en/master/computer-science/coursebook/project-management-and-risk-analysis-MGT-427", "Project management and risk analysis")</f>
        <v>0</v>
      </c>
      <c r="C73" t="s">
        <v>55</v>
      </c>
      <c r="D73" t="s">
        <v>68</v>
      </c>
      <c r="E73" t="s">
        <v>56</v>
      </c>
      <c r="F73" t="s">
        <v>56</v>
      </c>
      <c r="G73" t="s">
        <v>56</v>
      </c>
      <c r="H73" t="s">
        <v>77</v>
      </c>
      <c r="I73">
        <v>4</v>
      </c>
    </row>
    <row r="74" spans="1:9">
      <c r="A74" t="s">
        <v>148</v>
      </c>
      <c r="B74">
        <f>HYPERLINK("https://edu.epfl.ch/studyplan/en/master/computer-science/coursebook/social-media-EE-593", "Social media")</f>
        <v>0</v>
      </c>
      <c r="C74" t="s">
        <v>54</v>
      </c>
      <c r="D74" t="s">
        <v>56</v>
      </c>
      <c r="E74" t="s">
        <v>182</v>
      </c>
      <c r="F74" t="s">
        <v>56</v>
      </c>
      <c r="G74" t="s">
        <v>56</v>
      </c>
      <c r="H74" t="s">
        <v>76</v>
      </c>
      <c r="I74">
        <v>2</v>
      </c>
    </row>
    <row r="75" spans="1:9">
      <c r="A75" t="s">
        <v>149</v>
      </c>
      <c r="B75">
        <f>HYPERLINK("https://edu.epfl.ch/studyplan/en/master/computer-science/coursebook/software-security-CS-412", "Software security")</f>
        <v>0</v>
      </c>
      <c r="C75" t="s">
        <v>54</v>
      </c>
      <c r="D75" t="s">
        <v>56</v>
      </c>
      <c r="E75" t="s">
        <v>181</v>
      </c>
      <c r="F75" t="s">
        <v>56</v>
      </c>
      <c r="G75" t="s">
        <v>56</v>
      </c>
      <c r="H75" t="s">
        <v>76</v>
      </c>
      <c r="I75">
        <v>6</v>
      </c>
    </row>
    <row r="76" spans="1:9">
      <c r="A76" t="s">
        <v>151</v>
      </c>
      <c r="B76">
        <f>HYPERLINK("https://edu.epfl.ch/studyplan/en/master/computer-science/coursebook/statistical-physics-of-computation-PHYS-512", "Statistical physics of computation")</f>
        <v>0</v>
      </c>
      <c r="C76" t="s">
        <v>54</v>
      </c>
      <c r="D76" t="s">
        <v>57</v>
      </c>
      <c r="E76" t="s">
        <v>56</v>
      </c>
      <c r="F76" t="s">
        <v>56</v>
      </c>
      <c r="G76" t="s">
        <v>56</v>
      </c>
      <c r="H76" t="s">
        <v>75</v>
      </c>
      <c r="I76">
        <v>4</v>
      </c>
    </row>
    <row r="77" spans="1:9">
      <c r="A77" t="s">
        <v>89</v>
      </c>
      <c r="B77">
        <f>HYPERLINK("https://edu.epfl.ch/studyplan/en/master/computer-science/coursebook/statistical-signal-and-data-processing-through-applications-COM-500", "Statistical signal and data processing through applications")</f>
        <v>0</v>
      </c>
      <c r="C77" t="s">
        <v>54</v>
      </c>
      <c r="D77" t="s">
        <v>56</v>
      </c>
      <c r="E77" t="s">
        <v>64</v>
      </c>
      <c r="F77" t="s">
        <v>56</v>
      </c>
      <c r="G77" t="s">
        <v>56</v>
      </c>
      <c r="H77" t="s">
        <v>74</v>
      </c>
      <c r="I77">
        <v>8</v>
      </c>
    </row>
    <row r="78" spans="1:9">
      <c r="A78" t="s">
        <v>153</v>
      </c>
      <c r="B78">
        <f>HYPERLINK("https://edu.epfl.ch/studyplan/en/master/computer-science/coursebook/student-seminar-security-protocols-and-applications-COM-506", "Student seminar: security protocols and applications")</f>
        <v>0</v>
      </c>
      <c r="C78" t="s">
        <v>54</v>
      </c>
      <c r="D78" t="s">
        <v>56</v>
      </c>
      <c r="E78" t="s">
        <v>183</v>
      </c>
      <c r="F78" t="s">
        <v>56</v>
      </c>
      <c r="G78" t="s">
        <v>56</v>
      </c>
      <c r="H78" t="s">
        <v>76</v>
      </c>
      <c r="I78">
        <v>3</v>
      </c>
    </row>
    <row r="79" spans="1:9">
      <c r="A79" t="s">
        <v>154</v>
      </c>
      <c r="B79">
        <f>HYPERLINK("https://edu.epfl.ch/studyplan/en/master/computer-science/coursebook/sublinear-algorithms-for-big-data-analysis-CS-448", "Sublinear algorithms for big data analysis")</f>
        <v>0</v>
      </c>
      <c r="C79" t="s">
        <v>54</v>
      </c>
      <c r="D79" t="s">
        <v>61</v>
      </c>
      <c r="E79" t="s">
        <v>56</v>
      </c>
      <c r="F79" t="s">
        <v>56</v>
      </c>
      <c r="G79" t="s">
        <v>56</v>
      </c>
      <c r="H79" t="s">
        <v>77</v>
      </c>
      <c r="I79">
        <v>6</v>
      </c>
    </row>
    <row r="80" spans="1:9">
      <c r="A80" t="s">
        <v>155</v>
      </c>
      <c r="B80">
        <f>HYPERLINK("https://edu.epfl.ch/studyplan/en/master/computer-science/coursebook/system-programming-for-systems-on-chip-CS-473", "System programming for Systems-on-chip")</f>
        <v>0</v>
      </c>
      <c r="C80" t="s">
        <v>54</v>
      </c>
      <c r="D80" t="s">
        <v>66</v>
      </c>
      <c r="E80" t="s">
        <v>56</v>
      </c>
      <c r="F80" t="s">
        <v>56</v>
      </c>
      <c r="G80" t="s">
        <v>56</v>
      </c>
      <c r="H80" t="s">
        <v>77</v>
      </c>
      <c r="I80">
        <v>6</v>
      </c>
    </row>
    <row r="81" spans="1:9">
      <c r="A81" t="s">
        <v>157</v>
      </c>
      <c r="B81">
        <f>HYPERLINK("https://edu.epfl.ch/studyplan/en/master/computer-science/coursebook/the-gc-maker-project-CS-458", "The GC maker project")</f>
        <v>0</v>
      </c>
      <c r="C81" t="s">
        <v>54</v>
      </c>
      <c r="D81" t="s">
        <v>56</v>
      </c>
      <c r="E81" t="s">
        <v>184</v>
      </c>
      <c r="F81" t="s">
        <v>56</v>
      </c>
      <c r="G81" t="s">
        <v>56</v>
      </c>
      <c r="H81" t="s">
        <v>76</v>
      </c>
      <c r="I81">
        <v>6</v>
      </c>
    </row>
    <row r="82" spans="1:9">
      <c r="A82" t="s">
        <v>158</v>
      </c>
      <c r="B82">
        <f>HYPERLINK("https://edu.epfl.ch/studyplan/en/master/computer-science/coursebook/topics-in-software-security-CS-510", "Topics in software security")</f>
        <v>0</v>
      </c>
      <c r="C82" t="s">
        <v>54</v>
      </c>
      <c r="D82" t="s">
        <v>178</v>
      </c>
      <c r="E82" t="s">
        <v>56</v>
      </c>
      <c r="F82" t="s">
        <v>56</v>
      </c>
      <c r="G82" t="s">
        <v>56</v>
      </c>
      <c r="H82" t="s">
        <v>77</v>
      </c>
      <c r="I82">
        <v>3</v>
      </c>
    </row>
    <row r="83" spans="1:9">
      <c r="A83" t="s">
        <v>159</v>
      </c>
      <c r="B83">
        <f>HYPERLINK("https://edu.epfl.ch/studyplan/en/master/computer-science/coursebook/topics-in-theoretical-computer-science-CS-455", "Topics in theoretical computer science")</f>
        <v>0</v>
      </c>
      <c r="C83" t="s">
        <v>54</v>
      </c>
      <c r="D83" t="s">
        <v>69</v>
      </c>
      <c r="E83" t="s">
        <v>56</v>
      </c>
      <c r="F83" t="s">
        <v>56</v>
      </c>
      <c r="G83" t="s">
        <v>56</v>
      </c>
      <c r="H83" t="s">
        <v>77</v>
      </c>
      <c r="I83">
        <v>6</v>
      </c>
    </row>
    <row r="84" spans="1:9">
      <c r="A84" t="s">
        <v>160</v>
      </c>
      <c r="B84">
        <f>HYPERLINK("https://edu.epfl.ch/studyplan/en/master/computer-science/coursebook/virtual-reality-CS-444", "Virtual reality")</f>
        <v>0</v>
      </c>
      <c r="C84" t="s">
        <v>54</v>
      </c>
      <c r="D84" t="s">
        <v>56</v>
      </c>
      <c r="E84" t="s">
        <v>61</v>
      </c>
      <c r="F84" t="s">
        <v>56</v>
      </c>
      <c r="G84" t="s">
        <v>56</v>
      </c>
      <c r="H84" t="s">
        <v>76</v>
      </c>
      <c r="I84">
        <v>6</v>
      </c>
    </row>
    <row r="85" spans="1:9">
      <c r="A85" t="s">
        <v>161</v>
      </c>
      <c r="B85">
        <f>HYPERLINK("https://edu.epfl.ch/studyplan/en/master/computer-science/coursebook/visual-intelligence-machines-and-minds-CS-503", "Visual intelligence : machines and minds")</f>
        <v>0</v>
      </c>
      <c r="C85" t="s">
        <v>54</v>
      </c>
      <c r="D85" t="s">
        <v>56</v>
      </c>
      <c r="E85" t="s">
        <v>57</v>
      </c>
      <c r="F85" t="s">
        <v>56</v>
      </c>
      <c r="G85" t="s">
        <v>56</v>
      </c>
      <c r="H85" t="s">
        <v>76</v>
      </c>
      <c r="I85">
        <v>6</v>
      </c>
    </row>
    <row r="86" spans="1:9">
      <c r="A86" t="s">
        <v>200</v>
      </c>
      <c r="B86">
        <f>HYPERLINK("https://edu.epfl.ch/studyplan/en/master/computer-science/coursebook/internship-credited-with-master-project-master-in-computer-science-CS-595", "Internship credited with Master Project (master in Computer Science)")</f>
        <v>0</v>
      </c>
      <c r="C86" t="s">
        <v>54</v>
      </c>
      <c r="D86" t="s">
        <v>179</v>
      </c>
      <c r="E86" t="s">
        <v>179</v>
      </c>
      <c r="F86" t="s">
        <v>179</v>
      </c>
      <c r="G86" t="s">
        <v>179</v>
      </c>
      <c r="H86" t="s">
        <v>190</v>
      </c>
      <c r="I86">
        <v>0</v>
      </c>
    </row>
    <row r="87" spans="1:9">
      <c r="A87" t="s">
        <v>201</v>
      </c>
      <c r="B87">
        <f>HYPERLINK("https://edu.epfl.ch/studyplan/en/master/computer-science/coursebook/master-project-in-computer-science-CS-599", "Master project in Computer Science")</f>
        <v>0</v>
      </c>
      <c r="C87" t="s">
        <v>54</v>
      </c>
      <c r="D87" t="s">
        <v>56</v>
      </c>
      <c r="E87" t="s">
        <v>56</v>
      </c>
      <c r="F87" t="s">
        <v>185</v>
      </c>
      <c r="G87" t="s">
        <v>185</v>
      </c>
      <c r="H87" t="s">
        <v>191</v>
      </c>
      <c r="I8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f>HYPERLINK("https://edu.epfl.ch/studyplan/en/bachelor/communication-systems/coursebook/algorithms-i-CS-250", "Algorithms I")</f>
        <v>0</v>
      </c>
      <c r="C2" t="s">
        <v>54</v>
      </c>
      <c r="D2" t="s">
        <v>56</v>
      </c>
      <c r="E2" t="s">
        <v>60</v>
      </c>
      <c r="F2" t="s">
        <v>56</v>
      </c>
      <c r="G2" t="s">
        <v>56</v>
      </c>
      <c r="H2" t="s">
        <v>74</v>
      </c>
      <c r="I2">
        <v>8</v>
      </c>
    </row>
    <row r="3" spans="1:9">
      <c r="A3" t="s">
        <v>10</v>
      </c>
      <c r="B3">
        <f>HYPERLINK("https://edu.epfl.ch/studyplan/en/bachelor/communication-systems/coursebook/analysis-iii-MATH-203-C", "Analysis III")</f>
        <v>0</v>
      </c>
      <c r="C3" t="s">
        <v>55</v>
      </c>
      <c r="D3" t="s">
        <v>57</v>
      </c>
      <c r="E3" t="s">
        <v>56</v>
      </c>
      <c r="F3" t="s">
        <v>56</v>
      </c>
      <c r="G3" t="s">
        <v>56</v>
      </c>
      <c r="H3" t="s">
        <v>75</v>
      </c>
      <c r="I3">
        <v>4</v>
      </c>
    </row>
    <row r="4" spans="1:9">
      <c r="A4" t="s">
        <v>21</v>
      </c>
      <c r="B4">
        <f>HYPERLINK("https://edu.epfl.ch/studyplan/en/bachelor/communication-systems/coursebook/analysis-iv-MATH-207-D", "Analysis IV")</f>
        <v>0</v>
      </c>
      <c r="C4" t="s">
        <v>55</v>
      </c>
      <c r="D4" t="s">
        <v>56</v>
      </c>
      <c r="E4" t="s">
        <v>57</v>
      </c>
      <c r="F4" t="s">
        <v>56</v>
      </c>
      <c r="G4" t="s">
        <v>56</v>
      </c>
      <c r="H4" t="s">
        <v>74</v>
      </c>
      <c r="I4">
        <v>4</v>
      </c>
    </row>
    <row r="5" spans="1:9">
      <c r="A5" t="s">
        <v>14</v>
      </c>
      <c r="B5">
        <f>HYPERLINK("https://edu.epfl.ch/studyplan/en/bachelor/communication-systems/coursebook/computer-networks-COM-208", "Computer networks")</f>
        <v>0</v>
      </c>
      <c r="C5" t="s">
        <v>54</v>
      </c>
      <c r="D5" t="s">
        <v>57</v>
      </c>
      <c r="E5" t="s">
        <v>56</v>
      </c>
      <c r="F5" t="s">
        <v>56</v>
      </c>
      <c r="G5" t="s">
        <v>56</v>
      </c>
      <c r="H5" t="s">
        <v>75</v>
      </c>
      <c r="I5">
        <v>5</v>
      </c>
    </row>
    <row r="6" spans="1:9">
      <c r="A6" t="s">
        <v>43</v>
      </c>
      <c r="B6">
        <f>HYPERLINK("https://edu.epfl.ch/studyplan/en/bachelor/communication-systems/coursebook/signal-processing-COM-202", "Signal processing")</f>
        <v>0</v>
      </c>
      <c r="C6" t="s">
        <v>54</v>
      </c>
      <c r="D6" t="s">
        <v>62</v>
      </c>
      <c r="E6" t="s">
        <v>56</v>
      </c>
      <c r="F6" t="s">
        <v>56</v>
      </c>
      <c r="G6" t="s">
        <v>56</v>
      </c>
      <c r="H6" t="s">
        <v>75</v>
      </c>
      <c r="I6">
        <v>8</v>
      </c>
    </row>
    <row r="7" spans="1:9">
      <c r="A7" t="s">
        <v>15</v>
      </c>
      <c r="B7">
        <f>HYPERLINK("https://edu.epfl.ch/studyplan/en/bachelor/communication-systems/coursebook/computer-systems-CS-202", "Computer systems")</f>
        <v>0</v>
      </c>
      <c r="C7" t="s">
        <v>54</v>
      </c>
      <c r="D7" t="s">
        <v>56</v>
      </c>
      <c r="E7" t="s">
        <v>59</v>
      </c>
      <c r="F7" t="s">
        <v>56</v>
      </c>
      <c r="G7" t="s">
        <v>56</v>
      </c>
      <c r="H7" t="s">
        <v>74</v>
      </c>
      <c r="I7">
        <v>8</v>
      </c>
    </row>
    <row r="8" spans="1:9">
      <c r="A8" t="s">
        <v>48</v>
      </c>
      <c r="B8">
        <f>HYPERLINK("https://edu.epfl.ch/studyplan/en/bachelor/communication-systems/coursebook/general-physics-electromagnetism-PHYS-114", "General physics: electromagnetism")</f>
        <v>0</v>
      </c>
      <c r="C8" t="s">
        <v>54</v>
      </c>
      <c r="D8" t="s">
        <v>57</v>
      </c>
      <c r="E8" t="s">
        <v>56</v>
      </c>
      <c r="F8" t="s">
        <v>56</v>
      </c>
      <c r="G8" t="s">
        <v>56</v>
      </c>
      <c r="H8" t="s">
        <v>75</v>
      </c>
      <c r="I8">
        <v>4</v>
      </c>
    </row>
    <row r="9" spans="1:9">
      <c r="A9" t="s">
        <v>34</v>
      </c>
      <c r="B9">
        <f>HYPERLINK("https://edu.epfl.ch/studyplan/en/bachelor/communication-systems/coursebook/introduction-to-machine-learning-CS-233", "Introduction to machine learning ")</f>
        <v>0</v>
      </c>
      <c r="C9" t="s">
        <v>54</v>
      </c>
      <c r="D9" t="s">
        <v>56</v>
      </c>
      <c r="E9" t="s">
        <v>67</v>
      </c>
      <c r="F9" t="s">
        <v>56</v>
      </c>
      <c r="G9" t="s">
        <v>56</v>
      </c>
      <c r="H9" t="s">
        <v>74</v>
      </c>
      <c r="I9">
        <v>6</v>
      </c>
    </row>
    <row r="10" spans="1:9">
      <c r="A10" t="s">
        <v>16</v>
      </c>
      <c r="B10">
        <f>HYPERLINK("https://edu.epfl.ch/studyplan/en/bachelor/communication-systems/coursebook/probability-and-statistics-MATH-232", "Probability and statistics")</f>
        <v>0</v>
      </c>
      <c r="C10" t="s">
        <v>54</v>
      </c>
      <c r="D10" t="s">
        <v>60</v>
      </c>
      <c r="E10" t="s">
        <v>56</v>
      </c>
      <c r="F10" t="s">
        <v>56</v>
      </c>
      <c r="G10" t="s">
        <v>56</v>
      </c>
      <c r="H10" t="s">
        <v>75</v>
      </c>
      <c r="I10">
        <v>6</v>
      </c>
    </row>
    <row r="11" spans="1:9">
      <c r="A11" t="s">
        <v>20</v>
      </c>
      <c r="B11">
        <f>HYPERLINK("https://edu.epfl.ch/studyplan/en/bachelor/communication-systems/coursebook/algebra-MATH-310", "Algebra")</f>
        <v>0</v>
      </c>
      <c r="C11" t="s">
        <v>54</v>
      </c>
      <c r="D11" t="s">
        <v>56</v>
      </c>
      <c r="E11" t="s">
        <v>56</v>
      </c>
      <c r="F11" t="s">
        <v>57</v>
      </c>
      <c r="G11" t="s">
        <v>56</v>
      </c>
      <c r="H11" t="s">
        <v>75</v>
      </c>
      <c r="I11">
        <v>4</v>
      </c>
    </row>
    <row r="12" spans="1:9">
      <c r="A12" t="s">
        <v>17</v>
      </c>
      <c r="B12">
        <f>HYPERLINK("https://edu.epfl.ch/studyplan/en/bachelor/communication-systems/coursebook/computer-security-and-privacy-COM-301", "Computer security and privacy")</f>
        <v>0</v>
      </c>
      <c r="C12" t="s">
        <v>54</v>
      </c>
      <c r="D12" t="s">
        <v>56</v>
      </c>
      <c r="E12" t="s">
        <v>56</v>
      </c>
      <c r="F12" t="s">
        <v>57</v>
      </c>
      <c r="G12" t="s">
        <v>56</v>
      </c>
      <c r="H12" t="s">
        <v>75</v>
      </c>
      <c r="I12">
        <v>4</v>
      </c>
    </row>
    <row r="13" spans="1:9">
      <c r="A13" t="s">
        <v>41</v>
      </c>
      <c r="B13">
        <f>HYPERLINK("https://edu.epfl.ch/studyplan/en/bachelor/communication-systems/coursebook/principles-of-digital-communications-COM-302", "Principles of digital communications")</f>
        <v>0</v>
      </c>
      <c r="C13" t="s">
        <v>54</v>
      </c>
      <c r="D13" t="s">
        <v>56</v>
      </c>
      <c r="E13" t="s">
        <v>56</v>
      </c>
      <c r="F13" t="s">
        <v>56</v>
      </c>
      <c r="G13" t="s">
        <v>60</v>
      </c>
      <c r="H13" t="s">
        <v>74</v>
      </c>
      <c r="I13">
        <v>6</v>
      </c>
    </row>
    <row r="14" spans="1:9">
      <c r="A14" t="s">
        <v>45</v>
      </c>
      <c r="B14">
        <f>HYPERLINK("https://edu.epfl.ch/studyplan/en/bachelor/communication-systems/coursebook/stochastic-models-in-communication-COM-300", "Stochastic models in communication")</f>
        <v>0</v>
      </c>
      <c r="C14" t="s">
        <v>55</v>
      </c>
      <c r="D14" t="s">
        <v>56</v>
      </c>
      <c r="E14" t="s">
        <v>56</v>
      </c>
      <c r="F14" t="s">
        <v>60</v>
      </c>
      <c r="G14" t="s">
        <v>56</v>
      </c>
      <c r="H14" t="s">
        <v>75</v>
      </c>
      <c r="I14">
        <v>6</v>
      </c>
    </row>
    <row r="15" spans="1:9">
      <c r="A15" t="s">
        <v>47</v>
      </c>
      <c r="B15">
        <f>HYPERLINK("https://edu.epfl.ch/studyplan/en/bachelor/communication-systems/coursebook/analytical-mechanics-for-sph-PHYS-202", "Analytical mechanics (for SPH)")</f>
        <v>0</v>
      </c>
      <c r="C15" t="s">
        <v>55</v>
      </c>
      <c r="D15" t="s">
        <v>64</v>
      </c>
      <c r="E15" t="s">
        <v>56</v>
      </c>
      <c r="F15" t="s">
        <v>56</v>
      </c>
      <c r="G15" t="s">
        <v>56</v>
      </c>
      <c r="H15" t="s">
        <v>75</v>
      </c>
      <c r="I15">
        <v>5</v>
      </c>
    </row>
    <row r="16" spans="1:9">
      <c r="A16" t="s">
        <v>22</v>
      </c>
      <c r="B16">
        <f>HYPERLINK("https://edu.epfl.ch/studyplan/en/bachelor/communication-systems/coursebook/artificial-intelligence-CS-330", "Artificial intelligence")</f>
        <v>0</v>
      </c>
      <c r="C16" t="s">
        <v>55</v>
      </c>
      <c r="D16" t="s">
        <v>56</v>
      </c>
      <c r="E16" t="s">
        <v>56</v>
      </c>
      <c r="F16" t="s">
        <v>56</v>
      </c>
      <c r="G16" t="s">
        <v>57</v>
      </c>
      <c r="H16" t="s">
        <v>76</v>
      </c>
      <c r="I16">
        <v>4</v>
      </c>
    </row>
    <row r="17" spans="1:9">
      <c r="A17" t="s">
        <v>13</v>
      </c>
      <c r="B17">
        <f>HYPERLINK("https://edu.epfl.ch/studyplan/en/bachelor/communication-systems/coursebook/computer-architecture-CS-200", "Computer architecture")</f>
        <v>0</v>
      </c>
      <c r="C17" t="s">
        <v>54</v>
      </c>
      <c r="D17" t="s">
        <v>59</v>
      </c>
      <c r="E17" t="s">
        <v>56</v>
      </c>
      <c r="F17" t="s">
        <v>56</v>
      </c>
      <c r="G17" t="s">
        <v>56</v>
      </c>
      <c r="H17" t="s">
        <v>75</v>
      </c>
      <c r="I17">
        <v>8</v>
      </c>
    </row>
    <row r="18" spans="1:9">
      <c r="A18" t="s">
        <v>24</v>
      </c>
      <c r="B18">
        <f>HYPERLINK("https://edu.epfl.ch/studyplan/en/bachelor/communication-systems/coursebook/computer-graphics-CS-341", "Computer graphics")</f>
        <v>0</v>
      </c>
      <c r="C18" t="s">
        <v>54</v>
      </c>
      <c r="D18" t="s">
        <v>56</v>
      </c>
      <c r="E18" t="s">
        <v>56</v>
      </c>
      <c r="F18" t="s">
        <v>56</v>
      </c>
      <c r="G18" t="s">
        <v>63</v>
      </c>
      <c r="H18" t="s">
        <v>74</v>
      </c>
      <c r="I18">
        <v>6</v>
      </c>
    </row>
    <row r="19" spans="1:9">
      <c r="A19" t="s">
        <v>25</v>
      </c>
      <c r="B19">
        <f>HYPERLINK("https://edu.epfl.ch/studyplan/en/bachelor/communication-systems/coursebook/computer-language-processing-CS-320", "Computer language processing")</f>
        <v>0</v>
      </c>
      <c r="C19" t="s">
        <v>54</v>
      </c>
      <c r="D19" t="s">
        <v>56</v>
      </c>
      <c r="E19" t="s">
        <v>56</v>
      </c>
      <c r="F19" t="s">
        <v>56</v>
      </c>
      <c r="G19" t="s">
        <v>67</v>
      </c>
      <c r="H19" t="s">
        <v>76</v>
      </c>
      <c r="I19">
        <v>6</v>
      </c>
    </row>
    <row r="20" spans="1:9">
      <c r="A20" t="s">
        <v>18</v>
      </c>
      <c r="B20">
        <f>HYPERLINK("https://edu.epfl.ch/studyplan/en/bachelor/communication-systems/coursebook/data-intensive-systems-CS-300", "Data-intensive systems")</f>
        <v>0</v>
      </c>
      <c r="C20" t="s">
        <v>54</v>
      </c>
      <c r="D20" t="s">
        <v>56</v>
      </c>
      <c r="E20" t="s">
        <v>56</v>
      </c>
      <c r="F20" t="s">
        <v>56</v>
      </c>
      <c r="G20" t="s">
        <v>63</v>
      </c>
      <c r="H20" t="s">
        <v>74</v>
      </c>
      <c r="I20">
        <v>6</v>
      </c>
    </row>
    <row r="21" spans="1:9">
      <c r="A21" t="s">
        <v>26</v>
      </c>
      <c r="B21">
        <f>HYPERLINK("https://edu.epfl.ch/studyplan/en/bachelor/communication-systems/coursebook/electromagnetics-i-transmission-lines-and-waves-EE-200", "Electromagnetics I : Transmission lines and waves")</f>
        <v>0</v>
      </c>
      <c r="C21" t="s">
        <v>55</v>
      </c>
      <c r="D21" t="s">
        <v>56</v>
      </c>
      <c r="E21" t="s">
        <v>56</v>
      </c>
      <c r="F21" t="s">
        <v>61</v>
      </c>
      <c r="G21" t="s">
        <v>56</v>
      </c>
      <c r="H21" t="s">
        <v>75</v>
      </c>
      <c r="I21">
        <v>3</v>
      </c>
    </row>
    <row r="22" spans="1:9">
      <c r="A22" t="s">
        <v>27</v>
      </c>
      <c r="B22">
        <f>HYPERLINK("https://edu.epfl.ch/studyplan/en/bachelor/communication-systems/coursebook/electromagnetics-ii-field-computation-EE-201", "Electromagnetics II : field computation")</f>
        <v>0</v>
      </c>
      <c r="C22" t="s">
        <v>55</v>
      </c>
      <c r="D22" t="s">
        <v>56</v>
      </c>
      <c r="E22" t="s">
        <v>56</v>
      </c>
      <c r="F22" t="s">
        <v>56</v>
      </c>
      <c r="G22" t="s">
        <v>61</v>
      </c>
      <c r="H22" t="s">
        <v>74</v>
      </c>
      <c r="I22">
        <v>3</v>
      </c>
    </row>
    <row r="23" spans="1:9">
      <c r="A23" t="s">
        <v>28</v>
      </c>
      <c r="B23">
        <f>HYPERLINK("https://edu.epfl.ch/studyplan/en/bachelor/communication-systems/coursebook/electronics-i-EE-202-B", "Electronics I")</f>
        <v>0</v>
      </c>
      <c r="C23" t="s">
        <v>55</v>
      </c>
      <c r="D23" t="s">
        <v>61</v>
      </c>
      <c r="E23" t="s">
        <v>56</v>
      </c>
      <c r="F23" t="s">
        <v>56</v>
      </c>
      <c r="G23" t="s">
        <v>56</v>
      </c>
      <c r="H23" t="s">
        <v>77</v>
      </c>
      <c r="I23">
        <v>4</v>
      </c>
    </row>
    <row r="24" spans="1:9">
      <c r="A24" t="s">
        <v>29</v>
      </c>
      <c r="B24">
        <f>HYPERLINK("https://edu.epfl.ch/studyplan/en/bachelor/communication-systems/coursebook/electronics-ii-EE-203-B", "Electronics II")</f>
        <v>0</v>
      </c>
      <c r="C24" t="s">
        <v>55</v>
      </c>
      <c r="D24" t="s">
        <v>56</v>
      </c>
      <c r="E24" t="s">
        <v>56</v>
      </c>
      <c r="F24" t="s">
        <v>57</v>
      </c>
      <c r="G24" t="s">
        <v>56</v>
      </c>
      <c r="H24" t="s">
        <v>77</v>
      </c>
      <c r="I24">
        <v>4</v>
      </c>
    </row>
    <row r="25" spans="1:9">
      <c r="A25" t="s">
        <v>30</v>
      </c>
      <c r="B25">
        <f>HYPERLINK("https://edu.epfl.ch/studyplan/en/bachelor/communication-systems/coursebook/electronics-iii-EE-381", "Electronics III")</f>
        <v>0</v>
      </c>
      <c r="C25" t="s">
        <v>55</v>
      </c>
      <c r="D25" t="s">
        <v>56</v>
      </c>
      <c r="E25" t="s">
        <v>56</v>
      </c>
      <c r="F25" t="s">
        <v>56</v>
      </c>
      <c r="G25" t="s">
        <v>61</v>
      </c>
      <c r="H25" t="s">
        <v>76</v>
      </c>
      <c r="I25">
        <v>3</v>
      </c>
    </row>
    <row r="26" spans="1:9">
      <c r="A26" t="s">
        <v>31</v>
      </c>
      <c r="B26">
        <f>HYPERLINK("https://edu.epfl.ch/studyplan/en/bachelor/communication-systems/coursebook/general-chemistry-CH-160-B", "General chemistry")</f>
        <v>0</v>
      </c>
      <c r="C26" t="s">
        <v>55</v>
      </c>
      <c r="D26" t="s">
        <v>56</v>
      </c>
      <c r="E26" t="s">
        <v>56</v>
      </c>
      <c r="F26" t="s">
        <v>61</v>
      </c>
      <c r="G26" t="s">
        <v>56</v>
      </c>
      <c r="H26" t="s">
        <v>75</v>
      </c>
      <c r="I26">
        <v>3</v>
      </c>
    </row>
    <row r="27" spans="1:9">
      <c r="A27" t="s">
        <v>32</v>
      </c>
      <c r="B27">
        <f>HYPERLINK("https://edu.epfl.ch/studyplan/en/bachelor/communication-systems/coursebook/human-computer-interaction-CS-213", "Human computer interaction")</f>
        <v>0</v>
      </c>
      <c r="C27" t="s">
        <v>55</v>
      </c>
      <c r="D27" t="s">
        <v>56</v>
      </c>
      <c r="E27" t="s">
        <v>66</v>
      </c>
      <c r="F27" t="s">
        <v>56</v>
      </c>
      <c r="G27" t="s">
        <v>56</v>
      </c>
      <c r="H27" t="s">
        <v>74</v>
      </c>
      <c r="I27">
        <v>5</v>
      </c>
    </row>
    <row r="28" spans="1:9">
      <c r="A28" t="s">
        <v>33</v>
      </c>
      <c r="B28">
        <f>HYPERLINK("https://edu.epfl.ch/studyplan/en/bachelor/communication-systems/coursebook/internet-analytics-COM-308", "Internet analytics")</f>
        <v>0</v>
      </c>
      <c r="C28" t="s">
        <v>54</v>
      </c>
      <c r="D28" t="s">
        <v>56</v>
      </c>
      <c r="E28" t="s">
        <v>56</v>
      </c>
      <c r="F28" t="s">
        <v>56</v>
      </c>
      <c r="G28" t="s">
        <v>63</v>
      </c>
      <c r="H28" t="s">
        <v>74</v>
      </c>
      <c r="I28">
        <v>6</v>
      </c>
    </row>
    <row r="29" spans="1:9">
      <c r="A29" t="s">
        <v>49</v>
      </c>
      <c r="B29">
        <f>HYPERLINK("https://edu.epfl.ch/studyplan/en/bachelor/communication-systems/coursebook/introduction-to-life-sciences-for-ic-BIO-109", "Introduction to life sciences (for IC)")</f>
        <v>0</v>
      </c>
      <c r="C29" t="s">
        <v>55</v>
      </c>
      <c r="D29" t="s">
        <v>56</v>
      </c>
      <c r="E29" t="s">
        <v>60</v>
      </c>
      <c r="F29" t="s">
        <v>56</v>
      </c>
      <c r="G29" t="s">
        <v>56</v>
      </c>
      <c r="H29" t="s">
        <v>74</v>
      </c>
      <c r="I29">
        <v>6</v>
      </c>
    </row>
    <row r="30" spans="1:9">
      <c r="A30" t="s">
        <v>35</v>
      </c>
      <c r="B30">
        <f>HYPERLINK("https://edu.epfl.ch/studyplan/en/bachelor/communication-systems/coursebook/introduction-to-multiprocessor-architecture-CS-307", "Introduction to multiprocessor architecture")</f>
        <v>0</v>
      </c>
      <c r="C30" t="s">
        <v>54</v>
      </c>
      <c r="D30" t="s">
        <v>56</v>
      </c>
      <c r="E30" t="s">
        <v>56</v>
      </c>
      <c r="F30" t="s">
        <v>68</v>
      </c>
      <c r="G30" t="s">
        <v>56</v>
      </c>
      <c r="H30" t="s">
        <v>77</v>
      </c>
      <c r="I30">
        <v>4</v>
      </c>
    </row>
    <row r="31" spans="1:9">
      <c r="A31" t="s">
        <v>36</v>
      </c>
      <c r="B31">
        <f>HYPERLINK("https://edu.epfl.ch/studyplan/en/bachelor/communication-systems/coursebook/introduction-to-operating-systems-CS-323", "Introduction to operating systems")</f>
        <v>0</v>
      </c>
      <c r="C31" t="s">
        <v>54</v>
      </c>
      <c r="D31" t="s">
        <v>56</v>
      </c>
      <c r="E31" t="s">
        <v>56</v>
      </c>
      <c r="F31" t="s">
        <v>63</v>
      </c>
      <c r="G31" t="s">
        <v>56</v>
      </c>
      <c r="H31" t="s">
        <v>75</v>
      </c>
      <c r="I31">
        <v>5</v>
      </c>
    </row>
    <row r="32" spans="1:9">
      <c r="A32" t="s">
        <v>37</v>
      </c>
      <c r="B32">
        <f>HYPERLINK("https://edu.epfl.ch/studyplan/en/bachelor/communication-systems/coursebook/introduction-to-quantum-computation-CS-308", "Introduction to quantum computation")</f>
        <v>0</v>
      </c>
      <c r="C32" t="s">
        <v>54</v>
      </c>
      <c r="D32" t="s">
        <v>56</v>
      </c>
      <c r="E32" t="s">
        <v>56</v>
      </c>
      <c r="F32" t="s">
        <v>56</v>
      </c>
      <c r="G32" t="s">
        <v>69</v>
      </c>
      <c r="H32" t="s">
        <v>74</v>
      </c>
      <c r="I32">
        <v>5</v>
      </c>
    </row>
    <row r="33" spans="1:9">
      <c r="A33" t="s">
        <v>38</v>
      </c>
      <c r="B33">
        <f>HYPERLINK("https://edu.epfl.ch/studyplan/en/bachelor/communication-systems/coursebook/introduction-to-quantum-information-processing-COM-309", "Introduction to quantum information processing")</f>
        <v>0</v>
      </c>
      <c r="C33" t="s">
        <v>54</v>
      </c>
      <c r="D33" t="s">
        <v>56</v>
      </c>
      <c r="E33" t="s">
        <v>56</v>
      </c>
      <c r="F33" t="s">
        <v>69</v>
      </c>
      <c r="G33" t="s">
        <v>56</v>
      </c>
      <c r="H33" t="s">
        <v>75</v>
      </c>
      <c r="I33">
        <v>5</v>
      </c>
    </row>
    <row r="34" spans="1:9">
      <c r="A34" t="s">
        <v>51</v>
      </c>
      <c r="B34">
        <f>HYPERLINK("https://edu.epfl.ch/studyplan/en/bachelor/communication-systems/coursebook/making-intelligent-things-CS-358", "Making intelligent things")</f>
        <v>0</v>
      </c>
      <c r="C34" t="s">
        <v>54</v>
      </c>
      <c r="D34" t="s">
        <v>56</v>
      </c>
      <c r="E34" t="s">
        <v>56</v>
      </c>
      <c r="F34" t="s">
        <v>56</v>
      </c>
      <c r="G34" t="s">
        <v>70</v>
      </c>
      <c r="H34" t="s">
        <v>76</v>
      </c>
      <c r="I34">
        <v>8</v>
      </c>
    </row>
    <row r="35" spans="1:9">
      <c r="A35" t="s">
        <v>202</v>
      </c>
      <c r="B35">
        <f>HYPERLINK("https://edu.epfl.ch/studyplan/en/bachelor/communication-systems/coursebook/microprogrammed-embedded-systems-EE-310", "Microprogrammed Embedded Systems")</f>
        <v>0</v>
      </c>
      <c r="C35" t="s">
        <v>164</v>
      </c>
      <c r="D35" t="s">
        <v>56</v>
      </c>
      <c r="E35" t="s">
        <v>56</v>
      </c>
      <c r="F35" t="s">
        <v>66</v>
      </c>
      <c r="G35" t="s">
        <v>56</v>
      </c>
      <c r="H35" t="s">
        <v>188</v>
      </c>
      <c r="I35">
        <v>4</v>
      </c>
    </row>
    <row r="36" spans="1:9">
      <c r="A36" t="s">
        <v>39</v>
      </c>
      <c r="B36">
        <f>HYPERLINK("https://edu.epfl.ch/studyplan/en/bachelor/communication-systems/coursebook/numerical-methods-for-visual-computing-and-ml-CS-328", "Numerical methods for visual computing and ML")</f>
        <v>0</v>
      </c>
      <c r="C36" t="s">
        <v>54</v>
      </c>
      <c r="D36" t="s">
        <v>57</v>
      </c>
      <c r="E36" t="s">
        <v>56</v>
      </c>
      <c r="F36" t="s">
        <v>56</v>
      </c>
      <c r="G36" t="s">
        <v>56</v>
      </c>
      <c r="H36" t="s">
        <v>75</v>
      </c>
      <c r="I36">
        <v>4</v>
      </c>
    </row>
    <row r="37" spans="1:9">
      <c r="A37" t="s">
        <v>11</v>
      </c>
      <c r="B37">
        <f>HYPERLINK("https://edu.epfl.ch/studyplan/en/bachelor/communication-systems/coursebook/parallelism-and-concurrency-CS-206", "Parallelism and concurrency")</f>
        <v>0</v>
      </c>
      <c r="C37" t="s">
        <v>54</v>
      </c>
      <c r="D37" t="s">
        <v>56</v>
      </c>
      <c r="E37" t="s">
        <v>65</v>
      </c>
      <c r="F37" t="s">
        <v>56</v>
      </c>
      <c r="G37" t="s">
        <v>56</v>
      </c>
      <c r="H37" t="s">
        <v>76</v>
      </c>
      <c r="I37">
        <v>4</v>
      </c>
    </row>
    <row r="38" spans="1:9">
      <c r="A38" t="s">
        <v>40</v>
      </c>
      <c r="B38">
        <f>HYPERLINK("https://edu.epfl.ch/studyplan/en/bachelor/communication-systems/coursebook/parallelism-and-concurrency-in-software-CS-302", "Parallelism and concurrency in software")</f>
        <v>0</v>
      </c>
      <c r="C38" t="s">
        <v>54</v>
      </c>
      <c r="D38" t="s">
        <v>56</v>
      </c>
      <c r="E38" t="s">
        <v>56</v>
      </c>
      <c r="F38" t="s">
        <v>56</v>
      </c>
      <c r="G38" t="s">
        <v>72</v>
      </c>
      <c r="H38" t="s">
        <v>76</v>
      </c>
      <c r="I38">
        <v>6</v>
      </c>
    </row>
    <row r="39" spans="1:9">
      <c r="A39" t="s">
        <v>50</v>
      </c>
      <c r="B39">
        <f>HYPERLINK("https://edu.epfl.ch/studyplan/en/bachelor/communication-systems/coursebook/quantum-mechanics-i-PHYS-207", "Quantum mechanics I")</f>
        <v>0</v>
      </c>
      <c r="C39" t="s">
        <v>54</v>
      </c>
      <c r="D39" t="s">
        <v>56</v>
      </c>
      <c r="E39" t="s">
        <v>64</v>
      </c>
      <c r="F39" t="s">
        <v>56</v>
      </c>
      <c r="G39" t="s">
        <v>56</v>
      </c>
      <c r="H39" t="s">
        <v>74</v>
      </c>
      <c r="I39">
        <v>5</v>
      </c>
    </row>
    <row r="40" spans="1:9">
      <c r="A40" t="s">
        <v>44</v>
      </c>
      <c r="B40">
        <f>HYPERLINK("https://edu.epfl.ch/studyplan/en/bachelor/communication-systems/coursebook/signal-processing-for-communications-COM-303", "Signal processing for communications")</f>
        <v>0</v>
      </c>
      <c r="C40" t="s">
        <v>54</v>
      </c>
      <c r="D40" t="s">
        <v>56</v>
      </c>
      <c r="E40" t="s">
        <v>56</v>
      </c>
      <c r="F40" t="s">
        <v>56</v>
      </c>
      <c r="G40" t="s">
        <v>60</v>
      </c>
      <c r="H40" t="s">
        <v>74</v>
      </c>
      <c r="I40">
        <v>6</v>
      </c>
    </row>
    <row r="41" spans="1:9">
      <c r="A41" t="s">
        <v>12</v>
      </c>
      <c r="B41">
        <f>HYPERLINK("https://edu.epfl.ch/studyplan/en/bachelor/communication-systems/coursebook/software-construction-CS-214", "Software construction")</f>
        <v>0</v>
      </c>
      <c r="C41" t="s">
        <v>54</v>
      </c>
      <c r="D41" t="s">
        <v>58</v>
      </c>
      <c r="E41" t="s">
        <v>56</v>
      </c>
      <c r="F41" t="s">
        <v>56</v>
      </c>
      <c r="G41" t="s">
        <v>56</v>
      </c>
      <c r="H41" t="s">
        <v>75</v>
      </c>
      <c r="I41">
        <v>8</v>
      </c>
    </row>
    <row r="42" spans="1:9">
      <c r="A42" t="s">
        <v>46</v>
      </c>
      <c r="B42">
        <f>HYPERLINK("https://edu.epfl.ch/studyplan/en/bachelor/communication-systems/coursebook/technologies-for-democratic-society-CS-234", "Technologies for democratic society")</f>
        <v>0</v>
      </c>
      <c r="C42" t="s">
        <v>54</v>
      </c>
      <c r="D42" t="s">
        <v>63</v>
      </c>
      <c r="E42" t="s">
        <v>56</v>
      </c>
      <c r="F42" t="s">
        <v>56</v>
      </c>
      <c r="G42" t="s">
        <v>56</v>
      </c>
      <c r="H42" t="s">
        <v>75</v>
      </c>
      <c r="I42">
        <v>5</v>
      </c>
    </row>
    <row r="43" spans="1:9">
      <c r="A43" t="s">
        <v>19</v>
      </c>
      <c r="B43">
        <f>HYPERLINK("https://edu.epfl.ch/studyplan/en/bachelor/communication-systems/coursebook/theory-of-computation-CS-251", "Theory of computation")</f>
        <v>0</v>
      </c>
      <c r="C43" t="s">
        <v>54</v>
      </c>
      <c r="D43" t="s">
        <v>56</v>
      </c>
      <c r="E43" t="s">
        <v>57</v>
      </c>
      <c r="F43" t="s">
        <v>56</v>
      </c>
      <c r="G43" t="s">
        <v>56</v>
      </c>
      <c r="H43" t="s">
        <v>74</v>
      </c>
      <c r="I43">
        <v>6</v>
      </c>
    </row>
    <row r="44" spans="1:9">
      <c r="A44" t="s">
        <v>52</v>
      </c>
      <c r="B44">
        <f>HYPERLINK("https://edu.epfl.ch/studyplan/en/bachelor/communication-systems/coursebook/the-software-enterprise-from-ideas-to-products-CS-311", "The software enterprise - from ideas to products")</f>
        <v>0</v>
      </c>
      <c r="C44" t="s">
        <v>54</v>
      </c>
      <c r="D44" t="s">
        <v>56</v>
      </c>
      <c r="E44" t="s">
        <v>56</v>
      </c>
      <c r="F44" t="s">
        <v>56</v>
      </c>
      <c r="G44" t="s">
        <v>73</v>
      </c>
      <c r="H44" t="s">
        <v>76</v>
      </c>
      <c r="I44">
        <v>8</v>
      </c>
    </row>
    <row r="45" spans="1:9">
      <c r="A45" t="s">
        <v>23</v>
      </c>
      <c r="B45">
        <f>HYPERLINK("https://edu.epfl.ch/studyplan/en/bachelor/communication-systems/coursebook/communications-project-COM-304", "Communications project")</f>
        <v>0</v>
      </c>
      <c r="C45" t="s">
        <v>54</v>
      </c>
      <c r="D45" t="s">
        <v>56</v>
      </c>
      <c r="E45" t="s">
        <v>56</v>
      </c>
      <c r="F45" t="s">
        <v>56</v>
      </c>
      <c r="G45" t="s">
        <v>71</v>
      </c>
      <c r="H45" t="s">
        <v>76</v>
      </c>
      <c r="I45">
        <v>8</v>
      </c>
    </row>
    <row r="46" spans="1:9">
      <c r="A46" t="s">
        <v>203</v>
      </c>
      <c r="B46">
        <f>HYPERLINK("https://edu.epfl.ch/studyplan/en/bachelor/communication-systems/coursebook/projet-de-recherche-en-systemes-de-communication-i-COM-307", "Projet de recherche en Systèmes de communication I")</f>
        <v>0</v>
      </c>
      <c r="C46" t="s">
        <v>55</v>
      </c>
      <c r="D46" t="s">
        <v>56</v>
      </c>
      <c r="E46" t="s">
        <v>56</v>
      </c>
      <c r="F46" t="s">
        <v>165</v>
      </c>
      <c r="G46" t="s">
        <v>165</v>
      </c>
      <c r="H46" t="s">
        <v>78</v>
      </c>
      <c r="I46">
        <v>8</v>
      </c>
    </row>
    <row r="47" spans="1:9">
      <c r="A47" t="s">
        <v>53</v>
      </c>
      <c r="B47">
        <f>HYPERLINK("https://edu.epfl.ch/studyplan/en/bachelor/humanities-and-social-sciences-program", "HSS : Bachelor cycle BA3")</f>
        <v>0</v>
      </c>
      <c r="C47" t="s">
        <v>55</v>
      </c>
      <c r="D47" t="s">
        <v>56</v>
      </c>
      <c r="E47" t="s">
        <v>56</v>
      </c>
      <c r="F47" t="s">
        <v>56</v>
      </c>
      <c r="G47" t="s">
        <v>56</v>
      </c>
      <c r="I47">
        <v>2</v>
      </c>
    </row>
    <row r="48" spans="1:9">
      <c r="A48" t="s">
        <v>53</v>
      </c>
      <c r="B48">
        <f>HYPERLINK("https://edu.epfl.ch/studyplan/en/bachelor/humanities-and-social-sciences-program", "HSS : Bachelor cycle BA4")</f>
        <v>0</v>
      </c>
      <c r="C48" t="s">
        <v>55</v>
      </c>
      <c r="D48" t="s">
        <v>56</v>
      </c>
      <c r="E48" t="s">
        <v>56</v>
      </c>
      <c r="F48" t="s">
        <v>56</v>
      </c>
      <c r="G48" t="s">
        <v>56</v>
      </c>
      <c r="I48">
        <v>2</v>
      </c>
    </row>
    <row r="49" spans="1:9">
      <c r="A49" t="s">
        <v>53</v>
      </c>
      <c r="B49">
        <f>HYPERLINK("https://edu.epfl.ch/studyplan/en/bachelor/humanities-and-social-sciences-program", "HSS : Bachelor cycle BA5")</f>
        <v>0</v>
      </c>
      <c r="C49" t="s">
        <v>55</v>
      </c>
      <c r="D49" t="s">
        <v>56</v>
      </c>
      <c r="E49" t="s">
        <v>56</v>
      </c>
      <c r="F49" t="s">
        <v>56</v>
      </c>
      <c r="G49" t="s">
        <v>56</v>
      </c>
      <c r="I49">
        <v>2</v>
      </c>
    </row>
    <row r="50" spans="1:9">
      <c r="A50" t="s">
        <v>53</v>
      </c>
      <c r="B50">
        <f>HYPERLINK("https://edu.epfl.ch/studyplan/en/bachelor/humanities-and-social-sciences-program", "SHS : Bachelor cycle BA6")</f>
        <v>0</v>
      </c>
      <c r="C50" t="s">
        <v>55</v>
      </c>
      <c r="D50" t="s">
        <v>56</v>
      </c>
      <c r="E50" t="s">
        <v>56</v>
      </c>
      <c r="F50" t="s">
        <v>56</v>
      </c>
      <c r="G50" t="s">
        <v>56</v>
      </c>
      <c r="I5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204</v>
      </c>
      <c r="B2">
        <f>HYPERLINK("https://edu.epfl.ch/studyplan/en/master/computational-science-and-engineering/coursebook/advanced-numerical-analysis-MATH-351", "Advanced numerical analysis")</f>
        <v>0</v>
      </c>
      <c r="C2" t="s">
        <v>54</v>
      </c>
      <c r="D2" t="s">
        <v>57</v>
      </c>
      <c r="E2" t="s">
        <v>56</v>
      </c>
      <c r="F2" t="s">
        <v>56</v>
      </c>
      <c r="G2" t="s">
        <v>56</v>
      </c>
      <c r="H2" t="s">
        <v>75</v>
      </c>
      <c r="I2">
        <v>5</v>
      </c>
    </row>
    <row r="3" spans="1:9">
      <c r="A3" t="s">
        <v>9</v>
      </c>
      <c r="B3">
        <f>HYPERLINK("https://edu.epfl.ch/studyplan/en/master/computational-science-and-engineering/coursebook/algorithms-i-CS-250", "Algorithms I")</f>
        <v>0</v>
      </c>
      <c r="C3" t="s">
        <v>54</v>
      </c>
      <c r="D3" t="s">
        <v>56</v>
      </c>
      <c r="E3" t="s">
        <v>60</v>
      </c>
      <c r="F3" t="s">
        <v>56</v>
      </c>
      <c r="G3" t="s">
        <v>56</v>
      </c>
      <c r="H3" t="s">
        <v>74</v>
      </c>
      <c r="I3">
        <v>8</v>
      </c>
    </row>
    <row r="4" spans="1:9">
      <c r="A4" t="s">
        <v>205</v>
      </c>
      <c r="B4">
        <f>HYPERLINK("https://edu.epfl.ch/studyplan/en/master/computational-science-and-engineering/coursebook/computer-simulation-of-physical-systems-i-PHYS-403", "Computer simulation of physical systems I")</f>
        <v>0</v>
      </c>
      <c r="C4" t="s">
        <v>54</v>
      </c>
      <c r="D4" t="s">
        <v>57</v>
      </c>
      <c r="E4" t="s">
        <v>56</v>
      </c>
      <c r="F4" t="s">
        <v>56</v>
      </c>
      <c r="G4" t="s">
        <v>56</v>
      </c>
      <c r="H4" t="s">
        <v>188</v>
      </c>
      <c r="I4">
        <v>4</v>
      </c>
    </row>
    <row r="5" spans="1:9">
      <c r="A5" t="s">
        <v>130</v>
      </c>
      <c r="B5">
        <f>HYPERLINK("https://edu.epfl.ch/studyplan/en/master/computational-science-and-engineering/coursebook/image-processing-i-MICRO-511", "Image processing I")</f>
        <v>0</v>
      </c>
      <c r="C5" t="s">
        <v>54</v>
      </c>
      <c r="D5" t="s">
        <v>175</v>
      </c>
      <c r="E5" t="s">
        <v>56</v>
      </c>
      <c r="F5" t="s">
        <v>56</v>
      </c>
      <c r="G5" t="s">
        <v>56</v>
      </c>
      <c r="H5" t="s">
        <v>75</v>
      </c>
      <c r="I5">
        <v>3</v>
      </c>
    </row>
    <row r="6" spans="1:9">
      <c r="A6" t="s">
        <v>35</v>
      </c>
      <c r="B6">
        <f>HYPERLINK("https://edu.epfl.ch/studyplan/en/master/computational-science-and-engineering/coursebook/introduction-to-multiprocessor-architecture-CS-307", "Introduction to multiprocessor architecture")</f>
        <v>0</v>
      </c>
      <c r="C6" t="s">
        <v>54</v>
      </c>
      <c r="D6" t="s">
        <v>68</v>
      </c>
      <c r="E6" t="s">
        <v>56</v>
      </c>
      <c r="F6" t="s">
        <v>56</v>
      </c>
      <c r="G6" t="s">
        <v>56</v>
      </c>
      <c r="H6" t="s">
        <v>77</v>
      </c>
      <c r="I6">
        <v>4</v>
      </c>
    </row>
    <row r="7" spans="1:9">
      <c r="A7" t="s">
        <v>86</v>
      </c>
      <c r="B7">
        <f>HYPERLINK("https://edu.epfl.ch/studyplan/en/master/computational-science-and-engineering/coursebook/machine-learning-CS-433", "Machine learning")</f>
        <v>0</v>
      </c>
      <c r="C7" t="s">
        <v>54</v>
      </c>
      <c r="D7" t="s">
        <v>60</v>
      </c>
      <c r="E7" t="s">
        <v>56</v>
      </c>
      <c r="F7" t="s">
        <v>56</v>
      </c>
      <c r="G7" t="s">
        <v>56</v>
      </c>
      <c r="H7" t="s">
        <v>75</v>
      </c>
      <c r="I7">
        <v>8</v>
      </c>
    </row>
    <row r="8" spans="1:9">
      <c r="A8" t="s">
        <v>206</v>
      </c>
      <c r="B8">
        <f>HYPERLINK("https://edu.epfl.ch/studyplan/en/master/computational-science-and-engineering/coursebook/molecular-dynamics-and-monte-carlo-simulation-CH-351", "Molecular dynamics and Monte-Carlo simulation")</f>
        <v>0</v>
      </c>
      <c r="C8" t="s">
        <v>54</v>
      </c>
      <c r="D8" t="s">
        <v>56</v>
      </c>
      <c r="E8" t="s">
        <v>178</v>
      </c>
      <c r="F8" t="s">
        <v>56</v>
      </c>
      <c r="G8" t="s">
        <v>56</v>
      </c>
      <c r="H8" t="s">
        <v>76</v>
      </c>
      <c r="I8">
        <v>2</v>
      </c>
    </row>
    <row r="9" spans="1:9">
      <c r="A9" t="s">
        <v>207</v>
      </c>
      <c r="B9">
        <f>HYPERLINK("https://edu.epfl.ch/studyplan/en/master/computational-science-and-engineering/coursebook/numerical-analysis-and-computational-mathematics-MATH-456", "Numerical analysis and computational mathematics")</f>
        <v>0</v>
      </c>
      <c r="C9" t="s">
        <v>54</v>
      </c>
      <c r="D9" t="s">
        <v>57</v>
      </c>
      <c r="E9" t="s">
        <v>56</v>
      </c>
      <c r="F9" t="s">
        <v>56</v>
      </c>
      <c r="G9" t="s">
        <v>56</v>
      </c>
      <c r="H9" t="s">
        <v>75</v>
      </c>
      <c r="I9">
        <v>4</v>
      </c>
    </row>
    <row r="10" spans="1:9">
      <c r="A10" t="s">
        <v>208</v>
      </c>
      <c r="B10">
        <f>HYPERLINK("https://edu.epfl.ch/studyplan/en/master/computational-science-and-engineering/coursebook/parallel-and-high-performance-computing-MATH-454", "Parallel and high-performance computing")</f>
        <v>0</v>
      </c>
      <c r="C10" t="s">
        <v>54</v>
      </c>
      <c r="D10" t="s">
        <v>177</v>
      </c>
      <c r="E10" t="s">
        <v>56</v>
      </c>
      <c r="F10" t="s">
        <v>56</v>
      </c>
      <c r="G10" t="s">
        <v>56</v>
      </c>
      <c r="H10" t="s">
        <v>188</v>
      </c>
      <c r="I10">
        <v>4</v>
      </c>
    </row>
    <row r="11" spans="1:9">
      <c r="A11" t="s">
        <v>209</v>
      </c>
      <c r="B11">
        <f>HYPERLINK("https://edu.epfl.ch/studyplan/en/master/computational-science-and-engineering/coursebook/programming-concepts-in-scientific-computing-MATH-458", "Programming concepts in scientific computing")</f>
        <v>0</v>
      </c>
      <c r="C11" t="s">
        <v>54</v>
      </c>
      <c r="D11" t="s">
        <v>57</v>
      </c>
      <c r="E11" t="s">
        <v>56</v>
      </c>
      <c r="F11" t="s">
        <v>56</v>
      </c>
      <c r="G11" t="s">
        <v>56</v>
      </c>
      <c r="H11" t="s">
        <v>77</v>
      </c>
      <c r="I11">
        <v>4</v>
      </c>
    </row>
    <row r="12" spans="1:9">
      <c r="A12" t="s">
        <v>53</v>
      </c>
      <c r="B12">
        <f>HYPERLINK("https://edu.epfl.ch/studyplan/en/master/humanities-and-social-sciences-program", "HSS : Introduction to project")</f>
        <v>0</v>
      </c>
      <c r="C12" t="s">
        <v>164</v>
      </c>
      <c r="D12" t="s">
        <v>56</v>
      </c>
      <c r="E12" t="s">
        <v>56</v>
      </c>
      <c r="F12" t="s">
        <v>56</v>
      </c>
      <c r="G12" t="s">
        <v>56</v>
      </c>
      <c r="H12" t="s">
        <v>186</v>
      </c>
      <c r="I12">
        <v>3</v>
      </c>
    </row>
    <row r="13" spans="1:9">
      <c r="A13" t="s">
        <v>53</v>
      </c>
      <c r="B13">
        <f>HYPERLINK("https://edu.epfl.ch/studyplan/en/master/humanities-and-social-sciences-program", "HSS : Project")</f>
        <v>0</v>
      </c>
      <c r="C13" t="s">
        <v>164</v>
      </c>
      <c r="D13" t="s">
        <v>56</v>
      </c>
      <c r="E13" t="s">
        <v>56</v>
      </c>
      <c r="F13" t="s">
        <v>56</v>
      </c>
      <c r="G13" t="s">
        <v>56</v>
      </c>
      <c r="H13" t="s">
        <v>187</v>
      </c>
      <c r="I13">
        <v>3</v>
      </c>
    </row>
    <row r="14" spans="1:9">
      <c r="A14" t="s">
        <v>210</v>
      </c>
      <c r="B14">
        <f>HYPERLINK("https://edu.epfl.ch/studyplan/en/master/computational-science-and-engineering/coursebook/cse-project-i-MATH-591", "CSE project I")</f>
        <v>0</v>
      </c>
      <c r="C14" t="s">
        <v>55</v>
      </c>
      <c r="D14" t="s">
        <v>70</v>
      </c>
      <c r="E14" t="s">
        <v>70</v>
      </c>
      <c r="F14" t="s">
        <v>56</v>
      </c>
      <c r="G14" t="s">
        <v>56</v>
      </c>
      <c r="H14" t="s">
        <v>78</v>
      </c>
      <c r="I14">
        <v>8</v>
      </c>
    </row>
    <row r="15" spans="1:9">
      <c r="A15" t="s">
        <v>211</v>
      </c>
      <c r="B15">
        <f>HYPERLINK("https://edu.epfl.ch/studyplan/en/master/computational-science-and-engineering/coursebook/cse-project-ii-MATH-592", "CSE project II")</f>
        <v>0</v>
      </c>
      <c r="C15" t="s">
        <v>55</v>
      </c>
      <c r="D15" t="s">
        <v>70</v>
      </c>
      <c r="E15" t="s">
        <v>70</v>
      </c>
      <c r="F15" t="s">
        <v>56</v>
      </c>
      <c r="G15" t="s">
        <v>56</v>
      </c>
      <c r="H15" t="s">
        <v>78</v>
      </c>
      <c r="I15">
        <v>8</v>
      </c>
    </row>
    <row r="16" spans="1:9">
      <c r="A16" t="s">
        <v>212</v>
      </c>
      <c r="B16">
        <f>HYPERLINK("https://edu.epfl.ch/studyplan/en/master/computational-science-and-engineering/coursebook/engineering-internship-master-in-computational-sciences-and-engineering-MATH-595", "Engineering internship (master in computational sciences and engineering")</f>
        <v>0</v>
      </c>
      <c r="C16" t="s">
        <v>55</v>
      </c>
      <c r="D16" t="s">
        <v>179</v>
      </c>
      <c r="E16" t="s">
        <v>179</v>
      </c>
      <c r="F16" t="s">
        <v>179</v>
      </c>
      <c r="G16" t="s">
        <v>179</v>
      </c>
      <c r="H16" t="s">
        <v>78</v>
      </c>
      <c r="I16">
        <v>8</v>
      </c>
    </row>
    <row r="17" spans="1:9">
      <c r="A17" t="s">
        <v>95</v>
      </c>
      <c r="B17">
        <f>HYPERLINK("https://edu.epfl.ch/studyplan/en/master/computational-science-and-engineering/coursebook/advanced-multiprocessor-architecture-CS-471", "Advanced multiprocessor architecture")</f>
        <v>0</v>
      </c>
      <c r="C17" t="s">
        <v>54</v>
      </c>
      <c r="D17" t="s">
        <v>169</v>
      </c>
      <c r="E17" t="s">
        <v>56</v>
      </c>
      <c r="F17" t="s">
        <v>56</v>
      </c>
      <c r="G17" t="s">
        <v>56</v>
      </c>
      <c r="H17" t="s">
        <v>77</v>
      </c>
      <c r="I17">
        <v>6</v>
      </c>
    </row>
    <row r="18" spans="1:9">
      <c r="A18" t="s">
        <v>81</v>
      </c>
      <c r="B18">
        <f>HYPERLINK("https://edu.epfl.ch/studyplan/en/master/computational-science-and-engineering/coursebook/algorithms-ii-CS-450", "Algorithms II")</f>
        <v>0</v>
      </c>
      <c r="C18" t="s">
        <v>54</v>
      </c>
      <c r="D18" t="s">
        <v>166</v>
      </c>
      <c r="E18" t="s">
        <v>56</v>
      </c>
      <c r="F18" t="s">
        <v>56</v>
      </c>
      <c r="G18" t="s">
        <v>56</v>
      </c>
      <c r="H18" t="s">
        <v>75</v>
      </c>
      <c r="I18">
        <v>8</v>
      </c>
    </row>
    <row r="19" spans="1:9">
      <c r="A19" t="s">
        <v>100</v>
      </c>
      <c r="B19">
        <f>HYPERLINK("https://edu.epfl.ch/studyplan/en/master/computational-science-and-engineering/coursebook/applied-data-analysis-CS-401", "Applied data analysis")</f>
        <v>0</v>
      </c>
      <c r="C19" t="s">
        <v>54</v>
      </c>
      <c r="D19" t="s">
        <v>66</v>
      </c>
      <c r="E19" t="s">
        <v>56</v>
      </c>
      <c r="F19" t="s">
        <v>56</v>
      </c>
      <c r="G19" t="s">
        <v>56</v>
      </c>
      <c r="H19" t="s">
        <v>75</v>
      </c>
      <c r="I19">
        <v>8</v>
      </c>
    </row>
    <row r="20" spans="1:9">
      <c r="A20" t="s">
        <v>101</v>
      </c>
      <c r="B20">
        <f>HYPERLINK("https://edu.epfl.ch/studyplan/en/master/computational-science-and-engineering/coursebook/artificial-neural-networks-reinforcement-learning-CS-456", "Artificial neural networks/reinforcement learning")</f>
        <v>0</v>
      </c>
      <c r="C20" t="s">
        <v>54</v>
      </c>
      <c r="D20" t="s">
        <v>56</v>
      </c>
      <c r="E20" t="s">
        <v>57</v>
      </c>
      <c r="F20" t="s">
        <v>56</v>
      </c>
      <c r="G20" t="s">
        <v>56</v>
      </c>
      <c r="H20" t="s">
        <v>74</v>
      </c>
      <c r="I20">
        <v>6</v>
      </c>
    </row>
    <row r="21" spans="1:9">
      <c r="A21" t="s">
        <v>213</v>
      </c>
      <c r="B21">
        <f>HYPERLINK("https://edu.epfl.ch/studyplan/en/master/computational-science-and-engineering/coursebook/atomistic-and-quantum-simulations-of-materials-MSE-468", "Atomistic and quantum simulations of materials")</f>
        <v>0</v>
      </c>
      <c r="C21" t="s">
        <v>54</v>
      </c>
      <c r="D21" t="s">
        <v>56</v>
      </c>
      <c r="E21" t="s">
        <v>237</v>
      </c>
      <c r="F21" t="s">
        <v>56</v>
      </c>
      <c r="G21" t="s">
        <v>56</v>
      </c>
      <c r="H21" t="s">
        <v>76</v>
      </c>
      <c r="I21">
        <v>4</v>
      </c>
    </row>
    <row r="22" spans="1:9">
      <c r="A22" t="s">
        <v>214</v>
      </c>
      <c r="B22">
        <f>HYPERLINK("https://edu.epfl.ch/studyplan/en/master/computational-science-and-engineering/coursebook/computational-linear-algebra-MATH-453", "Computational linear algebra")</f>
        <v>0</v>
      </c>
      <c r="C22" t="s">
        <v>54</v>
      </c>
      <c r="D22" t="s">
        <v>56</v>
      </c>
      <c r="E22" t="s">
        <v>57</v>
      </c>
      <c r="F22" t="s">
        <v>56</v>
      </c>
      <c r="G22" t="s">
        <v>56</v>
      </c>
      <c r="H22" t="s">
        <v>74</v>
      </c>
      <c r="I22">
        <v>5</v>
      </c>
    </row>
    <row r="23" spans="1:9">
      <c r="A23" t="s">
        <v>215</v>
      </c>
      <c r="B23">
        <f>HYPERLINK("https://edu.epfl.ch/studyplan/en/master/computational-science-and-engineering/coursebook/computational-methods-in-molecular-quantum-mechanics-CH-452", "Computational methods in molecular quantum mechanics")</f>
        <v>0</v>
      </c>
      <c r="C23" t="s">
        <v>54</v>
      </c>
      <c r="D23" t="s">
        <v>61</v>
      </c>
      <c r="E23" t="s">
        <v>56</v>
      </c>
      <c r="F23" t="s">
        <v>56</v>
      </c>
      <c r="G23" t="s">
        <v>56</v>
      </c>
      <c r="H23" t="s">
        <v>188</v>
      </c>
      <c r="I23">
        <v>4</v>
      </c>
    </row>
    <row r="24" spans="1:9">
      <c r="A24" t="s">
        <v>109</v>
      </c>
      <c r="B24">
        <f>HYPERLINK("https://edu.epfl.ch/studyplan/en/master/computational-science-and-engineering/coursebook/computational-neurosciences-neuronal-dynamics-NX-465", "Computational neurosciences: neuronal dynamics")</f>
        <v>0</v>
      </c>
      <c r="C24" t="s">
        <v>54</v>
      </c>
      <c r="D24" t="s">
        <v>56</v>
      </c>
      <c r="E24" t="s">
        <v>57</v>
      </c>
      <c r="F24" t="s">
        <v>56</v>
      </c>
      <c r="G24" t="s">
        <v>56</v>
      </c>
      <c r="H24" t="s">
        <v>74</v>
      </c>
      <c r="I24">
        <v>5</v>
      </c>
    </row>
    <row r="25" spans="1:9">
      <c r="A25" t="s">
        <v>116</v>
      </c>
      <c r="B25">
        <f>HYPERLINK("https://edu.epfl.ch/studyplan/en/master/computational-science-and-engineering/coursebook/deep-learning-EE-559", "Deep learning")</f>
        <v>0</v>
      </c>
      <c r="C25" t="s">
        <v>54</v>
      </c>
      <c r="D25" t="s">
        <v>56</v>
      </c>
      <c r="E25" t="s">
        <v>57</v>
      </c>
      <c r="F25" t="s">
        <v>56</v>
      </c>
      <c r="G25" t="s">
        <v>56</v>
      </c>
      <c r="H25" t="s">
        <v>76</v>
      </c>
      <c r="I25">
        <v>4</v>
      </c>
    </row>
    <row r="26" spans="1:9">
      <c r="A26" t="s">
        <v>117</v>
      </c>
      <c r="B26">
        <f>HYPERLINK("https://edu.epfl.ch/studyplan/en/master/computational-science-and-engineering/coursebook/deep-learning-in-biomedicine-CS-502", "Deep learning in biomedicine")</f>
        <v>0</v>
      </c>
      <c r="C26" t="s">
        <v>54</v>
      </c>
      <c r="D26" t="s">
        <v>171</v>
      </c>
      <c r="E26" t="s">
        <v>56</v>
      </c>
      <c r="F26" t="s">
        <v>56</v>
      </c>
      <c r="G26" t="s">
        <v>56</v>
      </c>
      <c r="H26" t="s">
        <v>77</v>
      </c>
      <c r="I26">
        <v>6</v>
      </c>
    </row>
    <row r="27" spans="1:9">
      <c r="A27" t="s">
        <v>121</v>
      </c>
      <c r="B27">
        <f>HYPERLINK("https://edu.epfl.ch/studyplan/en/master/computational-science-and-engineering/coursebook/distributed-intelligent-systems-ENG-466", "Distributed intelligent systems")</f>
        <v>0</v>
      </c>
      <c r="C27" t="s">
        <v>54</v>
      </c>
      <c r="D27" t="s">
        <v>56</v>
      </c>
      <c r="E27" t="s">
        <v>180</v>
      </c>
      <c r="F27" t="s">
        <v>56</v>
      </c>
      <c r="G27" t="s">
        <v>56</v>
      </c>
      <c r="H27" t="s">
        <v>189</v>
      </c>
      <c r="I27">
        <v>5</v>
      </c>
    </row>
    <row r="28" spans="1:9">
      <c r="A28" t="s">
        <v>122</v>
      </c>
      <c r="B28">
        <f>HYPERLINK("https://edu.epfl.ch/studyplan/en/master/computational-science-and-engineering/coursebook/dynamical-system-theory-for-engineers-COM-502", "Dynamical system theory for engineers")</f>
        <v>0</v>
      </c>
      <c r="C28" t="s">
        <v>54</v>
      </c>
      <c r="D28" t="s">
        <v>56</v>
      </c>
      <c r="E28" t="s">
        <v>61</v>
      </c>
      <c r="F28" t="s">
        <v>56</v>
      </c>
      <c r="G28" t="s">
        <v>56</v>
      </c>
      <c r="H28" t="s">
        <v>74</v>
      </c>
      <c r="I28">
        <v>6</v>
      </c>
    </row>
    <row r="29" spans="1:9">
      <c r="A29" t="s">
        <v>216</v>
      </c>
      <c r="B29">
        <f>HYPERLINK("https://edu.epfl.ch/studyplan/en/master/computational-science-and-engineering/coursebook/environmental-transport-phenomena-ENG-420", "Environmental transport phenomena")</f>
        <v>0</v>
      </c>
      <c r="C29" t="s">
        <v>54</v>
      </c>
      <c r="D29" t="s">
        <v>61</v>
      </c>
      <c r="E29" t="s">
        <v>56</v>
      </c>
      <c r="F29" t="s">
        <v>56</v>
      </c>
      <c r="G29" t="s">
        <v>56</v>
      </c>
      <c r="H29" t="s">
        <v>75</v>
      </c>
      <c r="I29">
        <v>5</v>
      </c>
    </row>
    <row r="30" spans="1:9">
      <c r="A30" t="s">
        <v>193</v>
      </c>
      <c r="B30">
        <f>HYPERLINK("https://edu.epfl.ch/studyplan/en/master/computational-science-and-engineering/coursebook/foundations-of-data-science-COM-406", "Foundations of Data Science")</f>
        <v>0</v>
      </c>
      <c r="C30" t="s">
        <v>54</v>
      </c>
      <c r="D30" t="s">
        <v>60</v>
      </c>
      <c r="E30" t="s">
        <v>56</v>
      </c>
      <c r="F30" t="s">
        <v>56</v>
      </c>
      <c r="G30" t="s">
        <v>56</v>
      </c>
      <c r="H30" t="s">
        <v>75</v>
      </c>
      <c r="I30">
        <v>8</v>
      </c>
    </row>
    <row r="31" spans="1:9">
      <c r="A31" t="s">
        <v>128</v>
      </c>
      <c r="B31">
        <f>HYPERLINK("https://edu.epfl.ch/studyplan/en/master/computational-science-and-engineering/coursebook/geometric-computing-CS-457", "Geometric computing")</f>
        <v>0</v>
      </c>
      <c r="C31" t="s">
        <v>54</v>
      </c>
      <c r="D31" t="s">
        <v>172</v>
      </c>
      <c r="E31" t="s">
        <v>56</v>
      </c>
      <c r="F31" t="s">
        <v>56</v>
      </c>
      <c r="G31" t="s">
        <v>56</v>
      </c>
      <c r="H31" t="s">
        <v>75</v>
      </c>
      <c r="I31">
        <v>6</v>
      </c>
    </row>
    <row r="32" spans="1:9">
      <c r="A32" t="s">
        <v>217</v>
      </c>
      <c r="B32">
        <f>HYPERLINK("https://edu.epfl.ch/studyplan/en/master/computational-science-and-engineering/coursebook/hpc-for-numerical-methods-and-data-analysis-MATH-505", "HPC for numerical methods and data analysis")</f>
        <v>0</v>
      </c>
      <c r="C32" t="s">
        <v>54</v>
      </c>
      <c r="D32" t="s">
        <v>57</v>
      </c>
      <c r="E32" t="s">
        <v>56</v>
      </c>
      <c r="F32" t="s">
        <v>56</v>
      </c>
      <c r="G32" t="s">
        <v>56</v>
      </c>
      <c r="H32" t="s">
        <v>77</v>
      </c>
      <c r="I32">
        <v>5</v>
      </c>
    </row>
    <row r="33" spans="1:9">
      <c r="A33" t="s">
        <v>218</v>
      </c>
      <c r="B33">
        <f>HYPERLINK("https://edu.epfl.ch/studyplan/en/master/computational-science-and-engineering/coursebook/hydrodynamics-ME-444", "Hydrodynamics")</f>
        <v>0</v>
      </c>
      <c r="C33" t="s">
        <v>54</v>
      </c>
      <c r="D33" t="s">
        <v>56</v>
      </c>
      <c r="E33" t="s">
        <v>57</v>
      </c>
      <c r="F33" t="s">
        <v>56</v>
      </c>
      <c r="G33" t="s">
        <v>56</v>
      </c>
      <c r="H33" t="s">
        <v>74</v>
      </c>
      <c r="I33">
        <v>5</v>
      </c>
    </row>
    <row r="34" spans="1:9">
      <c r="A34" t="s">
        <v>131</v>
      </c>
      <c r="B34">
        <f>HYPERLINK("https://edu.epfl.ch/studyplan/en/master/computational-science-and-engineering/coursebook/image-processing-ii-MICRO-512", "Image processing II")</f>
        <v>0</v>
      </c>
      <c r="C34" t="s">
        <v>54</v>
      </c>
      <c r="D34" t="s">
        <v>56</v>
      </c>
      <c r="E34" t="s">
        <v>175</v>
      </c>
      <c r="F34" t="s">
        <v>56</v>
      </c>
      <c r="G34" t="s">
        <v>56</v>
      </c>
      <c r="H34" t="s">
        <v>74</v>
      </c>
      <c r="I34">
        <v>3</v>
      </c>
    </row>
    <row r="35" spans="1:9">
      <c r="A35" t="s">
        <v>84</v>
      </c>
      <c r="B35">
        <f>HYPERLINK("https://edu.epfl.ch/studyplan/en/master/computational-science-and-engineering/coursebook/information-security-and-privacy-COM-402", "Information security and privacy")</f>
        <v>0</v>
      </c>
      <c r="C35" t="s">
        <v>54</v>
      </c>
      <c r="D35" t="s">
        <v>168</v>
      </c>
      <c r="E35" t="s">
        <v>56</v>
      </c>
      <c r="F35" t="s">
        <v>56</v>
      </c>
      <c r="G35" t="s">
        <v>56</v>
      </c>
      <c r="H35" t="s">
        <v>75</v>
      </c>
      <c r="I35">
        <v>8</v>
      </c>
    </row>
    <row r="36" spans="1:9">
      <c r="A36" t="s">
        <v>219</v>
      </c>
      <c r="B36">
        <f>HYPERLINK("https://edu.epfl.ch/studyplan/en/master/computational-science-and-engineering/coursebook/instability-ME-466", "Instability")</f>
        <v>0</v>
      </c>
      <c r="C36" t="s">
        <v>54</v>
      </c>
      <c r="D36" t="s">
        <v>61</v>
      </c>
      <c r="E36" t="s">
        <v>56</v>
      </c>
      <c r="F36" t="s">
        <v>56</v>
      </c>
      <c r="G36" t="s">
        <v>56</v>
      </c>
      <c r="H36" t="s">
        <v>75</v>
      </c>
      <c r="I36">
        <v>3</v>
      </c>
    </row>
    <row r="37" spans="1:9">
      <c r="A37" t="s">
        <v>220</v>
      </c>
      <c r="B37">
        <f>HYPERLINK("https://edu.epfl.ch/studyplan/en/master/computational-science-and-engineering/coursebook/introduction-to-electronic-structure-methods-CH-353", "Introduction to electronic structure methods")</f>
        <v>0</v>
      </c>
      <c r="C37" t="s">
        <v>54</v>
      </c>
      <c r="D37" t="s">
        <v>57</v>
      </c>
      <c r="E37" t="s">
        <v>56</v>
      </c>
      <c r="F37" t="s">
        <v>56</v>
      </c>
      <c r="G37" t="s">
        <v>56</v>
      </c>
      <c r="H37" t="s">
        <v>77</v>
      </c>
      <c r="I37">
        <v>4</v>
      </c>
    </row>
    <row r="38" spans="1:9">
      <c r="A38" t="s">
        <v>221</v>
      </c>
      <c r="B38">
        <f>HYPERLINK("https://edu.epfl.ch/studyplan/en/master/computational-science-and-engineering/coursebook/low-rank-approximation-techniques-MATH-403", "Low-rank approximation techniques")</f>
        <v>0</v>
      </c>
      <c r="C38" t="s">
        <v>54</v>
      </c>
      <c r="D38" t="s">
        <v>57</v>
      </c>
      <c r="E38" t="s">
        <v>56</v>
      </c>
      <c r="F38" t="s">
        <v>56</v>
      </c>
      <c r="G38" t="s">
        <v>56</v>
      </c>
      <c r="H38" t="s">
        <v>188</v>
      </c>
      <c r="I38">
        <v>5</v>
      </c>
    </row>
    <row r="39" spans="1:9">
      <c r="A39" t="s">
        <v>140</v>
      </c>
      <c r="B39">
        <f>HYPERLINK("https://edu.epfl.ch/studyplan/en/master/computational-science-and-engineering/coursebook/mathematical-foundations-of-signal-processing-COM-514", "Mathematical foundations of signal processing")</f>
        <v>0</v>
      </c>
      <c r="C39" t="s">
        <v>54</v>
      </c>
      <c r="D39" t="s">
        <v>64</v>
      </c>
      <c r="E39" t="s">
        <v>56</v>
      </c>
      <c r="F39" t="s">
        <v>56</v>
      </c>
      <c r="G39" t="s">
        <v>56</v>
      </c>
      <c r="H39" t="s">
        <v>75</v>
      </c>
      <c r="I39">
        <v>6</v>
      </c>
    </row>
    <row r="40" spans="1:9">
      <c r="A40" t="s">
        <v>222</v>
      </c>
      <c r="B40">
        <f>HYPERLINK("https://edu.epfl.ch/studyplan/en/master/computational-science-and-engineering/coursebook/mathematical-modelling-of-behavior-MATH-463", "Mathematical modelling of behavior")</f>
        <v>0</v>
      </c>
      <c r="C40" t="s">
        <v>54</v>
      </c>
      <c r="D40" t="s">
        <v>57</v>
      </c>
      <c r="E40" t="s">
        <v>56</v>
      </c>
      <c r="F40" t="s">
        <v>56</v>
      </c>
      <c r="G40" t="s">
        <v>56</v>
      </c>
      <c r="H40" t="s">
        <v>75</v>
      </c>
      <c r="I40">
        <v>5</v>
      </c>
    </row>
    <row r="41" spans="1:9">
      <c r="A41" t="s">
        <v>223</v>
      </c>
      <c r="B41">
        <f>HYPERLINK("https://edu.epfl.ch/studyplan/en/master/computational-science-and-engineering/coursebook/mathematics-of-data-from-theory-to-computation-EE-556", "Mathematics of data: from theory to computation")</f>
        <v>0</v>
      </c>
      <c r="C41" t="s">
        <v>54</v>
      </c>
      <c r="D41" t="s">
        <v>236</v>
      </c>
      <c r="E41" t="s">
        <v>56</v>
      </c>
      <c r="F41" t="s">
        <v>56</v>
      </c>
      <c r="G41" t="s">
        <v>56</v>
      </c>
      <c r="H41" t="s">
        <v>75</v>
      </c>
      <c r="I41">
        <v>6</v>
      </c>
    </row>
    <row r="42" spans="1:9">
      <c r="A42" t="s">
        <v>224</v>
      </c>
      <c r="B42">
        <f>HYPERLINK("https://edu.epfl.ch/studyplan/en/master/computational-science-and-engineering/coursebook/molecular-quantum-dynamics-CH-453", "Molecular quantum dynamics")</f>
        <v>0</v>
      </c>
      <c r="C42" t="s">
        <v>54</v>
      </c>
      <c r="D42" t="s">
        <v>56</v>
      </c>
      <c r="E42" t="s">
        <v>61</v>
      </c>
      <c r="F42" t="s">
        <v>56</v>
      </c>
      <c r="G42" t="s">
        <v>56</v>
      </c>
      <c r="H42" t="s">
        <v>189</v>
      </c>
      <c r="I42">
        <v>3</v>
      </c>
    </row>
    <row r="43" spans="1:9">
      <c r="A43" t="s">
        <v>225</v>
      </c>
      <c r="B43">
        <f>HYPERLINK("https://edu.epfl.ch/studyplan/en/master/computational-science-and-engineering/coursebook/numerical-approximation-of-pdes-MATH-451", "Numerical approximation of PDEs")</f>
        <v>0</v>
      </c>
      <c r="C43" t="s">
        <v>54</v>
      </c>
      <c r="D43" t="s">
        <v>56</v>
      </c>
      <c r="E43" t="s">
        <v>57</v>
      </c>
      <c r="F43" t="s">
        <v>56</v>
      </c>
      <c r="G43" t="s">
        <v>56</v>
      </c>
      <c r="H43" t="s">
        <v>74</v>
      </c>
      <c r="I43">
        <v>5</v>
      </c>
    </row>
    <row r="44" spans="1:9">
      <c r="A44" t="s">
        <v>226</v>
      </c>
      <c r="B44">
        <f>HYPERLINK("https://edu.epfl.ch/studyplan/en/master/computational-science-and-engineering/coursebook/numerical-flow-simulation-ME-474", "Numerical flow simulation")</f>
        <v>0</v>
      </c>
      <c r="C44" t="s">
        <v>54</v>
      </c>
      <c r="D44" t="s">
        <v>57</v>
      </c>
      <c r="E44" t="s">
        <v>56</v>
      </c>
      <c r="F44" t="s">
        <v>56</v>
      </c>
      <c r="G44" t="s">
        <v>56</v>
      </c>
      <c r="H44" t="s">
        <v>77</v>
      </c>
      <c r="I44">
        <v>5</v>
      </c>
    </row>
    <row r="45" spans="1:9">
      <c r="A45" t="s">
        <v>227</v>
      </c>
      <c r="B45">
        <f>HYPERLINK("https://edu.epfl.ch/studyplan/en/master/computational-science-and-engineering/coursebook/numerical-integration-of-stochastic-differential-equations-MATH-450", "Numerical integration of stochastic differential equations")</f>
        <v>0</v>
      </c>
      <c r="C45" t="s">
        <v>54</v>
      </c>
      <c r="D45" t="s">
        <v>56</v>
      </c>
      <c r="E45" t="s">
        <v>57</v>
      </c>
      <c r="F45" t="s">
        <v>56</v>
      </c>
      <c r="G45" t="s">
        <v>56</v>
      </c>
      <c r="H45" t="s">
        <v>74</v>
      </c>
      <c r="I45">
        <v>5</v>
      </c>
    </row>
    <row r="46" spans="1:9">
      <c r="A46" t="s">
        <v>228</v>
      </c>
      <c r="B46">
        <f>HYPERLINK("https://edu.epfl.ch/studyplan/en/master/computational-science-and-engineering/coursebook/numerical-methods-for-conservation-laws-MATH-459", "Numerical methods for conservation laws")</f>
        <v>0</v>
      </c>
      <c r="C46" t="s">
        <v>54</v>
      </c>
      <c r="D46" t="s">
        <v>57</v>
      </c>
      <c r="E46" t="s">
        <v>56</v>
      </c>
      <c r="F46" t="s">
        <v>56</v>
      </c>
      <c r="G46" t="s">
        <v>56</v>
      </c>
      <c r="H46" t="s">
        <v>188</v>
      </c>
      <c r="I46">
        <v>5</v>
      </c>
    </row>
    <row r="47" spans="1:9">
      <c r="A47" t="s">
        <v>229</v>
      </c>
      <c r="B47">
        <f>HYPERLINK("https://edu.epfl.ch/studyplan/en/master/computational-science-and-engineering/coursebook/numerics-for-fluids-structures-electromagnetics-MATH-468", "Numerics for fluids, structures &amp; electromagnetics")</f>
        <v>0</v>
      </c>
      <c r="C47" t="s">
        <v>54</v>
      </c>
      <c r="D47" t="s">
        <v>57</v>
      </c>
      <c r="E47" t="s">
        <v>56</v>
      </c>
      <c r="F47" t="s">
        <v>56</v>
      </c>
      <c r="G47" t="s">
        <v>56</v>
      </c>
      <c r="H47" t="s">
        <v>188</v>
      </c>
      <c r="I47">
        <v>5</v>
      </c>
    </row>
    <row r="48" spans="1:9">
      <c r="A48" t="s">
        <v>144</v>
      </c>
      <c r="B48">
        <f>HYPERLINK("https://edu.epfl.ch/studyplan/en/master/computational-science-and-engineering/coursebook/optimization-for-machine-learning-CS-439", "Optimization for machine learning")</f>
        <v>0</v>
      </c>
      <c r="C48" t="s">
        <v>54</v>
      </c>
      <c r="D48" t="s">
        <v>56</v>
      </c>
      <c r="E48" t="s">
        <v>171</v>
      </c>
      <c r="F48" t="s">
        <v>56</v>
      </c>
      <c r="G48" t="s">
        <v>56</v>
      </c>
      <c r="H48" t="s">
        <v>74</v>
      </c>
      <c r="I48">
        <v>8</v>
      </c>
    </row>
    <row r="49" spans="1:9">
      <c r="A49" t="s">
        <v>230</v>
      </c>
      <c r="B49">
        <f>HYPERLINK("https://edu.epfl.ch/studyplan/en/master/computational-science-and-engineering/coursebook/principles-and-applications-of-systems-biology-CHE-411", "Principles and applications of systems biology")</f>
        <v>0</v>
      </c>
      <c r="C49" t="s">
        <v>54</v>
      </c>
      <c r="D49" t="s">
        <v>61</v>
      </c>
      <c r="E49" t="s">
        <v>56</v>
      </c>
      <c r="F49" t="s">
        <v>56</v>
      </c>
      <c r="G49" t="s">
        <v>56</v>
      </c>
      <c r="H49" t="s">
        <v>77</v>
      </c>
      <c r="I49">
        <v>3</v>
      </c>
    </row>
    <row r="50" spans="1:9">
      <c r="A50" t="s">
        <v>152</v>
      </c>
      <c r="B50">
        <f>HYPERLINK("https://edu.epfl.ch/studyplan/en/master/computational-science-and-engineering/coursebook/statistics-for-data-science-MATH-413", "Statistics for data science")</f>
        <v>0</v>
      </c>
      <c r="C50" t="s">
        <v>54</v>
      </c>
      <c r="D50" t="s">
        <v>56</v>
      </c>
      <c r="E50" t="s">
        <v>60</v>
      </c>
      <c r="F50" t="s">
        <v>56</v>
      </c>
      <c r="G50" t="s">
        <v>56</v>
      </c>
      <c r="H50" t="s">
        <v>74</v>
      </c>
      <c r="I50">
        <v>8</v>
      </c>
    </row>
    <row r="51" spans="1:9">
      <c r="A51" t="s">
        <v>231</v>
      </c>
      <c r="B51">
        <f>HYPERLINK("https://edu.epfl.ch/studyplan/en/master/computational-science-and-engineering/coursebook/stochastic-simulation-MATH-414", "Stochastic simulation")</f>
        <v>0</v>
      </c>
      <c r="C51" t="s">
        <v>54</v>
      </c>
      <c r="D51" t="s">
        <v>57</v>
      </c>
      <c r="E51" t="s">
        <v>56</v>
      </c>
      <c r="F51" t="s">
        <v>56</v>
      </c>
      <c r="G51" t="s">
        <v>56</v>
      </c>
      <c r="H51" t="s">
        <v>188</v>
      </c>
      <c r="I51">
        <v>5</v>
      </c>
    </row>
    <row r="52" spans="1:9">
      <c r="A52" t="s">
        <v>232</v>
      </c>
      <c r="B52">
        <f>HYPERLINK("https://edu.epfl.ch/studyplan/en/master/computational-science-and-engineering/coursebook/structural-biology-BIO-315", "Structural biology")</f>
        <v>0</v>
      </c>
      <c r="C52" t="s">
        <v>54</v>
      </c>
      <c r="D52" t="s">
        <v>56</v>
      </c>
      <c r="E52" t="s">
        <v>57</v>
      </c>
      <c r="F52" t="s">
        <v>56</v>
      </c>
      <c r="G52" t="s">
        <v>56</v>
      </c>
      <c r="H52" t="s">
        <v>76</v>
      </c>
      <c r="I52">
        <v>4</v>
      </c>
    </row>
    <row r="53" spans="1:9">
      <c r="A53" t="s">
        <v>156</v>
      </c>
      <c r="B53">
        <f>HYPERLINK("https://edu.epfl.ch/studyplan/en/master/computational-science-and-engineering/coursebook/systems-for-data-management-and-data-science-CS-460", "Systems for data management and data science")</f>
        <v>0</v>
      </c>
      <c r="C53" t="s">
        <v>54</v>
      </c>
      <c r="D53" t="s">
        <v>56</v>
      </c>
      <c r="E53" t="s">
        <v>67</v>
      </c>
      <c r="F53" t="s">
        <v>56</v>
      </c>
      <c r="G53" t="s">
        <v>56</v>
      </c>
      <c r="H53" t="s">
        <v>74</v>
      </c>
      <c r="I53">
        <v>8</v>
      </c>
    </row>
    <row r="54" spans="1:9">
      <c r="A54" t="s">
        <v>233</v>
      </c>
      <c r="B54">
        <f>HYPERLINK("https://edu.epfl.ch/studyplan/en/master/computational-science-and-engineering/coursebook/turbulence-ME-467", "Turbulence")</f>
        <v>0</v>
      </c>
      <c r="C54" t="s">
        <v>54</v>
      </c>
      <c r="D54" t="s">
        <v>56</v>
      </c>
      <c r="E54" t="s">
        <v>64</v>
      </c>
      <c r="F54" t="s">
        <v>56</v>
      </c>
      <c r="G54" t="s">
        <v>56</v>
      </c>
      <c r="H54" t="s">
        <v>76</v>
      </c>
      <c r="I54">
        <v>5</v>
      </c>
    </row>
    <row r="55" spans="1:9">
      <c r="A55" t="s">
        <v>234</v>
      </c>
      <c r="B55">
        <f>HYPERLINK("https://edu.epfl.ch/studyplan/en/master/computational-science-and-engineering/coursebook/understanding-advanced-molecular-simulation-CH-420", "Understanding advanced molecular simulation")</f>
        <v>0</v>
      </c>
      <c r="C55" t="s">
        <v>54</v>
      </c>
      <c r="D55" t="s">
        <v>56</v>
      </c>
      <c r="E55" t="s">
        <v>68</v>
      </c>
      <c r="F55" t="s">
        <v>56</v>
      </c>
      <c r="G55" t="s">
        <v>56</v>
      </c>
      <c r="H55" t="s">
        <v>76</v>
      </c>
      <c r="I55">
        <v>4</v>
      </c>
    </row>
    <row r="56" spans="1:9">
      <c r="A56" t="s">
        <v>235</v>
      </c>
      <c r="B56">
        <f>HYPERLINK("https://edu.epfl.ch/studyplan/en/master/computational-science-and-engineering/coursebook/projet-de-master-en-science-et-ingenierie-computationelles-MATH-598", "Projet de master en science et ingénierie computationelles")</f>
        <v>0</v>
      </c>
      <c r="C56" t="s">
        <v>164</v>
      </c>
      <c r="D56" t="s">
        <v>185</v>
      </c>
      <c r="E56" t="s">
        <v>185</v>
      </c>
      <c r="F56" t="s">
        <v>56</v>
      </c>
      <c r="G56" t="s">
        <v>56</v>
      </c>
      <c r="H56" t="s">
        <v>191</v>
      </c>
      <c r="I56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f>HYPERLINK("https://edu.epfl.ch/studyplan/en/bachelor/computer-science/coursebook/algorithms-i-CS-250", "Algorithms I")</f>
        <v>0</v>
      </c>
      <c r="C2" t="s">
        <v>54</v>
      </c>
      <c r="D2" t="s">
        <v>56</v>
      </c>
      <c r="E2" t="s">
        <v>60</v>
      </c>
      <c r="F2" t="s">
        <v>56</v>
      </c>
      <c r="G2" t="s">
        <v>56</v>
      </c>
      <c r="H2" t="s">
        <v>74</v>
      </c>
      <c r="I2">
        <v>8</v>
      </c>
    </row>
    <row r="3" spans="1:9">
      <c r="A3" t="s">
        <v>10</v>
      </c>
      <c r="B3">
        <f>HYPERLINK("https://edu.epfl.ch/studyplan/en/bachelor/computer-science/coursebook/analysis-iii-MATH-203-B", "Analysis III")</f>
        <v>0</v>
      </c>
      <c r="C3" t="s">
        <v>55</v>
      </c>
      <c r="D3" t="s">
        <v>57</v>
      </c>
      <c r="E3" t="s">
        <v>56</v>
      </c>
      <c r="F3" t="s">
        <v>56</v>
      </c>
      <c r="G3" t="s">
        <v>56</v>
      </c>
      <c r="H3" t="s">
        <v>75</v>
      </c>
      <c r="I3">
        <v>4</v>
      </c>
    </row>
    <row r="4" spans="1:9">
      <c r="A4" t="s">
        <v>11</v>
      </c>
      <c r="B4">
        <f>HYPERLINK("https://edu.epfl.ch/studyplan/en/bachelor/computer-science/coursebook/parallelism-and-concurrency-CS-206", "Parallelism and concurrency")</f>
        <v>0</v>
      </c>
      <c r="C4" t="s">
        <v>54</v>
      </c>
      <c r="D4" t="s">
        <v>56</v>
      </c>
      <c r="E4" t="s">
        <v>65</v>
      </c>
      <c r="F4" t="s">
        <v>56</v>
      </c>
      <c r="G4" t="s">
        <v>56</v>
      </c>
      <c r="H4" t="s">
        <v>76</v>
      </c>
      <c r="I4">
        <v>4</v>
      </c>
    </row>
    <row r="5" spans="1:9">
      <c r="A5" t="s">
        <v>12</v>
      </c>
      <c r="B5">
        <f>HYPERLINK("https://edu.epfl.ch/studyplan/en/bachelor/computer-science/coursebook/software-construction-CS-214", "Software construction")</f>
        <v>0</v>
      </c>
      <c r="C5" t="s">
        <v>54</v>
      </c>
      <c r="D5" t="s">
        <v>58</v>
      </c>
      <c r="E5" t="s">
        <v>56</v>
      </c>
      <c r="F5" t="s">
        <v>56</v>
      </c>
      <c r="G5" t="s">
        <v>56</v>
      </c>
      <c r="H5" t="s">
        <v>75</v>
      </c>
      <c r="I5">
        <v>8</v>
      </c>
    </row>
    <row r="6" spans="1:9">
      <c r="A6" t="s">
        <v>13</v>
      </c>
      <c r="B6">
        <f>HYPERLINK("https://edu.epfl.ch/studyplan/en/bachelor/computer-science/coursebook/computer-architecture-CS-200", "Computer architecture")</f>
        <v>0</v>
      </c>
      <c r="C6" t="s">
        <v>54</v>
      </c>
      <c r="D6" t="s">
        <v>59</v>
      </c>
      <c r="E6" t="s">
        <v>56</v>
      </c>
      <c r="F6" t="s">
        <v>56</v>
      </c>
      <c r="G6" t="s">
        <v>56</v>
      </c>
      <c r="H6" t="s">
        <v>75</v>
      </c>
      <c r="I6">
        <v>8</v>
      </c>
    </row>
    <row r="7" spans="1:9">
      <c r="A7" t="s">
        <v>14</v>
      </c>
      <c r="B7">
        <f>HYPERLINK("https://edu.epfl.ch/studyplan/en/bachelor/computer-science/coursebook/computer-networks-COM-208", "Computer networks")</f>
        <v>0</v>
      </c>
      <c r="C7" t="s">
        <v>54</v>
      </c>
      <c r="D7" t="s">
        <v>57</v>
      </c>
      <c r="E7" t="s">
        <v>56</v>
      </c>
      <c r="F7" t="s">
        <v>56</v>
      </c>
      <c r="G7" t="s">
        <v>56</v>
      </c>
      <c r="H7" t="s">
        <v>75</v>
      </c>
      <c r="I7">
        <v>5</v>
      </c>
    </row>
    <row r="8" spans="1:9">
      <c r="A8" t="s">
        <v>15</v>
      </c>
      <c r="B8">
        <f>HYPERLINK("https://edu.epfl.ch/studyplan/en/bachelor/computer-science/coursebook/computer-systems-CS-202", "Computer systems")</f>
        <v>0</v>
      </c>
      <c r="C8" t="s">
        <v>54</v>
      </c>
      <c r="D8" t="s">
        <v>56</v>
      </c>
      <c r="E8" t="s">
        <v>59</v>
      </c>
      <c r="F8" t="s">
        <v>56</v>
      </c>
      <c r="G8" t="s">
        <v>56</v>
      </c>
      <c r="H8" t="s">
        <v>74</v>
      </c>
      <c r="I8">
        <v>8</v>
      </c>
    </row>
    <row r="9" spans="1:9">
      <c r="A9" t="s">
        <v>16</v>
      </c>
      <c r="B9">
        <f>HYPERLINK("https://edu.epfl.ch/studyplan/en/bachelor/computer-science/coursebook/probability-and-statistics-MATH-232", "Probability and statistics")</f>
        <v>0</v>
      </c>
      <c r="C9" t="s">
        <v>54</v>
      </c>
      <c r="D9" t="s">
        <v>60</v>
      </c>
      <c r="E9" t="s">
        <v>56</v>
      </c>
      <c r="F9" t="s">
        <v>56</v>
      </c>
      <c r="G9" t="s">
        <v>56</v>
      </c>
      <c r="H9" t="s">
        <v>75</v>
      </c>
      <c r="I9">
        <v>6</v>
      </c>
    </row>
    <row r="10" spans="1:9">
      <c r="A10" t="s">
        <v>17</v>
      </c>
      <c r="B10">
        <f>HYPERLINK("https://edu.epfl.ch/studyplan/en/bachelor/computer-science/coursebook/computer-security-and-privacy-COM-301", "Computer security and privacy")</f>
        <v>0</v>
      </c>
      <c r="C10" t="s">
        <v>54</v>
      </c>
      <c r="D10" t="s">
        <v>56</v>
      </c>
      <c r="E10" t="s">
        <v>56</v>
      </c>
      <c r="F10" t="s">
        <v>57</v>
      </c>
      <c r="G10" t="s">
        <v>56</v>
      </c>
      <c r="H10" t="s">
        <v>75</v>
      </c>
      <c r="I10">
        <v>4</v>
      </c>
    </row>
    <row r="11" spans="1:9">
      <c r="A11" t="s">
        <v>18</v>
      </c>
      <c r="B11">
        <f>HYPERLINK("https://edu.epfl.ch/studyplan/en/bachelor/computer-science/coursebook/data-intensive-systems-CS-300", "Data-intensive systems")</f>
        <v>0</v>
      </c>
      <c r="C11" t="s">
        <v>54</v>
      </c>
      <c r="D11" t="s">
        <v>56</v>
      </c>
      <c r="E11" t="s">
        <v>56</v>
      </c>
      <c r="F11" t="s">
        <v>56</v>
      </c>
      <c r="G11" t="s">
        <v>63</v>
      </c>
      <c r="H11" t="s">
        <v>74</v>
      </c>
      <c r="I11">
        <v>6</v>
      </c>
    </row>
    <row r="12" spans="1:9">
      <c r="A12" t="s">
        <v>19</v>
      </c>
      <c r="B12">
        <f>HYPERLINK("https://edu.epfl.ch/studyplan/en/bachelor/computer-science/coursebook/theory-of-computation-CS-251", "Theory of computation")</f>
        <v>0</v>
      </c>
      <c r="C12" t="s">
        <v>54</v>
      </c>
      <c r="D12" t="s">
        <v>56</v>
      </c>
      <c r="E12" t="s">
        <v>56</v>
      </c>
      <c r="F12" t="s">
        <v>56</v>
      </c>
      <c r="G12" t="s">
        <v>57</v>
      </c>
      <c r="H12" t="s">
        <v>74</v>
      </c>
      <c r="I12">
        <v>6</v>
      </c>
    </row>
    <row r="13" spans="1:9">
      <c r="A13" t="s">
        <v>20</v>
      </c>
      <c r="B13">
        <f>HYPERLINK("https://edu.epfl.ch/studyplan/en/bachelor/computer-science/coursebook/algebra-MATH-310", "Algebra")</f>
        <v>0</v>
      </c>
      <c r="C13" t="s">
        <v>54</v>
      </c>
      <c r="D13" t="s">
        <v>57</v>
      </c>
      <c r="E13" t="s">
        <v>56</v>
      </c>
      <c r="F13" t="s">
        <v>56</v>
      </c>
      <c r="G13" t="s">
        <v>56</v>
      </c>
      <c r="H13" t="s">
        <v>75</v>
      </c>
      <c r="I13">
        <v>4</v>
      </c>
    </row>
    <row r="14" spans="1:9">
      <c r="A14" t="s">
        <v>21</v>
      </c>
      <c r="B14">
        <f>HYPERLINK("https://edu.epfl.ch/studyplan/en/bachelor/computer-science/coursebook/analysis-iv-MATH-207-D", "Analysis IV")</f>
        <v>0</v>
      </c>
      <c r="C14" t="s">
        <v>55</v>
      </c>
      <c r="D14" t="s">
        <v>56</v>
      </c>
      <c r="E14" t="s">
        <v>57</v>
      </c>
      <c r="F14" t="s">
        <v>56</v>
      </c>
      <c r="G14" t="s">
        <v>56</v>
      </c>
      <c r="H14" t="s">
        <v>74</v>
      </c>
      <c r="I14">
        <v>4</v>
      </c>
    </row>
    <row r="15" spans="1:9">
      <c r="A15" t="s">
        <v>22</v>
      </c>
      <c r="B15">
        <f>HYPERLINK("https://edu.epfl.ch/studyplan/en/bachelor/computer-science/coursebook/artificial-intelligence-CS-330", "Artificial intelligence")</f>
        <v>0</v>
      </c>
      <c r="C15" t="s">
        <v>55</v>
      </c>
      <c r="D15" t="s">
        <v>56</v>
      </c>
      <c r="E15" t="s">
        <v>56</v>
      </c>
      <c r="F15" t="s">
        <v>56</v>
      </c>
      <c r="G15" t="s">
        <v>57</v>
      </c>
      <c r="H15" t="s">
        <v>76</v>
      </c>
      <c r="I15">
        <v>4</v>
      </c>
    </row>
    <row r="16" spans="1:9">
      <c r="A16" t="s">
        <v>23</v>
      </c>
      <c r="B16">
        <f>HYPERLINK("https://edu.epfl.ch/studyplan/en/bachelor/computer-science/coursebook/communications-project-COM-304", "Communications project")</f>
        <v>0</v>
      </c>
      <c r="C16" t="s">
        <v>54</v>
      </c>
      <c r="D16" t="s">
        <v>56</v>
      </c>
      <c r="E16" t="s">
        <v>56</v>
      </c>
      <c r="F16" t="s">
        <v>56</v>
      </c>
      <c r="G16" t="s">
        <v>71</v>
      </c>
      <c r="H16" t="s">
        <v>76</v>
      </c>
      <c r="I16">
        <v>8</v>
      </c>
    </row>
    <row r="17" spans="1:9">
      <c r="A17" t="s">
        <v>24</v>
      </c>
      <c r="B17">
        <f>HYPERLINK("https://edu.epfl.ch/studyplan/en/bachelor/computer-science/coursebook/computer-graphics-CS-341", "Computer graphics")</f>
        <v>0</v>
      </c>
      <c r="C17" t="s">
        <v>54</v>
      </c>
      <c r="D17" t="s">
        <v>56</v>
      </c>
      <c r="E17" t="s">
        <v>56</v>
      </c>
      <c r="F17" t="s">
        <v>56</v>
      </c>
      <c r="G17" t="s">
        <v>63</v>
      </c>
      <c r="H17" t="s">
        <v>74</v>
      </c>
      <c r="I17">
        <v>6</v>
      </c>
    </row>
    <row r="18" spans="1:9">
      <c r="A18" t="s">
        <v>25</v>
      </c>
      <c r="B18">
        <f>HYPERLINK("https://edu.epfl.ch/studyplan/en/bachelor/computer-science/coursebook/computer-language-processing-CS-320", "Computer language processing")</f>
        <v>0</v>
      </c>
      <c r="C18" t="s">
        <v>54</v>
      </c>
      <c r="D18" t="s">
        <v>56</v>
      </c>
      <c r="E18" t="s">
        <v>56</v>
      </c>
      <c r="F18" t="s">
        <v>56</v>
      </c>
      <c r="G18" t="s">
        <v>67</v>
      </c>
      <c r="H18" t="s">
        <v>76</v>
      </c>
      <c r="I18">
        <v>6</v>
      </c>
    </row>
    <row r="19" spans="1:9">
      <c r="A19" t="s">
        <v>26</v>
      </c>
      <c r="B19">
        <f>HYPERLINK("https://edu.epfl.ch/studyplan/en/bachelor/computer-science/coursebook/electromagnetics-i-transmission-lines-and-waves-EE-200", "Electromagnetics I : Transmission lines and waves")</f>
        <v>0</v>
      </c>
      <c r="C19" t="s">
        <v>55</v>
      </c>
      <c r="D19" t="s">
        <v>56</v>
      </c>
      <c r="E19" t="s">
        <v>56</v>
      </c>
      <c r="F19" t="s">
        <v>61</v>
      </c>
      <c r="G19" t="s">
        <v>56</v>
      </c>
      <c r="H19" t="s">
        <v>75</v>
      </c>
      <c r="I19">
        <v>3</v>
      </c>
    </row>
    <row r="20" spans="1:9">
      <c r="A20" t="s">
        <v>27</v>
      </c>
      <c r="B20">
        <f>HYPERLINK("https://edu.epfl.ch/studyplan/en/bachelor/computer-science/coursebook/electromagnetics-ii-field-computation-EE-201", "Electromagnetics II : field computation")</f>
        <v>0</v>
      </c>
      <c r="C20" t="s">
        <v>55</v>
      </c>
      <c r="D20" t="s">
        <v>56</v>
      </c>
      <c r="E20" t="s">
        <v>56</v>
      </c>
      <c r="F20" t="s">
        <v>56</v>
      </c>
      <c r="G20" t="s">
        <v>61</v>
      </c>
      <c r="H20" t="s">
        <v>74</v>
      </c>
      <c r="I20">
        <v>3</v>
      </c>
    </row>
    <row r="21" spans="1:9">
      <c r="A21" t="s">
        <v>28</v>
      </c>
      <c r="B21">
        <f>HYPERLINK("https://edu.epfl.ch/studyplan/en/bachelor/computer-science/coursebook/electronics-i-EE-202-B", "Electronics I")</f>
        <v>0</v>
      </c>
      <c r="C21" t="s">
        <v>55</v>
      </c>
      <c r="D21" t="s">
        <v>61</v>
      </c>
      <c r="E21" t="s">
        <v>56</v>
      </c>
      <c r="F21" t="s">
        <v>56</v>
      </c>
      <c r="G21" t="s">
        <v>56</v>
      </c>
      <c r="H21" t="s">
        <v>77</v>
      </c>
      <c r="I21">
        <v>4</v>
      </c>
    </row>
    <row r="22" spans="1:9">
      <c r="A22" t="s">
        <v>29</v>
      </c>
      <c r="B22">
        <f>HYPERLINK("https://edu.epfl.ch/studyplan/en/bachelor/computer-science/coursebook/electronics-ii-EE-203-B", "Electronics II")</f>
        <v>0</v>
      </c>
      <c r="C22" t="s">
        <v>55</v>
      </c>
      <c r="D22" t="s">
        <v>56</v>
      </c>
      <c r="E22" t="s">
        <v>56</v>
      </c>
      <c r="F22" t="s">
        <v>57</v>
      </c>
      <c r="G22" t="s">
        <v>56</v>
      </c>
      <c r="H22" t="s">
        <v>77</v>
      </c>
      <c r="I22">
        <v>4</v>
      </c>
    </row>
    <row r="23" spans="1:9">
      <c r="A23" t="s">
        <v>30</v>
      </c>
      <c r="B23">
        <f>HYPERLINK("https://edu.epfl.ch/studyplan/en/bachelor/computer-science/coursebook/electronics-iii-EE-381", "Electronics III")</f>
        <v>0</v>
      </c>
      <c r="C23" t="s">
        <v>55</v>
      </c>
      <c r="D23" t="s">
        <v>56</v>
      </c>
      <c r="E23" t="s">
        <v>56</v>
      </c>
      <c r="F23" t="s">
        <v>56</v>
      </c>
      <c r="G23" t="s">
        <v>61</v>
      </c>
      <c r="H23" t="s">
        <v>76</v>
      </c>
      <c r="I23">
        <v>3</v>
      </c>
    </row>
    <row r="24" spans="1:9">
      <c r="A24" t="s">
        <v>31</v>
      </c>
      <c r="B24">
        <f>HYPERLINK("https://edu.epfl.ch/studyplan/en/bachelor/computer-science/coursebook/general-chemistry-CH-160-B", "General chemistry")</f>
        <v>0</v>
      </c>
      <c r="C24" t="s">
        <v>55</v>
      </c>
      <c r="D24" t="s">
        <v>56</v>
      </c>
      <c r="E24" t="s">
        <v>56</v>
      </c>
      <c r="F24" t="s">
        <v>61</v>
      </c>
      <c r="G24" t="s">
        <v>56</v>
      </c>
      <c r="H24" t="s">
        <v>75</v>
      </c>
      <c r="I24">
        <v>3</v>
      </c>
    </row>
    <row r="25" spans="1:9">
      <c r="A25" t="s">
        <v>32</v>
      </c>
      <c r="B25">
        <f>HYPERLINK("https://edu.epfl.ch/studyplan/en/bachelor/computer-science/coursebook/human-computer-interaction-CS-213", "Human computer interaction")</f>
        <v>0</v>
      </c>
      <c r="C25" t="s">
        <v>55</v>
      </c>
      <c r="D25" t="s">
        <v>56</v>
      </c>
      <c r="E25" t="s">
        <v>66</v>
      </c>
      <c r="F25" t="s">
        <v>56</v>
      </c>
      <c r="G25" t="s">
        <v>56</v>
      </c>
      <c r="H25" t="s">
        <v>74</v>
      </c>
      <c r="I25">
        <v>5</v>
      </c>
    </row>
    <row r="26" spans="1:9">
      <c r="A26" t="s">
        <v>33</v>
      </c>
      <c r="B26">
        <f>HYPERLINK("https://edu.epfl.ch/studyplan/en/bachelor/computer-science/coursebook/internet-analytics-COM-308", "Internet analytics")</f>
        <v>0</v>
      </c>
      <c r="C26" t="s">
        <v>54</v>
      </c>
      <c r="D26" t="s">
        <v>56</v>
      </c>
      <c r="E26" t="s">
        <v>56</v>
      </c>
      <c r="F26" t="s">
        <v>56</v>
      </c>
      <c r="G26" t="s">
        <v>63</v>
      </c>
      <c r="H26" t="s">
        <v>74</v>
      </c>
      <c r="I26">
        <v>6</v>
      </c>
    </row>
    <row r="27" spans="1:9">
      <c r="A27" t="s">
        <v>34</v>
      </c>
      <c r="B27">
        <f>HYPERLINK("https://edu.epfl.ch/studyplan/en/bachelor/computer-science/coursebook/introduction-to-machine-learning-CS-233", "Introduction to machine learning ")</f>
        <v>0</v>
      </c>
      <c r="C27" t="s">
        <v>54</v>
      </c>
      <c r="D27" t="s">
        <v>56</v>
      </c>
      <c r="E27" t="s">
        <v>67</v>
      </c>
      <c r="F27" t="s">
        <v>56</v>
      </c>
      <c r="G27" t="s">
        <v>56</v>
      </c>
      <c r="H27" t="s">
        <v>74</v>
      </c>
      <c r="I27">
        <v>6</v>
      </c>
    </row>
    <row r="28" spans="1:9">
      <c r="A28" t="s">
        <v>35</v>
      </c>
      <c r="B28">
        <f>HYPERLINK("https://edu.epfl.ch/studyplan/en/bachelor/computer-science/coursebook/introduction-to-multiprocessor-architecture-CS-307", "Introduction to multiprocessor architecture")</f>
        <v>0</v>
      </c>
      <c r="C28" t="s">
        <v>54</v>
      </c>
      <c r="D28" t="s">
        <v>56</v>
      </c>
      <c r="E28" t="s">
        <v>56</v>
      </c>
      <c r="F28" t="s">
        <v>68</v>
      </c>
      <c r="G28" t="s">
        <v>56</v>
      </c>
      <c r="H28" t="s">
        <v>77</v>
      </c>
      <c r="I28">
        <v>4</v>
      </c>
    </row>
    <row r="29" spans="1:9">
      <c r="A29" t="s">
        <v>36</v>
      </c>
      <c r="B29">
        <f>HYPERLINK("https://edu.epfl.ch/studyplan/en/bachelor/computer-science/coursebook/introduction-to-operating-systems-CS-323", "Introduction to operating systems")</f>
        <v>0</v>
      </c>
      <c r="C29" t="s">
        <v>54</v>
      </c>
      <c r="D29" t="s">
        <v>56</v>
      </c>
      <c r="E29" t="s">
        <v>56</v>
      </c>
      <c r="F29" t="s">
        <v>63</v>
      </c>
      <c r="G29" t="s">
        <v>56</v>
      </c>
      <c r="H29" t="s">
        <v>75</v>
      </c>
      <c r="I29">
        <v>5</v>
      </c>
    </row>
    <row r="30" spans="1:9">
      <c r="A30" t="s">
        <v>37</v>
      </c>
      <c r="B30">
        <f>HYPERLINK("https://edu.epfl.ch/studyplan/en/bachelor/computer-science/coursebook/introduction-to-quantum-computation-CS-308", "Introduction to quantum computation")</f>
        <v>0</v>
      </c>
      <c r="C30" t="s">
        <v>54</v>
      </c>
      <c r="D30" t="s">
        <v>56</v>
      </c>
      <c r="E30" t="s">
        <v>56</v>
      </c>
      <c r="F30" t="s">
        <v>56</v>
      </c>
      <c r="G30" t="s">
        <v>69</v>
      </c>
      <c r="H30" t="s">
        <v>74</v>
      </c>
      <c r="I30">
        <v>5</v>
      </c>
    </row>
    <row r="31" spans="1:9">
      <c r="A31" t="s">
        <v>38</v>
      </c>
      <c r="B31">
        <f>HYPERLINK("https://edu.epfl.ch/studyplan/en/bachelor/computer-science/coursebook/introduction-to-quantum-information-processing-COM-309", "Introduction to quantum information processing")</f>
        <v>0</v>
      </c>
      <c r="C31" t="s">
        <v>54</v>
      </c>
      <c r="D31" t="s">
        <v>56</v>
      </c>
      <c r="E31" t="s">
        <v>56</v>
      </c>
      <c r="F31" t="s">
        <v>69</v>
      </c>
      <c r="G31" t="s">
        <v>56</v>
      </c>
      <c r="H31" t="s">
        <v>75</v>
      </c>
      <c r="I31">
        <v>5</v>
      </c>
    </row>
    <row r="32" spans="1:9">
      <c r="A32" t="s">
        <v>39</v>
      </c>
      <c r="B32">
        <f>HYPERLINK("https://edu.epfl.ch/studyplan/en/bachelor/computer-science/coursebook/numerical-methods-for-visual-computing-and-ml-CS-328", "Numerical methods for visual computing and ML")</f>
        <v>0</v>
      </c>
      <c r="C32" t="s">
        <v>54</v>
      </c>
      <c r="D32" t="s">
        <v>57</v>
      </c>
      <c r="E32" t="s">
        <v>56</v>
      </c>
      <c r="F32" t="s">
        <v>56</v>
      </c>
      <c r="G32" t="s">
        <v>56</v>
      </c>
      <c r="H32" t="s">
        <v>75</v>
      </c>
      <c r="I32">
        <v>4</v>
      </c>
    </row>
    <row r="33" spans="1:9">
      <c r="A33" t="s">
        <v>40</v>
      </c>
      <c r="B33">
        <f>HYPERLINK("https://edu.epfl.ch/studyplan/en/bachelor/computer-science/coursebook/parallelism-and-concurrency-in-software-CS-302", "Parallelism and concurrency in software")</f>
        <v>0</v>
      </c>
      <c r="C33" t="s">
        <v>54</v>
      </c>
      <c r="D33" t="s">
        <v>56</v>
      </c>
      <c r="E33" t="s">
        <v>56</v>
      </c>
      <c r="F33" t="s">
        <v>56</v>
      </c>
      <c r="G33" t="s">
        <v>72</v>
      </c>
      <c r="H33" t="s">
        <v>76</v>
      </c>
      <c r="I33">
        <v>6</v>
      </c>
    </row>
    <row r="34" spans="1:9">
      <c r="A34" t="s">
        <v>41</v>
      </c>
      <c r="B34">
        <f>HYPERLINK("https://edu.epfl.ch/studyplan/en/bachelor/computer-science/coursebook/principles-of-digital-communications-COM-302", "Principles of digital communications")</f>
        <v>0</v>
      </c>
      <c r="C34" t="s">
        <v>54</v>
      </c>
      <c r="D34" t="s">
        <v>56</v>
      </c>
      <c r="E34" t="s">
        <v>56</v>
      </c>
      <c r="F34" t="s">
        <v>56</v>
      </c>
      <c r="G34" t="s">
        <v>60</v>
      </c>
      <c r="H34" t="s">
        <v>74</v>
      </c>
      <c r="I34">
        <v>6</v>
      </c>
    </row>
    <row r="35" spans="1:9">
      <c r="A35" t="s">
        <v>42</v>
      </c>
      <c r="B35">
        <f>HYPERLINK("https://edu.epfl.ch/studyplan/en/bachelor/computer-science/coursebook/projet-de-recherche-optionnel-en-informatique-i-CS-304", "Projet de recherche optionnel en Informatique I")</f>
        <v>0</v>
      </c>
      <c r="C35" t="s">
        <v>55</v>
      </c>
      <c r="D35" t="s">
        <v>56</v>
      </c>
      <c r="E35" t="s">
        <v>56</v>
      </c>
      <c r="F35" t="s">
        <v>70</v>
      </c>
      <c r="G35" t="s">
        <v>70</v>
      </c>
      <c r="H35" t="s">
        <v>78</v>
      </c>
      <c r="I35">
        <v>8</v>
      </c>
    </row>
    <row r="36" spans="1:9">
      <c r="A36" t="s">
        <v>43</v>
      </c>
      <c r="B36">
        <f>HYPERLINK("https://edu.epfl.ch/studyplan/en/bachelor/computer-science/coursebook/signal-processing-COM-202", "Signal processing")</f>
        <v>0</v>
      </c>
      <c r="C36" t="s">
        <v>54</v>
      </c>
      <c r="D36" t="s">
        <v>62</v>
      </c>
      <c r="E36" t="s">
        <v>56</v>
      </c>
      <c r="F36" t="s">
        <v>56</v>
      </c>
      <c r="G36" t="s">
        <v>56</v>
      </c>
      <c r="H36" t="s">
        <v>75</v>
      </c>
      <c r="I36">
        <v>8</v>
      </c>
    </row>
    <row r="37" spans="1:9">
      <c r="A37" t="s">
        <v>44</v>
      </c>
      <c r="B37">
        <f>HYPERLINK("https://edu.epfl.ch/studyplan/en/bachelor/computer-science/coursebook/signal-processing-for-communications-COM-303", "Signal processing for communications")</f>
        <v>0</v>
      </c>
      <c r="C37" t="s">
        <v>54</v>
      </c>
      <c r="D37" t="s">
        <v>56</v>
      </c>
      <c r="E37" t="s">
        <v>56</v>
      </c>
      <c r="F37" t="s">
        <v>56</v>
      </c>
      <c r="G37" t="s">
        <v>60</v>
      </c>
      <c r="H37" t="s">
        <v>74</v>
      </c>
      <c r="I37">
        <v>6</v>
      </c>
    </row>
    <row r="38" spans="1:9">
      <c r="A38" t="s">
        <v>45</v>
      </c>
      <c r="B38">
        <f>HYPERLINK("https://edu.epfl.ch/studyplan/en/bachelor/computer-science/coursebook/stochastic-models-in-communication-COM-300", "Stochastic models in communication")</f>
        <v>0</v>
      </c>
      <c r="C38" t="s">
        <v>55</v>
      </c>
      <c r="D38" t="s">
        <v>56</v>
      </c>
      <c r="E38" t="s">
        <v>56</v>
      </c>
      <c r="F38" t="s">
        <v>60</v>
      </c>
      <c r="G38" t="s">
        <v>56</v>
      </c>
      <c r="H38" t="s">
        <v>75</v>
      </c>
      <c r="I38">
        <v>6</v>
      </c>
    </row>
    <row r="39" spans="1:9">
      <c r="A39" t="s">
        <v>46</v>
      </c>
      <c r="B39">
        <f>HYPERLINK("https://edu.epfl.ch/studyplan/en/bachelor/computer-science/coursebook/technologies-for-democratic-society-CS-234", "Technologies for democratic society")</f>
        <v>0</v>
      </c>
      <c r="C39" t="s">
        <v>54</v>
      </c>
      <c r="D39" t="s">
        <v>63</v>
      </c>
      <c r="E39" t="s">
        <v>56</v>
      </c>
      <c r="F39" t="s">
        <v>56</v>
      </c>
      <c r="G39" t="s">
        <v>56</v>
      </c>
      <c r="H39" t="s">
        <v>75</v>
      </c>
      <c r="I39">
        <v>5</v>
      </c>
    </row>
    <row r="40" spans="1:9">
      <c r="A40" t="s">
        <v>47</v>
      </c>
      <c r="B40">
        <f>HYPERLINK("https://edu.epfl.ch/studyplan/en/bachelor/computer-science/coursebook/analytical-mechanics-for-sph-PHYS-202", "Analytical mechanics (for SPH)")</f>
        <v>0</v>
      </c>
      <c r="C40" t="s">
        <v>55</v>
      </c>
      <c r="D40" t="s">
        <v>64</v>
      </c>
      <c r="E40" t="s">
        <v>56</v>
      </c>
      <c r="F40" t="s">
        <v>56</v>
      </c>
      <c r="G40" t="s">
        <v>56</v>
      </c>
      <c r="H40" t="s">
        <v>75</v>
      </c>
      <c r="I40">
        <v>5</v>
      </c>
    </row>
    <row r="41" spans="1:9">
      <c r="A41" t="s">
        <v>48</v>
      </c>
      <c r="B41">
        <f>HYPERLINK("https://edu.epfl.ch/studyplan/en/bachelor/computer-science/coursebook/general-physics-electromagnetism-PHYS-114", "General physics: electromagnetism")</f>
        <v>0</v>
      </c>
      <c r="C41" t="s">
        <v>54</v>
      </c>
      <c r="D41" t="s">
        <v>57</v>
      </c>
      <c r="E41" t="s">
        <v>56</v>
      </c>
      <c r="F41" t="s">
        <v>56</v>
      </c>
      <c r="G41" t="s">
        <v>56</v>
      </c>
      <c r="H41" t="s">
        <v>75</v>
      </c>
      <c r="I41">
        <v>4</v>
      </c>
    </row>
    <row r="42" spans="1:9">
      <c r="A42" t="s">
        <v>49</v>
      </c>
      <c r="B42">
        <f>HYPERLINK("https://edu.epfl.ch/studyplan/en/bachelor/computer-science/coursebook/introduction-to-life-sciences-for-ic-BIO-109", "Introduction to life sciences (for IC)")</f>
        <v>0</v>
      </c>
      <c r="C42" t="s">
        <v>55</v>
      </c>
      <c r="D42" t="s">
        <v>56</v>
      </c>
      <c r="E42" t="s">
        <v>60</v>
      </c>
      <c r="F42" t="s">
        <v>56</v>
      </c>
      <c r="G42" t="s">
        <v>56</v>
      </c>
      <c r="H42" t="s">
        <v>74</v>
      </c>
      <c r="I42">
        <v>6</v>
      </c>
    </row>
    <row r="43" spans="1:9">
      <c r="A43" t="s">
        <v>50</v>
      </c>
      <c r="B43">
        <f>HYPERLINK("https://edu.epfl.ch/studyplan/en/bachelor/computer-science/coursebook/quantum-mechanics-i-PHYS-207", "Quantum mechanics I")</f>
        <v>0</v>
      </c>
      <c r="C43" t="s">
        <v>54</v>
      </c>
      <c r="D43" t="s">
        <v>56</v>
      </c>
      <c r="E43" t="s">
        <v>64</v>
      </c>
      <c r="F43" t="s">
        <v>56</v>
      </c>
      <c r="G43" t="s">
        <v>56</v>
      </c>
      <c r="H43" t="s">
        <v>74</v>
      </c>
      <c r="I43">
        <v>5</v>
      </c>
    </row>
    <row r="44" spans="1:9">
      <c r="A44" t="s">
        <v>51</v>
      </c>
      <c r="B44">
        <f>HYPERLINK("https://edu.epfl.ch/studyplan/en/bachelor/computer-science/coursebook/making-intelligent-things-CS-358", "Making intelligent things")</f>
        <v>0</v>
      </c>
      <c r="C44" t="s">
        <v>54</v>
      </c>
      <c r="D44" t="s">
        <v>56</v>
      </c>
      <c r="E44" t="s">
        <v>56</v>
      </c>
      <c r="F44" t="s">
        <v>56</v>
      </c>
      <c r="G44" t="s">
        <v>70</v>
      </c>
      <c r="H44" t="s">
        <v>76</v>
      </c>
      <c r="I44">
        <v>8</v>
      </c>
    </row>
    <row r="45" spans="1:9">
      <c r="A45" t="s">
        <v>52</v>
      </c>
      <c r="B45">
        <f>HYPERLINK("https://edu.epfl.ch/studyplan/en/bachelor/computer-science/coursebook/the-software-enterprise-from-ideas-to-products-CS-311", "The software enterprise - from ideas to products")</f>
        <v>0</v>
      </c>
      <c r="C45" t="s">
        <v>54</v>
      </c>
      <c r="D45" t="s">
        <v>56</v>
      </c>
      <c r="E45" t="s">
        <v>56</v>
      </c>
      <c r="F45" t="s">
        <v>56</v>
      </c>
      <c r="G45" t="s">
        <v>73</v>
      </c>
      <c r="H45" t="s">
        <v>76</v>
      </c>
      <c r="I45">
        <v>8</v>
      </c>
    </row>
    <row r="46" spans="1:9">
      <c r="A46" t="s">
        <v>53</v>
      </c>
      <c r="B46">
        <f>HYPERLINK("https://edu.epfl.ch/studyplan/en/bachelor/humanities-and-social-sciences-program", "HSS : Bachelor cycle BA3")</f>
        <v>0</v>
      </c>
      <c r="C46" t="s">
        <v>55</v>
      </c>
      <c r="D46" t="s">
        <v>56</v>
      </c>
      <c r="E46" t="s">
        <v>56</v>
      </c>
      <c r="F46" t="s">
        <v>56</v>
      </c>
      <c r="G46" t="s">
        <v>56</v>
      </c>
      <c r="I46">
        <v>2</v>
      </c>
    </row>
    <row r="47" spans="1:9">
      <c r="A47" t="s">
        <v>79</v>
      </c>
      <c r="B47">
        <f>HYPERLINK("https://edu.epfl.ch/studyplan/en/master/communication-systems-master-program/coursebook/research-project-in-communication-systems-ii-COM-416", "Research project in communication systems II")</f>
        <v>0</v>
      </c>
      <c r="C47" t="s">
        <v>54</v>
      </c>
      <c r="D47" t="s">
        <v>165</v>
      </c>
      <c r="E47" t="s">
        <v>165</v>
      </c>
      <c r="F47" t="s">
        <v>56</v>
      </c>
      <c r="G47" t="s">
        <v>56</v>
      </c>
      <c r="H47" t="s">
        <v>78</v>
      </c>
      <c r="I47">
        <v>12</v>
      </c>
    </row>
    <row r="48" spans="1:9">
      <c r="A48" t="s">
        <v>80</v>
      </c>
      <c r="B48">
        <f>HYPERLINK("https://edu.epfl.ch/studyplan/en/master/communication-systems-master-program/coursebook/advanced-probability-and-applications-COM-417", "Advanced probability and applications")</f>
        <v>0</v>
      </c>
      <c r="C48" t="s">
        <v>54</v>
      </c>
      <c r="D48" t="s">
        <v>56</v>
      </c>
      <c r="E48" t="s">
        <v>60</v>
      </c>
      <c r="F48" t="s">
        <v>56</v>
      </c>
      <c r="G48" t="s">
        <v>56</v>
      </c>
      <c r="H48" t="s">
        <v>74</v>
      </c>
      <c r="I48">
        <v>8</v>
      </c>
    </row>
    <row r="49" spans="1:9">
      <c r="A49" t="s">
        <v>81</v>
      </c>
      <c r="B49">
        <f>HYPERLINK("https://edu.epfl.ch/studyplan/en/master/communication-systems-master-program/coursebook/algorithms-ii-CS-450", "Algorithms II")</f>
        <v>0</v>
      </c>
      <c r="C49" t="s">
        <v>54</v>
      </c>
      <c r="D49" t="s">
        <v>166</v>
      </c>
      <c r="E49" t="s">
        <v>56</v>
      </c>
      <c r="F49" t="s">
        <v>56</v>
      </c>
      <c r="G49" t="s">
        <v>56</v>
      </c>
      <c r="H49" t="s">
        <v>75</v>
      </c>
      <c r="I49">
        <v>8</v>
      </c>
    </row>
    <row r="50" spans="1:9">
      <c r="A50" t="s">
        <v>82</v>
      </c>
      <c r="B50">
        <f>HYPERLINK("https://edu.epfl.ch/studyplan/en/master/communication-systems-master-program/coursebook/cryptography-and-security-COM-401", "Cryptography and security")</f>
        <v>0</v>
      </c>
      <c r="C50" t="s">
        <v>54</v>
      </c>
      <c r="D50" t="s">
        <v>60</v>
      </c>
      <c r="E50" t="s">
        <v>56</v>
      </c>
      <c r="F50" t="s">
        <v>56</v>
      </c>
      <c r="G50" t="s">
        <v>56</v>
      </c>
      <c r="H50" t="s">
        <v>75</v>
      </c>
      <c r="I50">
        <v>8</v>
      </c>
    </row>
    <row r="51" spans="1:9">
      <c r="A51" t="s">
        <v>83</v>
      </c>
      <c r="B51">
        <f>HYPERLINK("https://edu.epfl.ch/studyplan/en/master/communication-systems-master-program/coursebook/distributed-algorithms-CS-451", "Distributed algorithms")</f>
        <v>0</v>
      </c>
      <c r="C51" t="s">
        <v>54</v>
      </c>
      <c r="D51" t="s">
        <v>167</v>
      </c>
      <c r="E51" t="s">
        <v>56</v>
      </c>
      <c r="F51" t="s">
        <v>56</v>
      </c>
      <c r="G51" t="s">
        <v>56</v>
      </c>
      <c r="H51" t="s">
        <v>75</v>
      </c>
      <c r="I51">
        <v>8</v>
      </c>
    </row>
    <row r="52" spans="1:9">
      <c r="A52" t="s">
        <v>84</v>
      </c>
      <c r="B52">
        <f>HYPERLINK("https://edu.epfl.ch/studyplan/en/master/communication-systems-master-program/coursebook/information-security-and-privacy-COM-402", "Information security and privacy")</f>
        <v>0</v>
      </c>
      <c r="C52" t="s">
        <v>54</v>
      </c>
      <c r="D52" t="s">
        <v>168</v>
      </c>
      <c r="E52" t="s">
        <v>56</v>
      </c>
      <c r="F52" t="s">
        <v>56</v>
      </c>
      <c r="G52" t="s">
        <v>56</v>
      </c>
      <c r="H52" t="s">
        <v>75</v>
      </c>
      <c r="I52">
        <v>8</v>
      </c>
    </row>
    <row r="53" spans="1:9">
      <c r="A53" t="s">
        <v>85</v>
      </c>
      <c r="B53">
        <f>HYPERLINK("https://edu.epfl.ch/studyplan/en/master/communication-systems-master-program/coursebook/information-theory-and-coding-COM-404", "Information theory and coding")</f>
        <v>0</v>
      </c>
      <c r="C53" t="s">
        <v>54</v>
      </c>
      <c r="D53" t="s">
        <v>60</v>
      </c>
      <c r="E53" t="s">
        <v>56</v>
      </c>
      <c r="F53" t="s">
        <v>56</v>
      </c>
      <c r="G53" t="s">
        <v>56</v>
      </c>
      <c r="H53" t="s">
        <v>75</v>
      </c>
      <c r="I53">
        <v>8</v>
      </c>
    </row>
    <row r="54" spans="1:9">
      <c r="A54" t="s">
        <v>86</v>
      </c>
      <c r="B54">
        <f>HYPERLINK("https://edu.epfl.ch/studyplan/en/master/communication-systems-master-program/coursebook/machine-learning-CS-433", "Machine learning")</f>
        <v>0</v>
      </c>
      <c r="C54" t="s">
        <v>54</v>
      </c>
      <c r="D54" t="s">
        <v>60</v>
      </c>
      <c r="E54" t="s">
        <v>56</v>
      </c>
      <c r="F54" t="s">
        <v>56</v>
      </c>
      <c r="G54" t="s">
        <v>56</v>
      </c>
      <c r="H54" t="s">
        <v>75</v>
      </c>
      <c r="I54">
        <v>8</v>
      </c>
    </row>
    <row r="55" spans="1:9">
      <c r="A55" t="s">
        <v>87</v>
      </c>
      <c r="B55">
        <f>HYPERLINK("https://edu.epfl.ch/studyplan/en/master/communication-systems-master-program/coursebook/mobile-networks-COM-405", "Mobile networks")</f>
        <v>0</v>
      </c>
      <c r="C55" t="s">
        <v>54</v>
      </c>
      <c r="D55" t="s">
        <v>56</v>
      </c>
      <c r="E55" t="s">
        <v>64</v>
      </c>
      <c r="F55" t="s">
        <v>56</v>
      </c>
      <c r="G55" t="s">
        <v>56</v>
      </c>
      <c r="H55" t="s">
        <v>74</v>
      </c>
      <c r="I55">
        <v>8</v>
      </c>
    </row>
    <row r="56" spans="1:9">
      <c r="A56" t="s">
        <v>88</v>
      </c>
      <c r="B56">
        <f>HYPERLINK("https://edu.epfl.ch/studyplan/en/master/communication-systems-master-program/coursebook/modern-digital-communications-a-hands-on-approach-COM-430", "Modern digital communications: a hands-on approach")</f>
        <v>0</v>
      </c>
      <c r="C56" t="s">
        <v>54</v>
      </c>
      <c r="D56" t="s">
        <v>66</v>
      </c>
      <c r="E56" t="s">
        <v>56</v>
      </c>
      <c r="F56" t="s">
        <v>56</v>
      </c>
      <c r="G56" t="s">
        <v>56</v>
      </c>
      <c r="H56" t="s">
        <v>77</v>
      </c>
      <c r="I56">
        <v>8</v>
      </c>
    </row>
    <row r="57" spans="1:9">
      <c r="A57" t="s">
        <v>89</v>
      </c>
      <c r="B57">
        <f>HYPERLINK("https://edu.epfl.ch/studyplan/en/master/communication-systems-master-program/coursebook/statistical-signal-and-data-processing-through-applications-COM-500", "Statistical signal and data processing through applications")</f>
        <v>0</v>
      </c>
      <c r="C57" t="s">
        <v>54</v>
      </c>
      <c r="D57" t="s">
        <v>56</v>
      </c>
      <c r="E57" t="s">
        <v>64</v>
      </c>
      <c r="F57" t="s">
        <v>56</v>
      </c>
      <c r="G57" t="s">
        <v>56</v>
      </c>
      <c r="H57" t="s">
        <v>74</v>
      </c>
      <c r="I57">
        <v>8</v>
      </c>
    </row>
    <row r="58" spans="1:9">
      <c r="A58" t="s">
        <v>90</v>
      </c>
      <c r="B58">
        <f>HYPERLINK("https://edu.epfl.ch/studyplan/en/master/communication-systems-master-program/coursebook/tcp-ip-networking-COM-407", "TCP/IP networking")</f>
        <v>0</v>
      </c>
      <c r="C58" t="s">
        <v>54</v>
      </c>
      <c r="D58" t="s">
        <v>67</v>
      </c>
      <c r="E58" t="s">
        <v>56</v>
      </c>
      <c r="F58" t="s">
        <v>56</v>
      </c>
      <c r="G58" t="s">
        <v>56</v>
      </c>
      <c r="H58" t="s">
        <v>75</v>
      </c>
      <c r="I58">
        <v>8</v>
      </c>
    </row>
    <row r="59" spans="1:9">
      <c r="A59" t="s">
        <v>91</v>
      </c>
      <c r="B59">
        <f>HYPERLINK("https://edu.epfl.ch/studyplan/en/master/communication-systems-master-program/coursebook/advanced-compiler-construction-CS-420", "Advanced compiler construction")</f>
        <v>0</v>
      </c>
      <c r="C59" t="s">
        <v>54</v>
      </c>
      <c r="D59" t="s">
        <v>56</v>
      </c>
      <c r="E59" t="s">
        <v>66</v>
      </c>
      <c r="F59" t="s">
        <v>56</v>
      </c>
      <c r="G59" t="s">
        <v>56</v>
      </c>
      <c r="H59" t="s">
        <v>76</v>
      </c>
      <c r="I59">
        <v>6</v>
      </c>
    </row>
    <row r="60" spans="1:9">
      <c r="A60" t="s">
        <v>92</v>
      </c>
      <c r="B60">
        <f>HYPERLINK("https://edu.epfl.ch/studyplan/en/master/communication-systems-master-program/coursebook/advanced-computer-architecture-CS-470", "Advanced computer architecture")</f>
        <v>0</v>
      </c>
      <c r="C60" t="s">
        <v>54</v>
      </c>
      <c r="D60" t="s">
        <v>56</v>
      </c>
      <c r="E60" t="s">
        <v>172</v>
      </c>
      <c r="F60" t="s">
        <v>56</v>
      </c>
      <c r="G60" t="s">
        <v>56</v>
      </c>
      <c r="H60" t="s">
        <v>74</v>
      </c>
      <c r="I60">
        <v>8</v>
      </c>
    </row>
    <row r="61" spans="1:9">
      <c r="A61" t="s">
        <v>93</v>
      </c>
      <c r="B61">
        <f>HYPERLINK("https://edu.epfl.ch/studyplan/en/master/communication-systems-master-program/coursebook/advanced-computer-graphics-CS-440", "Advanced computer graphics")</f>
        <v>0</v>
      </c>
      <c r="C61" t="s">
        <v>54</v>
      </c>
      <c r="D61" t="s">
        <v>56</v>
      </c>
      <c r="E61" t="s">
        <v>57</v>
      </c>
      <c r="F61" t="s">
        <v>56</v>
      </c>
      <c r="G61" t="s">
        <v>56</v>
      </c>
      <c r="H61" t="s">
        <v>76</v>
      </c>
      <c r="I61">
        <v>6</v>
      </c>
    </row>
    <row r="62" spans="1:9">
      <c r="A62" t="s">
        <v>94</v>
      </c>
      <c r="B62">
        <f>HYPERLINK("https://edu.epfl.ch/studyplan/en/master/communication-systems-master-program/coursebook/advanced-cryptography-COM-501", "Advanced cryptography")</f>
        <v>0</v>
      </c>
      <c r="C62" t="s">
        <v>54</v>
      </c>
      <c r="D62" t="s">
        <v>56</v>
      </c>
      <c r="E62" t="s">
        <v>57</v>
      </c>
      <c r="F62" t="s">
        <v>56</v>
      </c>
      <c r="G62" t="s">
        <v>56</v>
      </c>
      <c r="H62" t="s">
        <v>74</v>
      </c>
      <c r="I62">
        <v>6</v>
      </c>
    </row>
    <row r="63" spans="1:9">
      <c r="A63" t="s">
        <v>95</v>
      </c>
      <c r="B63">
        <f>HYPERLINK("https://edu.epfl.ch/studyplan/en/master/communication-systems-master-program/coursebook/advanced-multiprocessor-architecture-CS-471", "Advanced multiprocessor architecture")</f>
        <v>0</v>
      </c>
      <c r="C63" t="s">
        <v>54</v>
      </c>
      <c r="D63" t="s">
        <v>169</v>
      </c>
      <c r="E63" t="s">
        <v>56</v>
      </c>
      <c r="F63" t="s">
        <v>56</v>
      </c>
      <c r="G63" t="s">
        <v>56</v>
      </c>
      <c r="H63" t="s">
        <v>77</v>
      </c>
      <c r="I63">
        <v>6</v>
      </c>
    </row>
    <row r="64" spans="1:9">
      <c r="A64" t="s">
        <v>96</v>
      </c>
      <c r="B64">
        <f>HYPERLINK("https://edu.epfl.ch/studyplan/en/master/communication-systems-master-program/coursebook/advanced-topics-on-privacy-enhancing-technologies-CS-523", "Advanced topics on privacy enhancing technologies")</f>
        <v>0</v>
      </c>
      <c r="C64" t="s">
        <v>54</v>
      </c>
      <c r="D64" t="s">
        <v>56</v>
      </c>
      <c r="E64" t="s">
        <v>168</v>
      </c>
      <c r="F64" t="s">
        <v>56</v>
      </c>
      <c r="G64" t="s">
        <v>56</v>
      </c>
      <c r="H64" t="s">
        <v>74</v>
      </c>
      <c r="I64">
        <v>8</v>
      </c>
    </row>
    <row r="65" spans="1:9">
      <c r="A65" t="s">
        <v>97</v>
      </c>
      <c r="B65">
        <f>HYPERLINK("https://edu.epfl.ch/studyplan/en/master/communication-systems-master-program/coursebook/ai-product-management-CS-500", "AI product management")</f>
        <v>0</v>
      </c>
      <c r="C65" t="s">
        <v>54</v>
      </c>
      <c r="D65" t="s">
        <v>170</v>
      </c>
      <c r="E65" t="s">
        <v>56</v>
      </c>
      <c r="F65" t="s">
        <v>56</v>
      </c>
      <c r="G65" t="s">
        <v>56</v>
      </c>
      <c r="H65" t="s">
        <v>77</v>
      </c>
      <c r="I65">
        <v>6</v>
      </c>
    </row>
    <row r="66" spans="1:9">
      <c r="A66" t="s">
        <v>98</v>
      </c>
      <c r="B66">
        <f>HYPERLINK("https://edu.epfl.ch/studyplan/en/master/communication-systems-master-program/coursebook/applied-biomedical-signal-processing-EE-512", "Applied biomedical signal processing")</f>
        <v>0</v>
      </c>
      <c r="C66" t="s">
        <v>54</v>
      </c>
      <c r="D66" t="s">
        <v>66</v>
      </c>
      <c r="E66" t="s">
        <v>56</v>
      </c>
      <c r="F66" t="s">
        <v>56</v>
      </c>
      <c r="G66" t="s">
        <v>56</v>
      </c>
      <c r="H66" t="s">
        <v>75</v>
      </c>
      <c r="I66">
        <v>4</v>
      </c>
    </row>
    <row r="67" spans="1:9">
      <c r="A67" t="s">
        <v>99</v>
      </c>
      <c r="B67">
        <f>HYPERLINK("https://edu.epfl.ch/studyplan/en/master/communication-systems-master-program/coursebook/applied-biostatistics-MATH-493", "Applied biostatistics")</f>
        <v>0</v>
      </c>
      <c r="C67" t="s">
        <v>54</v>
      </c>
      <c r="D67" t="s">
        <v>56</v>
      </c>
      <c r="E67" t="s">
        <v>57</v>
      </c>
      <c r="F67" t="s">
        <v>56</v>
      </c>
      <c r="G67" t="s">
        <v>56</v>
      </c>
      <c r="H67" t="s">
        <v>76</v>
      </c>
      <c r="I67">
        <v>5</v>
      </c>
    </row>
    <row r="68" spans="1:9">
      <c r="A68" t="s">
        <v>100</v>
      </c>
      <c r="B68">
        <f>HYPERLINK("https://edu.epfl.ch/studyplan/en/master/communication-systems-master-program/coursebook/applied-data-analysis-CS-401", "Applied data analysis")</f>
        <v>0</v>
      </c>
      <c r="C68" t="s">
        <v>54</v>
      </c>
      <c r="D68" t="s">
        <v>66</v>
      </c>
      <c r="E68" t="s">
        <v>56</v>
      </c>
      <c r="F68" t="s">
        <v>56</v>
      </c>
      <c r="G68" t="s">
        <v>56</v>
      </c>
      <c r="H68" t="s">
        <v>75</v>
      </c>
      <c r="I68">
        <v>8</v>
      </c>
    </row>
    <row r="69" spans="1:9">
      <c r="A69" t="s">
        <v>101</v>
      </c>
      <c r="B69">
        <f>HYPERLINK("https://edu.epfl.ch/studyplan/en/master/communication-systems-master-program/coursebook/artificial-neural-networks-reinforcement-learning-CS-456", "Artificial neural networks/reinforcement learning")</f>
        <v>0</v>
      </c>
      <c r="C69" t="s">
        <v>54</v>
      </c>
      <c r="D69" t="s">
        <v>56</v>
      </c>
      <c r="E69" t="s">
        <v>57</v>
      </c>
      <c r="F69" t="s">
        <v>56</v>
      </c>
      <c r="G69" t="s">
        <v>56</v>
      </c>
      <c r="H69" t="s">
        <v>74</v>
      </c>
      <c r="I69">
        <v>6</v>
      </c>
    </row>
    <row r="70" spans="1:9">
      <c r="A70" t="s">
        <v>102</v>
      </c>
      <c r="B70">
        <f>HYPERLINK("https://edu.epfl.ch/studyplan/en/master/communication-systems-master-program/coursebook/automatic-speech-processing-EE-554", "Automatic speech processing")</f>
        <v>0</v>
      </c>
      <c r="C70" t="s">
        <v>54</v>
      </c>
      <c r="D70" t="s">
        <v>61</v>
      </c>
      <c r="E70" t="s">
        <v>56</v>
      </c>
      <c r="F70" t="s">
        <v>56</v>
      </c>
      <c r="G70" t="s">
        <v>56</v>
      </c>
      <c r="H70" t="s">
        <v>75</v>
      </c>
      <c r="I70">
        <v>3</v>
      </c>
    </row>
    <row r="71" spans="1:9">
      <c r="A71" t="s">
        <v>103</v>
      </c>
      <c r="B71">
        <f>HYPERLINK("https://edu.epfl.ch/studyplan/en/master/communication-systems-master-program/coursebook/basics-of-mobile-robotics-MICRO-452", "Basics of mobile robotics")</f>
        <v>0</v>
      </c>
      <c r="C71" t="s">
        <v>54</v>
      </c>
      <c r="D71" t="s">
        <v>57</v>
      </c>
      <c r="E71" t="s">
        <v>56</v>
      </c>
      <c r="F71" t="s">
        <v>56</v>
      </c>
      <c r="G71" t="s">
        <v>56</v>
      </c>
      <c r="H71" t="s">
        <v>75</v>
      </c>
      <c r="I71">
        <v>4</v>
      </c>
    </row>
    <row r="72" spans="1:9">
      <c r="A72" t="s">
        <v>104</v>
      </c>
      <c r="B72">
        <f>HYPERLINK("https://edu.epfl.ch/studyplan/en/master/communication-systems-master-program/coursebook/bioimage-informatics-BIO-410", "Bioimage informatics")</f>
        <v>0</v>
      </c>
      <c r="C72" t="s">
        <v>54</v>
      </c>
      <c r="D72" t="s">
        <v>56</v>
      </c>
      <c r="E72" t="s">
        <v>66</v>
      </c>
      <c r="F72" t="s">
        <v>56</v>
      </c>
      <c r="G72" t="s">
        <v>56</v>
      </c>
      <c r="H72" t="s">
        <v>74</v>
      </c>
      <c r="I72">
        <v>4</v>
      </c>
    </row>
    <row r="73" spans="1:9">
      <c r="A73" t="s">
        <v>105</v>
      </c>
      <c r="B73">
        <f>HYPERLINK("https://edu.epfl.ch/studyplan/en/master/communication-systems-master-program/coursebook/causal-inference-MGT-416", "Causal inference")</f>
        <v>0</v>
      </c>
      <c r="C73" t="s">
        <v>54</v>
      </c>
      <c r="D73" t="s">
        <v>56</v>
      </c>
      <c r="E73" t="s">
        <v>61</v>
      </c>
      <c r="F73" t="s">
        <v>56</v>
      </c>
      <c r="G73" t="s">
        <v>56</v>
      </c>
      <c r="H73" t="s">
        <v>76</v>
      </c>
      <c r="I73">
        <v>4</v>
      </c>
    </row>
    <row r="74" spans="1:9">
      <c r="A74" t="s">
        <v>106</v>
      </c>
      <c r="B74">
        <f>HYPERLINK("https://edu.epfl.ch/studyplan/en/master/communication-systems-master-program/coursebook/causal-thinking-MATH-352", "Causal thinking")</f>
        <v>0</v>
      </c>
      <c r="C74" t="s">
        <v>54</v>
      </c>
      <c r="D74" t="s">
        <v>57</v>
      </c>
      <c r="E74" t="s">
        <v>56</v>
      </c>
      <c r="F74" t="s">
        <v>56</v>
      </c>
      <c r="G74" t="s">
        <v>56</v>
      </c>
      <c r="H74" t="s">
        <v>75</v>
      </c>
      <c r="I74">
        <v>5</v>
      </c>
    </row>
    <row r="75" spans="1:9">
      <c r="A75" t="s">
        <v>107</v>
      </c>
      <c r="B75">
        <f>HYPERLINK("https://edu.epfl.ch/studyplan/en/master/communication-systems-master-program/coursebook/cellular-biology-and-biochemistry-for-engineers-BIO-105", "Cellular biology and biochemistry for engineers")</f>
        <v>0</v>
      </c>
      <c r="C75" t="s">
        <v>54</v>
      </c>
      <c r="D75" t="s">
        <v>57</v>
      </c>
      <c r="E75" t="s">
        <v>56</v>
      </c>
      <c r="F75" t="s">
        <v>56</v>
      </c>
      <c r="G75" t="s">
        <v>56</v>
      </c>
      <c r="H75" t="s">
        <v>75</v>
      </c>
      <c r="I75">
        <v>4</v>
      </c>
    </row>
    <row r="76" spans="1:9">
      <c r="A76" t="s">
        <v>108</v>
      </c>
      <c r="B76">
        <f>HYPERLINK("https://edu.epfl.ch/studyplan/en/master/communication-systems-master-program/coursebook/computational-complexity-CS-524", "Computational complexity")</f>
        <v>0</v>
      </c>
      <c r="C76" t="s">
        <v>54</v>
      </c>
      <c r="D76" t="s">
        <v>57</v>
      </c>
      <c r="E76" t="s">
        <v>56</v>
      </c>
      <c r="F76" t="s">
        <v>56</v>
      </c>
      <c r="G76" t="s">
        <v>56</v>
      </c>
      <c r="H76" t="s">
        <v>77</v>
      </c>
      <c r="I76">
        <v>6</v>
      </c>
    </row>
    <row r="77" spans="1:9">
      <c r="A77" t="s">
        <v>109</v>
      </c>
      <c r="B77">
        <f>HYPERLINK("https://edu.epfl.ch/studyplan/en/master/communication-systems-master-program/coursebook/computational-neurosciences-neuronal-dynamics-NX-465", "Computational neurosciences: neuronal dynamics")</f>
        <v>0</v>
      </c>
      <c r="C77" t="s">
        <v>54</v>
      </c>
      <c r="D77" t="s">
        <v>56</v>
      </c>
      <c r="E77" t="s">
        <v>57</v>
      </c>
      <c r="F77" t="s">
        <v>56</v>
      </c>
      <c r="G77" t="s">
        <v>56</v>
      </c>
      <c r="H77" t="s">
        <v>74</v>
      </c>
      <c r="I77">
        <v>5</v>
      </c>
    </row>
    <row r="78" spans="1:9">
      <c r="A78" t="s">
        <v>110</v>
      </c>
      <c r="B78">
        <f>HYPERLINK("https://edu.epfl.ch/studyplan/en/master/communication-systems-master-program/coursebook/computational-photography-CS-413", "Computational photography")</f>
        <v>0</v>
      </c>
      <c r="C78" t="s">
        <v>54</v>
      </c>
      <c r="D78" t="s">
        <v>56</v>
      </c>
      <c r="E78" t="s">
        <v>66</v>
      </c>
      <c r="F78" t="s">
        <v>56</v>
      </c>
      <c r="G78" t="s">
        <v>56</v>
      </c>
      <c r="H78" t="s">
        <v>76</v>
      </c>
      <c r="I78">
        <v>6</v>
      </c>
    </row>
    <row r="79" spans="1:9">
      <c r="A79" t="s">
        <v>111</v>
      </c>
      <c r="B79">
        <f>HYPERLINK("https://edu.epfl.ch/studyplan/en/master/communication-systems-master-program/coursebook/computers-and-music-COM-418", "Computers and music")</f>
        <v>0</v>
      </c>
      <c r="C79" t="s">
        <v>54</v>
      </c>
      <c r="D79" t="s">
        <v>56</v>
      </c>
      <c r="E79" t="s">
        <v>61</v>
      </c>
      <c r="F79" t="s">
        <v>56</v>
      </c>
      <c r="G79" t="s">
        <v>56</v>
      </c>
      <c r="H79" t="s">
        <v>76</v>
      </c>
      <c r="I79">
        <v>6</v>
      </c>
    </row>
    <row r="80" spans="1:9">
      <c r="A80" t="s">
        <v>112</v>
      </c>
      <c r="B80">
        <f>HYPERLINK("https://edu.epfl.ch/studyplan/en/master/communication-systems-master-program/coursebook/computer-vision-CS-442", "Computer vision")</f>
        <v>0</v>
      </c>
      <c r="C80" t="s">
        <v>54</v>
      </c>
      <c r="D80" t="s">
        <v>56</v>
      </c>
      <c r="E80" t="s">
        <v>61</v>
      </c>
      <c r="F80" t="s">
        <v>56</v>
      </c>
      <c r="G80" t="s">
        <v>56</v>
      </c>
      <c r="H80" t="s">
        <v>74</v>
      </c>
      <c r="I80">
        <v>6</v>
      </c>
    </row>
    <row r="81" spans="1:9">
      <c r="A81" t="s">
        <v>113</v>
      </c>
      <c r="B81">
        <f>HYPERLINK("https://edu.epfl.ch/studyplan/en/master/communication-systems-master-program/coursebook/concurrent-computing-CS-453", "Concurrent computing")</f>
        <v>0</v>
      </c>
      <c r="C81" t="s">
        <v>54</v>
      </c>
      <c r="D81" t="s">
        <v>63</v>
      </c>
      <c r="E81" t="s">
        <v>56</v>
      </c>
      <c r="F81" t="s">
        <v>56</v>
      </c>
      <c r="G81" t="s">
        <v>56</v>
      </c>
      <c r="H81" t="s">
        <v>75</v>
      </c>
      <c r="I81">
        <v>6</v>
      </c>
    </row>
    <row r="82" spans="1:9">
      <c r="A82" t="s">
        <v>114</v>
      </c>
      <c r="B82">
        <f>HYPERLINK("https://edu.epfl.ch/studyplan/en/master/communication-systems-master-program/coursebook/data-visualization-COM-480", "Data visualization")</f>
        <v>0</v>
      </c>
      <c r="C82" t="s">
        <v>54</v>
      </c>
      <c r="D82" t="s">
        <v>56</v>
      </c>
      <c r="E82" t="s">
        <v>66</v>
      </c>
      <c r="F82" t="s">
        <v>56</v>
      </c>
      <c r="G82" t="s">
        <v>56</v>
      </c>
      <c r="H82" t="s">
        <v>76</v>
      </c>
      <c r="I82">
        <v>6</v>
      </c>
    </row>
    <row r="83" spans="1:9">
      <c r="A83" t="s">
        <v>115</v>
      </c>
      <c r="B83">
        <f>HYPERLINK("https://edu.epfl.ch/studyplan/en/master/communication-systems-master-program/coursebook/decentralized-systems-engineering-CS-438", "Decentralized systems engineering")</f>
        <v>0</v>
      </c>
      <c r="C83" t="s">
        <v>54</v>
      </c>
      <c r="D83" t="s">
        <v>67</v>
      </c>
      <c r="E83" t="s">
        <v>56</v>
      </c>
      <c r="F83" t="s">
        <v>56</v>
      </c>
      <c r="G83" t="s">
        <v>56</v>
      </c>
      <c r="H83" t="s">
        <v>188</v>
      </c>
      <c r="I83">
        <v>8</v>
      </c>
    </row>
    <row r="84" spans="1:9">
      <c r="A84" t="s">
        <v>116</v>
      </c>
      <c r="B84">
        <f>HYPERLINK("https://edu.epfl.ch/studyplan/en/master/communication-systems-master-program/coursebook/deep-learning-EE-559", "Deep learning")</f>
        <v>0</v>
      </c>
      <c r="C84" t="s">
        <v>54</v>
      </c>
      <c r="D84" t="s">
        <v>56</v>
      </c>
      <c r="E84" t="s">
        <v>57</v>
      </c>
      <c r="F84" t="s">
        <v>56</v>
      </c>
      <c r="G84" t="s">
        <v>56</v>
      </c>
      <c r="H84" t="s">
        <v>76</v>
      </c>
      <c r="I84">
        <v>4</v>
      </c>
    </row>
    <row r="85" spans="1:9">
      <c r="A85" t="s">
        <v>117</v>
      </c>
      <c r="B85">
        <f>HYPERLINK("https://edu.epfl.ch/studyplan/en/master/communication-systems-master-program/coursebook/deep-learning-in-biomedicine-CS-502", "Deep learning in biomedicine")</f>
        <v>0</v>
      </c>
      <c r="C85" t="s">
        <v>54</v>
      </c>
      <c r="D85" t="s">
        <v>171</v>
      </c>
      <c r="E85" t="s">
        <v>56</v>
      </c>
      <c r="F85" t="s">
        <v>56</v>
      </c>
      <c r="G85" t="s">
        <v>56</v>
      </c>
      <c r="H85" t="s">
        <v>77</v>
      </c>
      <c r="I85">
        <v>6</v>
      </c>
    </row>
    <row r="86" spans="1:9">
      <c r="A86" t="s">
        <v>118</v>
      </c>
      <c r="B86">
        <f>HYPERLINK("https://edu.epfl.ch/studyplan/en/master/communication-systems-master-program/coursebook/design-technologies-for-integrated-systems-CS-472", "Design technologies for integrated systems")</f>
        <v>0</v>
      </c>
      <c r="C86" t="s">
        <v>54</v>
      </c>
      <c r="D86" t="s">
        <v>172</v>
      </c>
      <c r="E86" t="s">
        <v>56</v>
      </c>
      <c r="F86" t="s">
        <v>56</v>
      </c>
      <c r="G86" t="s">
        <v>56</v>
      </c>
      <c r="H86" t="s">
        <v>77</v>
      </c>
      <c r="I86">
        <v>6</v>
      </c>
    </row>
    <row r="87" spans="1:9">
      <c r="A87" t="s">
        <v>119</v>
      </c>
      <c r="B87">
        <f>HYPERLINK("https://edu.epfl.ch/studyplan/en/master/communication-systems-master-program/coursebook/digital-education-CS-411", "Digital education ")</f>
        <v>0</v>
      </c>
      <c r="C87" t="s">
        <v>54</v>
      </c>
      <c r="D87" t="s">
        <v>66</v>
      </c>
      <c r="E87" t="s">
        <v>56</v>
      </c>
      <c r="F87" t="s">
        <v>56</v>
      </c>
      <c r="G87" t="s">
        <v>56</v>
      </c>
      <c r="H87" t="s">
        <v>75</v>
      </c>
      <c r="I87">
        <v>6</v>
      </c>
    </row>
    <row r="88" spans="1:9">
      <c r="A88" t="s">
        <v>120</v>
      </c>
      <c r="B88">
        <f>HYPERLINK("https://edu.epfl.ch/studyplan/en/master/communication-systems-master-program/coursebook/distributed-information-systems-CS-423", "Distributed information systems")</f>
        <v>0</v>
      </c>
      <c r="C88" t="s">
        <v>54</v>
      </c>
      <c r="D88" t="s">
        <v>61</v>
      </c>
      <c r="E88" t="s">
        <v>56</v>
      </c>
      <c r="F88" t="s">
        <v>56</v>
      </c>
      <c r="G88" t="s">
        <v>56</v>
      </c>
      <c r="H88" t="s">
        <v>75</v>
      </c>
      <c r="I88">
        <v>6</v>
      </c>
    </row>
    <row r="89" spans="1:9">
      <c r="A89" t="s">
        <v>121</v>
      </c>
      <c r="B89">
        <f>HYPERLINK("https://edu.epfl.ch/studyplan/en/master/communication-systems-master-program/coursebook/distributed-intelligent-systems-ENG-466", "Distributed intelligent systems")</f>
        <v>0</v>
      </c>
      <c r="C89" t="s">
        <v>54</v>
      </c>
      <c r="D89" t="s">
        <v>56</v>
      </c>
      <c r="E89" t="s">
        <v>180</v>
      </c>
      <c r="F89" t="s">
        <v>56</v>
      </c>
      <c r="G89" t="s">
        <v>56</v>
      </c>
      <c r="H89" t="s">
        <v>189</v>
      </c>
      <c r="I89">
        <v>5</v>
      </c>
    </row>
    <row r="90" spans="1:9">
      <c r="A90" t="s">
        <v>122</v>
      </c>
      <c r="B90">
        <f>HYPERLINK("https://edu.epfl.ch/studyplan/en/master/communication-systems-master-program/coursebook/dynamical-system-theory-for-engineers-COM-502", "Dynamical system theory for engineers")</f>
        <v>0</v>
      </c>
      <c r="C90" t="s">
        <v>54</v>
      </c>
      <c r="D90" t="s">
        <v>56</v>
      </c>
      <c r="E90" t="s">
        <v>61</v>
      </c>
      <c r="F90" t="s">
        <v>56</v>
      </c>
      <c r="G90" t="s">
        <v>56</v>
      </c>
      <c r="H90" t="s">
        <v>74</v>
      </c>
      <c r="I90">
        <v>6</v>
      </c>
    </row>
    <row r="91" spans="1:9">
      <c r="A91" t="s">
        <v>123</v>
      </c>
      <c r="B91">
        <f>HYPERLINK("https://edu.epfl.ch/studyplan/en/master/communication-systems-master-program/coursebook/embedded-system-design-CS-476", "Embedded system design")</f>
        <v>0</v>
      </c>
      <c r="C91" t="s">
        <v>54</v>
      </c>
      <c r="D91" t="s">
        <v>56</v>
      </c>
      <c r="E91" t="s">
        <v>66</v>
      </c>
      <c r="F91" t="s">
        <v>56</v>
      </c>
      <c r="G91" t="s">
        <v>56</v>
      </c>
      <c r="H91" t="s">
        <v>76</v>
      </c>
      <c r="I91">
        <v>6</v>
      </c>
    </row>
    <row r="92" spans="1:9">
      <c r="A92" t="s">
        <v>124</v>
      </c>
      <c r="B92">
        <f>HYPERLINK("https://edu.epfl.ch/studyplan/en/master/communication-systems-master-program/coursebook/ethics-and-law-of-ai-DH-415", "Ethics and law of AI")</f>
        <v>0</v>
      </c>
      <c r="C92" t="s">
        <v>54</v>
      </c>
      <c r="D92" t="s">
        <v>68</v>
      </c>
      <c r="E92" t="s">
        <v>56</v>
      </c>
      <c r="F92" t="s">
        <v>56</v>
      </c>
      <c r="G92" t="s">
        <v>56</v>
      </c>
      <c r="H92" t="s">
        <v>75</v>
      </c>
      <c r="I92">
        <v>4</v>
      </c>
    </row>
    <row r="93" spans="1:9">
      <c r="A93" t="s">
        <v>125</v>
      </c>
      <c r="B93">
        <f>HYPERLINK("https://edu.epfl.ch/studyplan/en/master/communication-systems-master-program/coursebook/experience-design-CS-489", "Experience design")</f>
        <v>0</v>
      </c>
      <c r="C93" t="s">
        <v>54</v>
      </c>
      <c r="D93" t="s">
        <v>173</v>
      </c>
      <c r="E93" t="s">
        <v>56</v>
      </c>
      <c r="F93" t="s">
        <v>56</v>
      </c>
      <c r="G93" t="s">
        <v>56</v>
      </c>
      <c r="H93" t="s">
        <v>77</v>
      </c>
      <c r="I93">
        <v>6</v>
      </c>
    </row>
    <row r="94" spans="1:9">
      <c r="A94" t="s">
        <v>126</v>
      </c>
      <c r="B94">
        <f>HYPERLINK("https://edu.epfl.ch/studyplan/en/master/communication-systems-master-program/coursebook/formal-verification-CS-550", "Formal verification")</f>
        <v>0</v>
      </c>
      <c r="C94" t="s">
        <v>54</v>
      </c>
      <c r="D94" t="s">
        <v>67</v>
      </c>
      <c r="E94" t="s">
        <v>56</v>
      </c>
      <c r="F94" t="s">
        <v>56</v>
      </c>
      <c r="G94" t="s">
        <v>56</v>
      </c>
      <c r="H94" t="s">
        <v>77</v>
      </c>
      <c r="I94">
        <v>6</v>
      </c>
    </row>
    <row r="95" spans="1:9">
      <c r="A95" t="s">
        <v>127</v>
      </c>
      <c r="B95">
        <f>HYPERLINK("https://edu.epfl.ch/studyplan/en/master/communication-systems-master-program/coursebook/foundations-of-probabilistic-proofs-CS-459", "Foundations of probabilistic proofs")</f>
        <v>0</v>
      </c>
      <c r="C95" t="s">
        <v>54</v>
      </c>
      <c r="D95" t="s">
        <v>174</v>
      </c>
      <c r="E95" t="s">
        <v>56</v>
      </c>
      <c r="F95" t="s">
        <v>56</v>
      </c>
      <c r="G95" t="s">
        <v>56</v>
      </c>
      <c r="H95" t="s">
        <v>77</v>
      </c>
      <c r="I95">
        <v>6</v>
      </c>
    </row>
    <row r="96" spans="1:9">
      <c r="A96" t="s">
        <v>128</v>
      </c>
      <c r="B96">
        <f>HYPERLINK("https://edu.epfl.ch/studyplan/en/master/communication-systems-master-program/coursebook/geometric-computing-CS-457", "Geometric computing")</f>
        <v>0</v>
      </c>
      <c r="C96" t="s">
        <v>54</v>
      </c>
      <c r="D96" t="s">
        <v>172</v>
      </c>
      <c r="E96" t="s">
        <v>56</v>
      </c>
      <c r="F96" t="s">
        <v>56</v>
      </c>
      <c r="G96" t="s">
        <v>56</v>
      </c>
      <c r="H96" t="s">
        <v>75</v>
      </c>
      <c r="I96">
        <v>6</v>
      </c>
    </row>
    <row r="97" spans="1:9">
      <c r="A97" t="s">
        <v>129</v>
      </c>
      <c r="B97">
        <f>HYPERLINK("https://edu.epfl.ch/studyplan/en/master/communication-systems-master-program/coursebook/godel-and-recursivity-MATH-483", "Gödel and recursivity")</f>
        <v>0</v>
      </c>
      <c r="C97" t="s">
        <v>54</v>
      </c>
      <c r="D97" t="s">
        <v>57</v>
      </c>
      <c r="E97" t="s">
        <v>56</v>
      </c>
      <c r="F97" t="s">
        <v>56</v>
      </c>
      <c r="G97" t="s">
        <v>56</v>
      </c>
      <c r="H97" t="s">
        <v>75</v>
      </c>
      <c r="I97">
        <v>5</v>
      </c>
    </row>
    <row r="98" spans="1:9">
      <c r="A98" t="s">
        <v>130</v>
      </c>
      <c r="B98">
        <f>HYPERLINK("https://edu.epfl.ch/studyplan/en/master/communication-systems-master-program/coursebook/image-processing-i-MICRO-511", "Image processing I")</f>
        <v>0</v>
      </c>
      <c r="C98" t="s">
        <v>54</v>
      </c>
      <c r="D98" t="s">
        <v>175</v>
      </c>
      <c r="E98" t="s">
        <v>56</v>
      </c>
      <c r="F98" t="s">
        <v>56</v>
      </c>
      <c r="G98" t="s">
        <v>56</v>
      </c>
      <c r="H98" t="s">
        <v>75</v>
      </c>
      <c r="I98">
        <v>3</v>
      </c>
    </row>
    <row r="99" spans="1:9">
      <c r="A99" t="s">
        <v>131</v>
      </c>
      <c r="B99">
        <f>HYPERLINK("https://edu.epfl.ch/studyplan/en/master/communication-systems-master-program/coursebook/image-processing-ii-MICRO-512", "Image processing II")</f>
        <v>0</v>
      </c>
      <c r="C99" t="s">
        <v>54</v>
      </c>
      <c r="D99" t="s">
        <v>56</v>
      </c>
      <c r="E99" t="s">
        <v>175</v>
      </c>
      <c r="F99" t="s">
        <v>56</v>
      </c>
      <c r="G99" t="s">
        <v>56</v>
      </c>
      <c r="H99" t="s">
        <v>74</v>
      </c>
      <c r="I99">
        <v>3</v>
      </c>
    </row>
    <row r="100" spans="1:9">
      <c r="A100" t="s">
        <v>132</v>
      </c>
      <c r="B100">
        <f>HYPERLINK("https://edu.epfl.ch/studyplan/en/master/communication-systems-master-program/coursebook/industrial-automation-CS-487", "Industrial automation")</f>
        <v>0</v>
      </c>
      <c r="C100" t="s">
        <v>54</v>
      </c>
      <c r="D100" t="s">
        <v>56</v>
      </c>
      <c r="E100" t="s">
        <v>68</v>
      </c>
      <c r="F100" t="s">
        <v>56</v>
      </c>
      <c r="G100" t="s">
        <v>56</v>
      </c>
      <c r="H100" t="s">
        <v>189</v>
      </c>
      <c r="I100">
        <v>3</v>
      </c>
    </row>
    <row r="101" spans="1:9">
      <c r="A101" t="s">
        <v>133</v>
      </c>
      <c r="B101">
        <f>HYPERLINK("https://edu.epfl.ch/studyplan/en/master/communication-systems-master-program/coursebook/intelligent-agents-CS-430", "Intelligent agents")</f>
        <v>0</v>
      </c>
      <c r="C101" t="s">
        <v>54</v>
      </c>
      <c r="D101" t="s">
        <v>72</v>
      </c>
      <c r="E101" t="s">
        <v>56</v>
      </c>
      <c r="F101" t="s">
        <v>56</v>
      </c>
      <c r="G101" t="s">
        <v>56</v>
      </c>
      <c r="H101" t="s">
        <v>77</v>
      </c>
      <c r="I101">
        <v>6</v>
      </c>
    </row>
    <row r="102" spans="1:9">
      <c r="A102" t="s">
        <v>134</v>
      </c>
      <c r="B102">
        <f>HYPERLINK("https://edu.epfl.ch/studyplan/en/master/communication-systems-master-program/coursebook/interaction-design-CS-486", "Interaction design")</f>
        <v>0</v>
      </c>
      <c r="C102" t="s">
        <v>54</v>
      </c>
      <c r="D102" t="s">
        <v>56</v>
      </c>
      <c r="E102" t="s">
        <v>177</v>
      </c>
      <c r="F102" t="s">
        <v>56</v>
      </c>
      <c r="G102" t="s">
        <v>56</v>
      </c>
      <c r="H102" t="s">
        <v>76</v>
      </c>
      <c r="I102">
        <v>6</v>
      </c>
    </row>
    <row r="103" spans="1:9">
      <c r="A103" t="s">
        <v>135</v>
      </c>
      <c r="B103">
        <f>HYPERLINK("https://edu.epfl.ch/studyplan/en/master/communication-systems-master-program/coursebook/introduction-to-it-consulting-CS-491", "Introduction to IT consulting")</f>
        <v>0</v>
      </c>
      <c r="C103" t="s">
        <v>54</v>
      </c>
      <c r="D103" t="s">
        <v>176</v>
      </c>
      <c r="E103" t="s">
        <v>56</v>
      </c>
      <c r="F103" t="s">
        <v>56</v>
      </c>
      <c r="G103" t="s">
        <v>56</v>
      </c>
      <c r="H103" t="s">
        <v>188</v>
      </c>
      <c r="I103">
        <v>6</v>
      </c>
    </row>
    <row r="104" spans="1:9">
      <c r="A104" t="s">
        <v>136</v>
      </c>
      <c r="B104">
        <f>HYPERLINK("https://edu.epfl.ch/studyplan/en/master/communication-systems-master-program/coursebook/introduction-to-natural-language-processing-CS-431", "Introduction to natural language processing")</f>
        <v>0</v>
      </c>
      <c r="C104" t="s">
        <v>54</v>
      </c>
      <c r="D104" t="s">
        <v>57</v>
      </c>
      <c r="E104" t="s">
        <v>56</v>
      </c>
      <c r="F104" t="s">
        <v>56</v>
      </c>
      <c r="G104" t="s">
        <v>56</v>
      </c>
      <c r="H104" t="s">
        <v>75</v>
      </c>
      <c r="I104">
        <v>6</v>
      </c>
    </row>
    <row r="105" spans="1:9">
      <c r="A105" t="s">
        <v>137</v>
      </c>
      <c r="B105">
        <f>HYPERLINK("https://edu.epfl.ch/studyplan/en/master/communication-systems-master-program/coursebook/learning-theory-CS-526", "Learning theory")</f>
        <v>0</v>
      </c>
      <c r="C105" t="s">
        <v>54</v>
      </c>
      <c r="D105" t="s">
        <v>56</v>
      </c>
      <c r="E105" t="s">
        <v>57</v>
      </c>
      <c r="F105" t="s">
        <v>56</v>
      </c>
      <c r="G105" t="s">
        <v>56</v>
      </c>
      <c r="H105" t="s">
        <v>74</v>
      </c>
      <c r="I105">
        <v>6</v>
      </c>
    </row>
    <row r="106" spans="1:9">
      <c r="A106" t="s">
        <v>138</v>
      </c>
      <c r="B106">
        <f>HYPERLINK("https://edu.epfl.ch/studyplan/en/master/communication-systems-master-program/coursebook/machine-learning-for-behavioral-data-CS-421", "Machine learning for behavioral data")</f>
        <v>0</v>
      </c>
      <c r="C106" t="s">
        <v>54</v>
      </c>
      <c r="D106" t="s">
        <v>56</v>
      </c>
      <c r="E106" t="s">
        <v>66</v>
      </c>
      <c r="F106" t="s">
        <v>56</v>
      </c>
      <c r="G106" t="s">
        <v>56</v>
      </c>
      <c r="H106" t="s">
        <v>74</v>
      </c>
      <c r="I106">
        <v>6</v>
      </c>
    </row>
    <row r="107" spans="1:9">
      <c r="A107" t="s">
        <v>139</v>
      </c>
      <c r="B107">
        <f>HYPERLINK("https://edu.epfl.ch/studyplan/en/master/communication-systems-master-program/coursebook/markov-chains-and-algorithmic-applications-COM-516", "Markov chains and algorithmic applications")</f>
        <v>0</v>
      </c>
      <c r="C107" t="s">
        <v>54</v>
      </c>
      <c r="D107" t="s">
        <v>177</v>
      </c>
      <c r="E107" t="s">
        <v>56</v>
      </c>
      <c r="F107" t="s">
        <v>56</v>
      </c>
      <c r="G107" t="s">
        <v>56</v>
      </c>
      <c r="H107" t="s">
        <v>75</v>
      </c>
      <c r="I107">
        <v>6</v>
      </c>
    </row>
    <row r="108" spans="1:9">
      <c r="A108" t="s">
        <v>140</v>
      </c>
      <c r="B108">
        <f>HYPERLINK("https://edu.epfl.ch/studyplan/en/master/communication-systems-master-program/coursebook/mathematical-foundations-of-signal-processing-COM-514", "Mathematical foundations of signal processing")</f>
        <v>0</v>
      </c>
      <c r="C108" t="s">
        <v>54</v>
      </c>
      <c r="D108" t="s">
        <v>64</v>
      </c>
      <c r="E108" t="s">
        <v>56</v>
      </c>
      <c r="F108" t="s">
        <v>56</v>
      </c>
      <c r="G108" t="s">
        <v>56</v>
      </c>
      <c r="H108" t="s">
        <v>75</v>
      </c>
      <c r="I108">
        <v>6</v>
      </c>
    </row>
    <row r="109" spans="1:9">
      <c r="A109" t="s">
        <v>141</v>
      </c>
      <c r="B109">
        <f>HYPERLINK("https://edu.epfl.ch/studyplan/en/master/communication-systems-master-program/coursebook/modern-natural-language-processing-CS-552", "Modern natural language processing")</f>
        <v>0</v>
      </c>
      <c r="C109" t="s">
        <v>54</v>
      </c>
      <c r="D109" t="s">
        <v>56</v>
      </c>
      <c r="E109" t="s">
        <v>181</v>
      </c>
      <c r="F109" t="s">
        <v>56</v>
      </c>
      <c r="G109" t="s">
        <v>56</v>
      </c>
      <c r="H109" t="s">
        <v>76</v>
      </c>
      <c r="I109">
        <v>8</v>
      </c>
    </row>
    <row r="110" spans="1:9">
      <c r="A110" t="s">
        <v>142</v>
      </c>
      <c r="B110">
        <f>HYPERLINK("https://edu.epfl.ch/studyplan/en/master/communication-systems-master-program/coursebook/networks-out-of-control-COM-512", "Networks out of control")</f>
        <v>0</v>
      </c>
      <c r="C110" t="s">
        <v>54</v>
      </c>
      <c r="D110" t="s">
        <v>56</v>
      </c>
      <c r="E110" t="s">
        <v>61</v>
      </c>
      <c r="F110" t="s">
        <v>56</v>
      </c>
      <c r="G110" t="s">
        <v>56</v>
      </c>
      <c r="H110" t="s">
        <v>74</v>
      </c>
      <c r="I110">
        <v>6</v>
      </c>
    </row>
    <row r="111" spans="1:9">
      <c r="A111" t="s">
        <v>143</v>
      </c>
      <c r="B111">
        <f>HYPERLINK("https://edu.epfl.ch/studyplan/en/master/communication-systems-master-program/coursebook/number-theory-ii-c-cryptography-MATH-489", "Number theory II.c - Cryptography")</f>
        <v>0</v>
      </c>
      <c r="C111" t="s">
        <v>54</v>
      </c>
      <c r="D111" t="s">
        <v>56</v>
      </c>
      <c r="E111" t="s">
        <v>57</v>
      </c>
      <c r="F111" t="s">
        <v>56</v>
      </c>
      <c r="G111" t="s">
        <v>56</v>
      </c>
      <c r="H111" t="s">
        <v>74</v>
      </c>
      <c r="I111">
        <v>5</v>
      </c>
    </row>
    <row r="112" spans="1:9">
      <c r="A112" t="s">
        <v>144</v>
      </c>
      <c r="B112">
        <f>HYPERLINK("https://edu.epfl.ch/studyplan/en/master/communication-systems-master-program/coursebook/optimization-for-machine-learning-CS-439", "Optimization for machine learning")</f>
        <v>0</v>
      </c>
      <c r="C112" t="s">
        <v>54</v>
      </c>
      <c r="D112" t="s">
        <v>56</v>
      </c>
      <c r="E112" t="s">
        <v>171</v>
      </c>
      <c r="F112" t="s">
        <v>56</v>
      </c>
      <c r="G112" t="s">
        <v>56</v>
      </c>
      <c r="H112" t="s">
        <v>74</v>
      </c>
      <c r="I112">
        <v>8</v>
      </c>
    </row>
    <row r="113" spans="1:9">
      <c r="A113" t="s">
        <v>145</v>
      </c>
      <c r="B113">
        <f>HYPERLINK("https://edu.epfl.ch/studyplan/en/master/communication-systems-master-program/coursebook/optional-research-project-in-communication-systems-COM-507", "Optional research project in communication Systems")</f>
        <v>0</v>
      </c>
      <c r="C113" t="s">
        <v>54</v>
      </c>
      <c r="D113" t="s">
        <v>165</v>
      </c>
      <c r="E113" t="s">
        <v>165</v>
      </c>
      <c r="F113" t="s">
        <v>56</v>
      </c>
      <c r="G113" t="s">
        <v>56</v>
      </c>
      <c r="H113" t="s">
        <v>78</v>
      </c>
      <c r="I113">
        <v>8</v>
      </c>
    </row>
    <row r="114" spans="1:9">
      <c r="A114" t="s">
        <v>146</v>
      </c>
      <c r="B114">
        <f>HYPERLINK("https://edu.epfl.ch/studyplan/en/master/communication-systems-master-program/coursebook/principles-of-computer-systems-CS-522", "Principles of computer systems")</f>
        <v>0</v>
      </c>
      <c r="C114" t="s">
        <v>54</v>
      </c>
      <c r="D114" t="s">
        <v>169</v>
      </c>
      <c r="E114" t="s">
        <v>56</v>
      </c>
      <c r="F114" t="s">
        <v>56</v>
      </c>
      <c r="G114" t="s">
        <v>56</v>
      </c>
      <c r="H114" t="s">
        <v>77</v>
      </c>
      <c r="I114">
        <v>8</v>
      </c>
    </row>
    <row r="115" spans="1:9">
      <c r="A115" t="s">
        <v>147</v>
      </c>
      <c r="B115">
        <f>HYPERLINK("https://edu.epfl.ch/studyplan/en/master/communication-systems-master-program/coursebook/project-management-and-risk-analysis-MGT-427", "Project management and risk analysis")</f>
        <v>0</v>
      </c>
      <c r="C115" t="s">
        <v>55</v>
      </c>
      <c r="D115" t="s">
        <v>68</v>
      </c>
      <c r="E115" t="s">
        <v>56</v>
      </c>
      <c r="F115" t="s">
        <v>56</v>
      </c>
      <c r="G115" t="s">
        <v>56</v>
      </c>
      <c r="H115" t="s">
        <v>77</v>
      </c>
      <c r="I115">
        <v>4</v>
      </c>
    </row>
    <row r="116" spans="1:9">
      <c r="A116" t="s">
        <v>148</v>
      </c>
      <c r="B116">
        <f>HYPERLINK("https://edu.epfl.ch/studyplan/en/master/communication-systems-master-program/coursebook/social-media-EE-593", "Social media")</f>
        <v>0</v>
      </c>
      <c r="C116" t="s">
        <v>54</v>
      </c>
      <c r="D116" t="s">
        <v>56</v>
      </c>
      <c r="E116" t="s">
        <v>182</v>
      </c>
      <c r="F116" t="s">
        <v>56</v>
      </c>
      <c r="G116" t="s">
        <v>56</v>
      </c>
      <c r="H116" t="s">
        <v>76</v>
      </c>
      <c r="I116">
        <v>2</v>
      </c>
    </row>
    <row r="117" spans="1:9">
      <c r="A117" t="s">
        <v>149</v>
      </c>
      <c r="B117">
        <f>HYPERLINK("https://edu.epfl.ch/studyplan/en/master/communication-systems-master-program/coursebook/software-security-CS-412", "Software security")</f>
        <v>0</v>
      </c>
      <c r="C117" t="s">
        <v>54</v>
      </c>
      <c r="D117" t="s">
        <v>56</v>
      </c>
      <c r="E117" t="s">
        <v>181</v>
      </c>
      <c r="F117" t="s">
        <v>56</v>
      </c>
      <c r="G117" t="s">
        <v>56</v>
      </c>
      <c r="H117" t="s">
        <v>76</v>
      </c>
      <c r="I117">
        <v>6</v>
      </c>
    </row>
    <row r="118" spans="1:9">
      <c r="A118" t="s">
        <v>150</v>
      </c>
      <c r="B118">
        <f>HYPERLINK("https://edu.epfl.ch/studyplan/en/master/communication-systems-master-program/coursebook/statistical-mechanics-and-gibbs-measures-MATH-486", "Statistical mechanics and Gibbs measures")</f>
        <v>0</v>
      </c>
      <c r="C118" t="s">
        <v>54</v>
      </c>
      <c r="D118" t="s">
        <v>56</v>
      </c>
      <c r="E118" t="s">
        <v>57</v>
      </c>
      <c r="F118" t="s">
        <v>56</v>
      </c>
      <c r="G118" t="s">
        <v>56</v>
      </c>
      <c r="H118" t="s">
        <v>189</v>
      </c>
      <c r="I118">
        <v>5</v>
      </c>
    </row>
    <row r="119" spans="1:9">
      <c r="A119" t="s">
        <v>151</v>
      </c>
      <c r="B119">
        <f>HYPERLINK("https://edu.epfl.ch/studyplan/en/master/communication-systems-master-program/coursebook/statistical-physics-of-computation-PHYS-512", "Statistical physics of computation")</f>
        <v>0</v>
      </c>
      <c r="C119" t="s">
        <v>54</v>
      </c>
      <c r="D119" t="s">
        <v>57</v>
      </c>
      <c r="E119" t="s">
        <v>56</v>
      </c>
      <c r="F119" t="s">
        <v>56</v>
      </c>
      <c r="G119" t="s">
        <v>56</v>
      </c>
      <c r="H119" t="s">
        <v>75</v>
      </c>
      <c r="I119">
        <v>4</v>
      </c>
    </row>
    <row r="120" spans="1:9">
      <c r="A120" t="s">
        <v>152</v>
      </c>
      <c r="B120">
        <f>HYPERLINK("https://edu.epfl.ch/studyplan/en/master/communication-systems-master-program/coursebook/statistics-for-data-science-MATH-413", "Statistics for data science")</f>
        <v>0</v>
      </c>
      <c r="C120" t="s">
        <v>54</v>
      </c>
      <c r="D120" t="s">
        <v>56</v>
      </c>
      <c r="E120" t="s">
        <v>60</v>
      </c>
      <c r="F120" t="s">
        <v>56</v>
      </c>
      <c r="G120" t="s">
        <v>56</v>
      </c>
      <c r="H120" t="s">
        <v>74</v>
      </c>
      <c r="I120">
        <v>8</v>
      </c>
    </row>
    <row r="121" spans="1:9">
      <c r="A121" t="s">
        <v>153</v>
      </c>
      <c r="B121">
        <f>HYPERLINK("https://edu.epfl.ch/studyplan/en/master/communication-systems-master-program/coursebook/student-seminar-security-protocols-and-applications-COM-506", "Student seminar: security protocols and applications")</f>
        <v>0</v>
      </c>
      <c r="C121" t="s">
        <v>54</v>
      </c>
      <c r="D121" t="s">
        <v>56</v>
      </c>
      <c r="E121" t="s">
        <v>183</v>
      </c>
      <c r="F121" t="s">
        <v>56</v>
      </c>
      <c r="G121" t="s">
        <v>56</v>
      </c>
      <c r="H121" t="s">
        <v>76</v>
      </c>
      <c r="I121">
        <v>3</v>
      </c>
    </row>
    <row r="122" spans="1:9">
      <c r="A122" t="s">
        <v>154</v>
      </c>
      <c r="B122">
        <f>HYPERLINK("https://edu.epfl.ch/studyplan/en/master/communication-systems-master-program/coursebook/sublinear-algorithms-for-big-data-analysis-CS-448", "Sublinear algorithms for big data analysis")</f>
        <v>0</v>
      </c>
      <c r="C122" t="s">
        <v>54</v>
      </c>
      <c r="D122" t="s">
        <v>61</v>
      </c>
      <c r="E122" t="s">
        <v>56</v>
      </c>
      <c r="F122" t="s">
        <v>56</v>
      </c>
      <c r="G122" t="s">
        <v>56</v>
      </c>
      <c r="H122" t="s">
        <v>77</v>
      </c>
      <c r="I122">
        <v>6</v>
      </c>
    </row>
    <row r="123" spans="1:9">
      <c r="A123" t="s">
        <v>155</v>
      </c>
      <c r="B123">
        <f>HYPERLINK("https://edu.epfl.ch/studyplan/en/master/communication-systems-master-program/coursebook/system-programming-for-systems-on-chip-CS-473", "System programming for Systems-on-chip")</f>
        <v>0</v>
      </c>
      <c r="C123" t="s">
        <v>54</v>
      </c>
      <c r="D123" t="s">
        <v>66</v>
      </c>
      <c r="E123" t="s">
        <v>56</v>
      </c>
      <c r="F123" t="s">
        <v>56</v>
      </c>
      <c r="G123" t="s">
        <v>56</v>
      </c>
      <c r="H123" t="s">
        <v>77</v>
      </c>
      <c r="I123">
        <v>6</v>
      </c>
    </row>
    <row r="124" spans="1:9">
      <c r="A124" t="s">
        <v>156</v>
      </c>
      <c r="B124">
        <f>HYPERLINK("https://edu.epfl.ch/studyplan/en/master/communication-systems-master-program/coursebook/systems-for-data-management-and-data-science-CS-460", "Systems for data management and data science")</f>
        <v>0</v>
      </c>
      <c r="C124" t="s">
        <v>54</v>
      </c>
      <c r="D124" t="s">
        <v>56</v>
      </c>
      <c r="E124" t="s">
        <v>67</v>
      </c>
      <c r="F124" t="s">
        <v>56</v>
      </c>
      <c r="G124" t="s">
        <v>56</v>
      </c>
      <c r="H124" t="s">
        <v>74</v>
      </c>
      <c r="I124">
        <v>8</v>
      </c>
    </row>
    <row r="125" spans="1:9">
      <c r="A125" t="s">
        <v>157</v>
      </c>
      <c r="B125">
        <f>HYPERLINK("https://edu.epfl.ch/studyplan/en/master/communication-systems-master-program/coursebook/the-gc-maker-project-CS-458", "The GC maker project")</f>
        <v>0</v>
      </c>
      <c r="C125" t="s">
        <v>54</v>
      </c>
      <c r="D125" t="s">
        <v>56</v>
      </c>
      <c r="E125" t="s">
        <v>184</v>
      </c>
      <c r="F125" t="s">
        <v>56</v>
      </c>
      <c r="G125" t="s">
        <v>56</v>
      </c>
      <c r="H125" t="s">
        <v>76</v>
      </c>
      <c r="I125">
        <v>6</v>
      </c>
    </row>
    <row r="126" spans="1:9">
      <c r="A126" t="s">
        <v>158</v>
      </c>
      <c r="B126">
        <f>HYPERLINK("https://edu.epfl.ch/studyplan/en/master/communication-systems-master-program/coursebook/topics-in-software-security-CS-510", "Topics in software security")</f>
        <v>0</v>
      </c>
      <c r="C126" t="s">
        <v>54</v>
      </c>
      <c r="D126" t="s">
        <v>178</v>
      </c>
      <c r="E126" t="s">
        <v>56</v>
      </c>
      <c r="F126" t="s">
        <v>56</v>
      </c>
      <c r="G126" t="s">
        <v>56</v>
      </c>
      <c r="H126" t="s">
        <v>77</v>
      </c>
      <c r="I126">
        <v>3</v>
      </c>
    </row>
    <row r="127" spans="1:9">
      <c r="A127" t="s">
        <v>159</v>
      </c>
      <c r="B127">
        <f>HYPERLINK("https://edu.epfl.ch/studyplan/en/master/communication-systems-master-program/coursebook/topics-in-theoretical-computer-science-CS-455", "Topics in theoretical computer science")</f>
        <v>0</v>
      </c>
      <c r="C127" t="s">
        <v>54</v>
      </c>
      <c r="D127" t="s">
        <v>69</v>
      </c>
      <c r="E127" t="s">
        <v>56</v>
      </c>
      <c r="F127" t="s">
        <v>56</v>
      </c>
      <c r="G127" t="s">
        <v>56</v>
      </c>
      <c r="H127" t="s">
        <v>77</v>
      </c>
      <c r="I127">
        <v>6</v>
      </c>
    </row>
    <row r="128" spans="1:9">
      <c r="A128" t="s">
        <v>160</v>
      </c>
      <c r="B128">
        <f>HYPERLINK("https://edu.epfl.ch/studyplan/en/master/communication-systems-master-program/coursebook/virtual-reality-CS-444", "Virtual reality")</f>
        <v>0</v>
      </c>
      <c r="C128" t="s">
        <v>54</v>
      </c>
      <c r="D128" t="s">
        <v>56</v>
      </c>
      <c r="E128" t="s">
        <v>61</v>
      </c>
      <c r="F128" t="s">
        <v>56</v>
      </c>
      <c r="G128" t="s">
        <v>56</v>
      </c>
      <c r="H128" t="s">
        <v>76</v>
      </c>
      <c r="I128">
        <v>6</v>
      </c>
    </row>
    <row r="129" spans="1:9">
      <c r="A129" t="s">
        <v>161</v>
      </c>
      <c r="B129">
        <f>HYPERLINK("https://edu.epfl.ch/studyplan/en/master/communication-systems-master-program/coursebook/visual-intelligence-machines-and-minds-CS-503", "Visual intelligence : machines and minds")</f>
        <v>0</v>
      </c>
      <c r="C129" t="s">
        <v>54</v>
      </c>
      <c r="D129" t="s">
        <v>56</v>
      </c>
      <c r="E129" t="s">
        <v>57</v>
      </c>
      <c r="F129" t="s">
        <v>56</v>
      </c>
      <c r="G129" t="s">
        <v>56</v>
      </c>
      <c r="H129" t="s">
        <v>76</v>
      </c>
      <c r="I129">
        <v>6</v>
      </c>
    </row>
    <row r="130" spans="1:9">
      <c r="A130" t="s">
        <v>162</v>
      </c>
      <c r="B130">
        <f>HYPERLINK("https://edu.epfl.ch/studyplan/en/master/communication-systems-master-program/coursebook/engineering-internship-credited-with-master-project-master-in-communication-systems-COM-597", "Engineering internship credited with Master project (master in Communication Systems)")</f>
        <v>0</v>
      </c>
      <c r="C130" t="s">
        <v>54</v>
      </c>
      <c r="D130" t="s">
        <v>179</v>
      </c>
      <c r="E130" t="s">
        <v>179</v>
      </c>
      <c r="F130" t="s">
        <v>179</v>
      </c>
      <c r="G130" t="s">
        <v>179</v>
      </c>
      <c r="H130" t="s">
        <v>190</v>
      </c>
      <c r="I130">
        <v>0</v>
      </c>
    </row>
    <row r="131" spans="1:9">
      <c r="A131" t="s">
        <v>163</v>
      </c>
      <c r="B131">
        <f>HYPERLINK("https://edu.epfl.ch/studyplan/en/master/communication-systems-master-program/coursebook/master-project-in-communication-systems-COM-599", "Master project in Communication Systems")</f>
        <v>0</v>
      </c>
      <c r="C131" t="s">
        <v>54</v>
      </c>
      <c r="D131" t="s">
        <v>56</v>
      </c>
      <c r="E131" t="s">
        <v>56</v>
      </c>
      <c r="F131" t="s">
        <v>185</v>
      </c>
      <c r="G131" t="s">
        <v>185</v>
      </c>
      <c r="H131" t="s">
        <v>191</v>
      </c>
      <c r="I131">
        <v>30</v>
      </c>
    </row>
    <row r="132" spans="1:9">
      <c r="A132" t="s">
        <v>192</v>
      </c>
      <c r="B132">
        <f>HYPERLINK("https://edu.epfl.ch/studyplan/en/master/computer-science-cybersecurity/coursebook/research-project-in-cyber-security-CS-496", "Research project in Cyber security")</f>
        <v>0</v>
      </c>
      <c r="C132" t="s">
        <v>54</v>
      </c>
      <c r="D132" t="s">
        <v>198</v>
      </c>
      <c r="E132" t="s">
        <v>198</v>
      </c>
      <c r="F132" t="s">
        <v>56</v>
      </c>
      <c r="G132" t="s">
        <v>56</v>
      </c>
      <c r="H132" t="s">
        <v>78</v>
      </c>
      <c r="I132">
        <v>12</v>
      </c>
    </row>
    <row r="133" spans="1:9">
      <c r="A133" t="s">
        <v>193</v>
      </c>
      <c r="B133">
        <f>HYPERLINK("https://edu.epfl.ch/studyplan/en/master/computer-science-cybersecurity/coursebook/foundations-of-data-science-COM-406", "Foundations of Data Science")</f>
        <v>0</v>
      </c>
      <c r="C133" t="s">
        <v>54</v>
      </c>
      <c r="D133" t="s">
        <v>60</v>
      </c>
      <c r="E133" t="s">
        <v>56</v>
      </c>
      <c r="F133" t="s">
        <v>56</v>
      </c>
      <c r="G133" t="s">
        <v>56</v>
      </c>
      <c r="H133" t="s">
        <v>75</v>
      </c>
      <c r="I133">
        <v>8</v>
      </c>
    </row>
    <row r="134" spans="1:9">
      <c r="A134" t="s">
        <v>194</v>
      </c>
      <c r="B134">
        <f>HYPERLINK("https://edu.epfl.ch/studyplan/en/master/computer-science-cybersecurity/coursebook/foundations-of-software-CS-452", "Foundations of software")</f>
        <v>0</v>
      </c>
      <c r="C134" t="s">
        <v>54</v>
      </c>
      <c r="D134" t="s">
        <v>57</v>
      </c>
      <c r="E134" t="s">
        <v>56</v>
      </c>
      <c r="F134" t="s">
        <v>56</v>
      </c>
      <c r="G134" t="s">
        <v>56</v>
      </c>
      <c r="H134" t="s">
        <v>75</v>
      </c>
      <c r="I134">
        <v>6</v>
      </c>
    </row>
    <row r="135" spans="1:9">
      <c r="A135" t="s">
        <v>195</v>
      </c>
      <c r="B135">
        <f>HYPERLINK("https://edu.epfl.ch/studyplan/en/master/computer-science-cybersecurity/coursebook/optional-research-project-in-computer-science-ii-CS-596", "Optional research project in computer science II")</f>
        <v>0</v>
      </c>
      <c r="C135" t="s">
        <v>54</v>
      </c>
      <c r="D135" t="s">
        <v>70</v>
      </c>
      <c r="E135" t="s">
        <v>70</v>
      </c>
      <c r="F135" t="s">
        <v>56</v>
      </c>
      <c r="G135" t="s">
        <v>56</v>
      </c>
      <c r="H135" t="s">
        <v>78</v>
      </c>
      <c r="I135">
        <v>8</v>
      </c>
    </row>
    <row r="136" spans="1:9">
      <c r="A136" t="s">
        <v>196</v>
      </c>
      <c r="B136">
        <f>HYPERLINK("https://edu.epfl.ch/studyplan/en/master/computer-science-cybersecurity/coursebook/internship-credited-with-master-project-master-in-cybersecurity-CS-594", "Internship credited with Master Project (master in Cybersecurity)")</f>
        <v>0</v>
      </c>
      <c r="C136" t="s">
        <v>54</v>
      </c>
      <c r="D136" t="s">
        <v>179</v>
      </c>
      <c r="E136" t="s">
        <v>179</v>
      </c>
      <c r="F136" t="s">
        <v>179</v>
      </c>
      <c r="G136" t="s">
        <v>179</v>
      </c>
      <c r="H136" t="s">
        <v>190</v>
      </c>
      <c r="I136">
        <v>0</v>
      </c>
    </row>
    <row r="137" spans="1:9">
      <c r="A137" t="s">
        <v>197</v>
      </c>
      <c r="B137">
        <f>HYPERLINK("https://edu.epfl.ch/studyplan/en/master/computer-science-cybersecurity/coursebook/master-project-in-cybersecurity-CS-597", "Master project in Cybersecurity")</f>
        <v>0</v>
      </c>
      <c r="C137" t="s">
        <v>54</v>
      </c>
      <c r="D137" t="s">
        <v>56</v>
      </c>
      <c r="E137" t="s">
        <v>56</v>
      </c>
      <c r="F137" t="s">
        <v>185</v>
      </c>
      <c r="G137" t="s">
        <v>185</v>
      </c>
      <c r="H137" t="s">
        <v>191</v>
      </c>
      <c r="I137">
        <v>30</v>
      </c>
    </row>
    <row r="138" spans="1:9">
      <c r="A138" t="s">
        <v>199</v>
      </c>
      <c r="B138">
        <f>HYPERLINK("https://edu.epfl.ch/studyplan/en/master/computer-science/coursebook/research-project-in-computer-science-ii-CS-498", "Research project in Computer Science II")</f>
        <v>0</v>
      </c>
      <c r="C138" t="s">
        <v>54</v>
      </c>
      <c r="D138" t="s">
        <v>165</v>
      </c>
      <c r="E138" t="s">
        <v>165</v>
      </c>
      <c r="F138" t="s">
        <v>56</v>
      </c>
      <c r="G138" t="s">
        <v>56</v>
      </c>
      <c r="H138" t="s">
        <v>78</v>
      </c>
      <c r="I138">
        <v>12</v>
      </c>
    </row>
    <row r="139" spans="1:9">
      <c r="A139" t="s">
        <v>200</v>
      </c>
      <c r="B139">
        <f>HYPERLINK("https://edu.epfl.ch/studyplan/en/master/computer-science/coursebook/internship-credited-with-master-project-master-in-computer-science-CS-595", "Internship credited with Master Project (master in Computer Science)")</f>
        <v>0</v>
      </c>
      <c r="C139" t="s">
        <v>54</v>
      </c>
      <c r="D139" t="s">
        <v>179</v>
      </c>
      <c r="E139" t="s">
        <v>179</v>
      </c>
      <c r="F139" t="s">
        <v>179</v>
      </c>
      <c r="G139" t="s">
        <v>179</v>
      </c>
      <c r="H139" t="s">
        <v>190</v>
      </c>
      <c r="I139">
        <v>0</v>
      </c>
    </row>
    <row r="140" spans="1:9">
      <c r="A140" t="s">
        <v>201</v>
      </c>
      <c r="B140">
        <f>HYPERLINK("https://edu.epfl.ch/studyplan/en/master/computer-science/coursebook/master-project-in-computer-science-CS-599", "Master project in Computer Science")</f>
        <v>0</v>
      </c>
      <c r="C140" t="s">
        <v>54</v>
      </c>
      <c r="D140" t="s">
        <v>56</v>
      </c>
      <c r="E140" t="s">
        <v>56</v>
      </c>
      <c r="F140" t="s">
        <v>185</v>
      </c>
      <c r="G140" t="s">
        <v>185</v>
      </c>
      <c r="H140" t="s">
        <v>191</v>
      </c>
      <c r="I140">
        <v>30</v>
      </c>
    </row>
    <row r="141" spans="1:9">
      <c r="A141" t="s">
        <v>202</v>
      </c>
      <c r="B141">
        <f>HYPERLINK("https://edu.epfl.ch/studyplan/en/bachelor/communication-systems/coursebook/microprogrammed-embedded-systems-EE-310", "Microprogrammed Embedded Systems")</f>
        <v>0</v>
      </c>
      <c r="C141" t="s">
        <v>164</v>
      </c>
      <c r="D141" t="s">
        <v>56</v>
      </c>
      <c r="E141" t="s">
        <v>56</v>
      </c>
      <c r="F141" t="s">
        <v>66</v>
      </c>
      <c r="G141" t="s">
        <v>56</v>
      </c>
      <c r="H141" t="s">
        <v>188</v>
      </c>
      <c r="I141">
        <v>4</v>
      </c>
    </row>
    <row r="142" spans="1:9">
      <c r="A142" t="s">
        <v>203</v>
      </c>
      <c r="B142">
        <f>HYPERLINK("https://edu.epfl.ch/studyplan/en/bachelor/communication-systems/coursebook/projet-de-recherche-en-systemes-de-communication-i-COM-307", "Projet de recherche en Systèmes de communication I")</f>
        <v>0</v>
      </c>
      <c r="C142" t="s">
        <v>55</v>
      </c>
      <c r="D142" t="s">
        <v>56</v>
      </c>
      <c r="E142" t="s">
        <v>56</v>
      </c>
      <c r="F142" t="s">
        <v>165</v>
      </c>
      <c r="G142" t="s">
        <v>165</v>
      </c>
      <c r="H142" t="s">
        <v>78</v>
      </c>
      <c r="I142">
        <v>8</v>
      </c>
    </row>
    <row r="143" spans="1:9">
      <c r="A143" t="s">
        <v>204</v>
      </c>
      <c r="B143">
        <f>HYPERLINK("https://edu.epfl.ch/studyplan/en/master/computational-science-and-engineering/coursebook/advanced-numerical-analysis-MATH-351", "Advanced numerical analysis")</f>
        <v>0</v>
      </c>
      <c r="C143" t="s">
        <v>54</v>
      </c>
      <c r="D143" t="s">
        <v>57</v>
      </c>
      <c r="E143" t="s">
        <v>56</v>
      </c>
      <c r="F143" t="s">
        <v>56</v>
      </c>
      <c r="G143" t="s">
        <v>56</v>
      </c>
      <c r="H143" t="s">
        <v>75</v>
      </c>
      <c r="I143">
        <v>5</v>
      </c>
    </row>
    <row r="144" spans="1:9">
      <c r="A144" t="s">
        <v>205</v>
      </c>
      <c r="B144">
        <f>HYPERLINK("https://edu.epfl.ch/studyplan/en/master/computational-science-and-engineering/coursebook/computer-simulation-of-physical-systems-i-PHYS-403", "Computer simulation of physical systems I")</f>
        <v>0</v>
      </c>
      <c r="C144" t="s">
        <v>54</v>
      </c>
      <c r="D144" t="s">
        <v>57</v>
      </c>
      <c r="E144" t="s">
        <v>56</v>
      </c>
      <c r="F144" t="s">
        <v>56</v>
      </c>
      <c r="G144" t="s">
        <v>56</v>
      </c>
      <c r="H144" t="s">
        <v>188</v>
      </c>
      <c r="I144">
        <v>4</v>
      </c>
    </row>
    <row r="145" spans="1:9">
      <c r="A145" t="s">
        <v>206</v>
      </c>
      <c r="B145">
        <f>HYPERLINK("https://edu.epfl.ch/studyplan/en/master/computational-science-and-engineering/coursebook/molecular-dynamics-and-monte-carlo-simulation-CH-351", "Molecular dynamics and Monte-Carlo simulation")</f>
        <v>0</v>
      </c>
      <c r="C145" t="s">
        <v>54</v>
      </c>
      <c r="D145" t="s">
        <v>56</v>
      </c>
      <c r="E145" t="s">
        <v>178</v>
      </c>
      <c r="F145" t="s">
        <v>56</v>
      </c>
      <c r="G145" t="s">
        <v>56</v>
      </c>
      <c r="H145" t="s">
        <v>76</v>
      </c>
      <c r="I145">
        <v>2</v>
      </c>
    </row>
    <row r="146" spans="1:9">
      <c r="A146" t="s">
        <v>207</v>
      </c>
      <c r="B146">
        <f>HYPERLINK("https://edu.epfl.ch/studyplan/en/master/computational-science-and-engineering/coursebook/numerical-analysis-and-computational-mathematics-MATH-456", "Numerical analysis and computational mathematics")</f>
        <v>0</v>
      </c>
      <c r="C146" t="s">
        <v>54</v>
      </c>
      <c r="D146" t="s">
        <v>57</v>
      </c>
      <c r="E146" t="s">
        <v>56</v>
      </c>
      <c r="F146" t="s">
        <v>56</v>
      </c>
      <c r="G146" t="s">
        <v>56</v>
      </c>
      <c r="H146" t="s">
        <v>75</v>
      </c>
      <c r="I146">
        <v>4</v>
      </c>
    </row>
    <row r="147" spans="1:9">
      <c r="A147" t="s">
        <v>208</v>
      </c>
      <c r="B147">
        <f>HYPERLINK("https://edu.epfl.ch/studyplan/en/master/computational-science-and-engineering/coursebook/parallel-and-high-performance-computing-MATH-454", "Parallel and high-performance computing")</f>
        <v>0</v>
      </c>
      <c r="C147" t="s">
        <v>54</v>
      </c>
      <c r="D147" t="s">
        <v>177</v>
      </c>
      <c r="E147" t="s">
        <v>56</v>
      </c>
      <c r="F147" t="s">
        <v>56</v>
      </c>
      <c r="G147" t="s">
        <v>56</v>
      </c>
      <c r="H147" t="s">
        <v>188</v>
      </c>
      <c r="I147">
        <v>4</v>
      </c>
    </row>
    <row r="148" spans="1:9">
      <c r="A148" t="s">
        <v>209</v>
      </c>
      <c r="B148">
        <f>HYPERLINK("https://edu.epfl.ch/studyplan/en/master/computational-science-and-engineering/coursebook/programming-concepts-in-scientific-computing-MATH-458", "Programming concepts in scientific computing")</f>
        <v>0</v>
      </c>
      <c r="C148" t="s">
        <v>54</v>
      </c>
      <c r="D148" t="s">
        <v>57</v>
      </c>
      <c r="E148" t="s">
        <v>56</v>
      </c>
      <c r="F148" t="s">
        <v>56</v>
      </c>
      <c r="G148" t="s">
        <v>56</v>
      </c>
      <c r="H148" t="s">
        <v>77</v>
      </c>
      <c r="I148">
        <v>4</v>
      </c>
    </row>
    <row r="149" spans="1:9">
      <c r="A149" t="s">
        <v>210</v>
      </c>
      <c r="B149">
        <f>HYPERLINK("https://edu.epfl.ch/studyplan/en/master/computational-science-and-engineering/coursebook/cse-project-i-MATH-591", "CSE project I")</f>
        <v>0</v>
      </c>
      <c r="C149" t="s">
        <v>55</v>
      </c>
      <c r="D149" t="s">
        <v>70</v>
      </c>
      <c r="E149" t="s">
        <v>70</v>
      </c>
      <c r="F149" t="s">
        <v>56</v>
      </c>
      <c r="G149" t="s">
        <v>56</v>
      </c>
      <c r="H149" t="s">
        <v>78</v>
      </c>
      <c r="I149">
        <v>8</v>
      </c>
    </row>
    <row r="150" spans="1:9">
      <c r="A150" t="s">
        <v>211</v>
      </c>
      <c r="B150">
        <f>HYPERLINK("https://edu.epfl.ch/studyplan/en/master/computational-science-and-engineering/coursebook/cse-project-ii-MATH-592", "CSE project II")</f>
        <v>0</v>
      </c>
      <c r="C150" t="s">
        <v>55</v>
      </c>
      <c r="D150" t="s">
        <v>70</v>
      </c>
      <c r="E150" t="s">
        <v>70</v>
      </c>
      <c r="F150" t="s">
        <v>56</v>
      </c>
      <c r="G150" t="s">
        <v>56</v>
      </c>
      <c r="H150" t="s">
        <v>78</v>
      </c>
      <c r="I150">
        <v>8</v>
      </c>
    </row>
    <row r="151" spans="1:9">
      <c r="A151" t="s">
        <v>212</v>
      </c>
      <c r="B151">
        <f>HYPERLINK("https://edu.epfl.ch/studyplan/en/master/computational-science-and-engineering/coursebook/engineering-internship-master-in-computational-sciences-and-engineering-MATH-595", "Engineering internship (master in computational sciences and engineering")</f>
        <v>0</v>
      </c>
      <c r="C151" t="s">
        <v>55</v>
      </c>
      <c r="D151" t="s">
        <v>179</v>
      </c>
      <c r="E151" t="s">
        <v>179</v>
      </c>
      <c r="F151" t="s">
        <v>179</v>
      </c>
      <c r="G151" t="s">
        <v>179</v>
      </c>
      <c r="H151" t="s">
        <v>78</v>
      </c>
      <c r="I151">
        <v>8</v>
      </c>
    </row>
    <row r="152" spans="1:9">
      <c r="A152" t="s">
        <v>213</v>
      </c>
      <c r="B152">
        <f>HYPERLINK("https://edu.epfl.ch/studyplan/en/master/computational-science-and-engineering/coursebook/atomistic-and-quantum-simulations-of-materials-MSE-468", "Atomistic and quantum simulations of materials")</f>
        <v>0</v>
      </c>
      <c r="C152" t="s">
        <v>54</v>
      </c>
      <c r="D152" t="s">
        <v>56</v>
      </c>
      <c r="E152" t="s">
        <v>237</v>
      </c>
      <c r="F152" t="s">
        <v>56</v>
      </c>
      <c r="G152" t="s">
        <v>56</v>
      </c>
      <c r="H152" t="s">
        <v>76</v>
      </c>
      <c r="I152">
        <v>4</v>
      </c>
    </row>
    <row r="153" spans="1:9">
      <c r="A153" t="s">
        <v>214</v>
      </c>
      <c r="B153">
        <f>HYPERLINK("https://edu.epfl.ch/studyplan/en/master/computational-science-and-engineering/coursebook/computational-linear-algebra-MATH-453", "Computational linear algebra")</f>
        <v>0</v>
      </c>
      <c r="C153" t="s">
        <v>54</v>
      </c>
      <c r="D153" t="s">
        <v>56</v>
      </c>
      <c r="E153" t="s">
        <v>57</v>
      </c>
      <c r="F153" t="s">
        <v>56</v>
      </c>
      <c r="G153" t="s">
        <v>56</v>
      </c>
      <c r="H153" t="s">
        <v>74</v>
      </c>
      <c r="I153">
        <v>5</v>
      </c>
    </row>
    <row r="154" spans="1:9">
      <c r="A154" t="s">
        <v>215</v>
      </c>
      <c r="B154">
        <f>HYPERLINK("https://edu.epfl.ch/studyplan/en/master/computational-science-and-engineering/coursebook/computational-methods-in-molecular-quantum-mechanics-CH-452", "Computational methods in molecular quantum mechanics")</f>
        <v>0</v>
      </c>
      <c r="C154" t="s">
        <v>54</v>
      </c>
      <c r="D154" t="s">
        <v>61</v>
      </c>
      <c r="E154" t="s">
        <v>56</v>
      </c>
      <c r="F154" t="s">
        <v>56</v>
      </c>
      <c r="G154" t="s">
        <v>56</v>
      </c>
      <c r="H154" t="s">
        <v>188</v>
      </c>
      <c r="I154">
        <v>4</v>
      </c>
    </row>
    <row r="155" spans="1:9">
      <c r="A155" t="s">
        <v>216</v>
      </c>
      <c r="B155">
        <f>HYPERLINK("https://edu.epfl.ch/studyplan/en/master/computational-science-and-engineering/coursebook/environmental-transport-phenomena-ENG-420", "Environmental transport phenomena")</f>
        <v>0</v>
      </c>
      <c r="C155" t="s">
        <v>54</v>
      </c>
      <c r="D155" t="s">
        <v>61</v>
      </c>
      <c r="E155" t="s">
        <v>56</v>
      </c>
      <c r="F155" t="s">
        <v>56</v>
      </c>
      <c r="G155" t="s">
        <v>56</v>
      </c>
      <c r="H155" t="s">
        <v>75</v>
      </c>
      <c r="I155">
        <v>5</v>
      </c>
    </row>
    <row r="156" spans="1:9">
      <c r="A156" t="s">
        <v>217</v>
      </c>
      <c r="B156">
        <f>HYPERLINK("https://edu.epfl.ch/studyplan/en/master/computational-science-and-engineering/coursebook/hpc-for-numerical-methods-and-data-analysis-MATH-505", "HPC for numerical methods and data analysis")</f>
        <v>0</v>
      </c>
      <c r="C156" t="s">
        <v>54</v>
      </c>
      <c r="D156" t="s">
        <v>57</v>
      </c>
      <c r="E156" t="s">
        <v>56</v>
      </c>
      <c r="F156" t="s">
        <v>56</v>
      </c>
      <c r="G156" t="s">
        <v>56</v>
      </c>
      <c r="H156" t="s">
        <v>77</v>
      </c>
      <c r="I156">
        <v>5</v>
      </c>
    </row>
    <row r="157" spans="1:9">
      <c r="A157" t="s">
        <v>218</v>
      </c>
      <c r="B157">
        <f>HYPERLINK("https://edu.epfl.ch/studyplan/en/master/computational-science-and-engineering/coursebook/hydrodynamics-ME-444", "Hydrodynamics")</f>
        <v>0</v>
      </c>
      <c r="C157" t="s">
        <v>54</v>
      </c>
      <c r="D157" t="s">
        <v>56</v>
      </c>
      <c r="E157" t="s">
        <v>57</v>
      </c>
      <c r="F157" t="s">
        <v>56</v>
      </c>
      <c r="G157" t="s">
        <v>56</v>
      </c>
      <c r="H157" t="s">
        <v>74</v>
      </c>
      <c r="I157">
        <v>5</v>
      </c>
    </row>
    <row r="158" spans="1:9">
      <c r="A158" t="s">
        <v>219</v>
      </c>
      <c r="B158">
        <f>HYPERLINK("https://edu.epfl.ch/studyplan/en/master/computational-science-and-engineering/coursebook/instability-ME-466", "Instability")</f>
        <v>0</v>
      </c>
      <c r="C158" t="s">
        <v>54</v>
      </c>
      <c r="D158" t="s">
        <v>61</v>
      </c>
      <c r="E158" t="s">
        <v>56</v>
      </c>
      <c r="F158" t="s">
        <v>56</v>
      </c>
      <c r="G158" t="s">
        <v>56</v>
      </c>
      <c r="H158" t="s">
        <v>75</v>
      </c>
      <c r="I158">
        <v>3</v>
      </c>
    </row>
    <row r="159" spans="1:9">
      <c r="A159" t="s">
        <v>220</v>
      </c>
      <c r="B159">
        <f>HYPERLINK("https://edu.epfl.ch/studyplan/en/master/computational-science-and-engineering/coursebook/introduction-to-electronic-structure-methods-CH-353", "Introduction to electronic structure methods")</f>
        <v>0</v>
      </c>
      <c r="C159" t="s">
        <v>54</v>
      </c>
      <c r="D159" t="s">
        <v>57</v>
      </c>
      <c r="E159" t="s">
        <v>56</v>
      </c>
      <c r="F159" t="s">
        <v>56</v>
      </c>
      <c r="G159" t="s">
        <v>56</v>
      </c>
      <c r="H159" t="s">
        <v>77</v>
      </c>
      <c r="I159">
        <v>4</v>
      </c>
    </row>
    <row r="160" spans="1:9">
      <c r="A160" t="s">
        <v>221</v>
      </c>
      <c r="B160">
        <f>HYPERLINK("https://edu.epfl.ch/studyplan/en/master/computational-science-and-engineering/coursebook/low-rank-approximation-techniques-MATH-403", "Low-rank approximation techniques")</f>
        <v>0</v>
      </c>
      <c r="C160" t="s">
        <v>54</v>
      </c>
      <c r="D160" t="s">
        <v>57</v>
      </c>
      <c r="E160" t="s">
        <v>56</v>
      </c>
      <c r="F160" t="s">
        <v>56</v>
      </c>
      <c r="G160" t="s">
        <v>56</v>
      </c>
      <c r="H160" t="s">
        <v>188</v>
      </c>
      <c r="I160">
        <v>5</v>
      </c>
    </row>
    <row r="161" spans="1:9">
      <c r="A161" t="s">
        <v>222</v>
      </c>
      <c r="B161">
        <f>HYPERLINK("https://edu.epfl.ch/studyplan/en/master/computational-science-and-engineering/coursebook/mathematical-modelling-of-behavior-MATH-463", "Mathematical modelling of behavior")</f>
        <v>0</v>
      </c>
      <c r="C161" t="s">
        <v>54</v>
      </c>
      <c r="D161" t="s">
        <v>57</v>
      </c>
      <c r="E161" t="s">
        <v>56</v>
      </c>
      <c r="F161" t="s">
        <v>56</v>
      </c>
      <c r="G161" t="s">
        <v>56</v>
      </c>
      <c r="H161" t="s">
        <v>75</v>
      </c>
      <c r="I161">
        <v>5</v>
      </c>
    </row>
    <row r="162" spans="1:9">
      <c r="A162" t="s">
        <v>223</v>
      </c>
      <c r="B162">
        <f>HYPERLINK("https://edu.epfl.ch/studyplan/en/master/computational-science-and-engineering/coursebook/mathematics-of-data-from-theory-to-computation-EE-556", "Mathematics of data: from theory to computation")</f>
        <v>0</v>
      </c>
      <c r="C162" t="s">
        <v>54</v>
      </c>
      <c r="D162" t="s">
        <v>236</v>
      </c>
      <c r="E162" t="s">
        <v>56</v>
      </c>
      <c r="F162" t="s">
        <v>56</v>
      </c>
      <c r="G162" t="s">
        <v>56</v>
      </c>
      <c r="H162" t="s">
        <v>75</v>
      </c>
      <c r="I162">
        <v>6</v>
      </c>
    </row>
    <row r="163" spans="1:9">
      <c r="A163" t="s">
        <v>224</v>
      </c>
      <c r="B163">
        <f>HYPERLINK("https://edu.epfl.ch/studyplan/en/master/computational-science-and-engineering/coursebook/molecular-quantum-dynamics-CH-453", "Molecular quantum dynamics")</f>
        <v>0</v>
      </c>
      <c r="C163" t="s">
        <v>54</v>
      </c>
      <c r="D163" t="s">
        <v>56</v>
      </c>
      <c r="E163" t="s">
        <v>61</v>
      </c>
      <c r="F163" t="s">
        <v>56</v>
      </c>
      <c r="G163" t="s">
        <v>56</v>
      </c>
      <c r="H163" t="s">
        <v>189</v>
      </c>
      <c r="I163">
        <v>3</v>
      </c>
    </row>
    <row r="164" spans="1:9">
      <c r="A164" t="s">
        <v>225</v>
      </c>
      <c r="B164">
        <f>HYPERLINK("https://edu.epfl.ch/studyplan/en/master/computational-science-and-engineering/coursebook/numerical-approximation-of-pdes-MATH-451", "Numerical approximation of PDEs")</f>
        <v>0</v>
      </c>
      <c r="C164" t="s">
        <v>54</v>
      </c>
      <c r="D164" t="s">
        <v>56</v>
      </c>
      <c r="E164" t="s">
        <v>57</v>
      </c>
      <c r="F164" t="s">
        <v>56</v>
      </c>
      <c r="G164" t="s">
        <v>56</v>
      </c>
      <c r="H164" t="s">
        <v>74</v>
      </c>
      <c r="I164">
        <v>5</v>
      </c>
    </row>
    <row r="165" spans="1:9">
      <c r="A165" t="s">
        <v>226</v>
      </c>
      <c r="B165">
        <f>HYPERLINK("https://edu.epfl.ch/studyplan/en/master/computational-science-and-engineering/coursebook/numerical-flow-simulation-ME-474", "Numerical flow simulation")</f>
        <v>0</v>
      </c>
      <c r="C165" t="s">
        <v>54</v>
      </c>
      <c r="D165" t="s">
        <v>57</v>
      </c>
      <c r="E165" t="s">
        <v>56</v>
      </c>
      <c r="F165" t="s">
        <v>56</v>
      </c>
      <c r="G165" t="s">
        <v>56</v>
      </c>
      <c r="H165" t="s">
        <v>77</v>
      </c>
      <c r="I165">
        <v>5</v>
      </c>
    </row>
    <row r="166" spans="1:9">
      <c r="A166" t="s">
        <v>227</v>
      </c>
      <c r="B166">
        <f>HYPERLINK("https://edu.epfl.ch/studyplan/en/master/computational-science-and-engineering/coursebook/numerical-integration-of-stochastic-differential-equations-MATH-450", "Numerical integration of stochastic differential equations")</f>
        <v>0</v>
      </c>
      <c r="C166" t="s">
        <v>54</v>
      </c>
      <c r="D166" t="s">
        <v>56</v>
      </c>
      <c r="E166" t="s">
        <v>57</v>
      </c>
      <c r="F166" t="s">
        <v>56</v>
      </c>
      <c r="G166" t="s">
        <v>56</v>
      </c>
      <c r="H166" t="s">
        <v>74</v>
      </c>
      <c r="I166">
        <v>5</v>
      </c>
    </row>
    <row r="167" spans="1:9">
      <c r="A167" t="s">
        <v>228</v>
      </c>
      <c r="B167">
        <f>HYPERLINK("https://edu.epfl.ch/studyplan/en/master/computational-science-and-engineering/coursebook/numerical-methods-for-conservation-laws-MATH-459", "Numerical methods for conservation laws")</f>
        <v>0</v>
      </c>
      <c r="C167" t="s">
        <v>54</v>
      </c>
      <c r="D167" t="s">
        <v>57</v>
      </c>
      <c r="E167" t="s">
        <v>56</v>
      </c>
      <c r="F167" t="s">
        <v>56</v>
      </c>
      <c r="G167" t="s">
        <v>56</v>
      </c>
      <c r="H167" t="s">
        <v>188</v>
      </c>
      <c r="I167">
        <v>5</v>
      </c>
    </row>
    <row r="168" spans="1:9">
      <c r="A168" t="s">
        <v>229</v>
      </c>
      <c r="B168">
        <f>HYPERLINK("https://edu.epfl.ch/studyplan/en/master/computational-science-and-engineering/coursebook/numerics-for-fluids-structures-electromagnetics-MATH-468", "Numerics for fluids, structures &amp; electromagnetics")</f>
        <v>0</v>
      </c>
      <c r="C168" t="s">
        <v>54</v>
      </c>
      <c r="D168" t="s">
        <v>57</v>
      </c>
      <c r="E168" t="s">
        <v>56</v>
      </c>
      <c r="F168" t="s">
        <v>56</v>
      </c>
      <c r="G168" t="s">
        <v>56</v>
      </c>
      <c r="H168" t="s">
        <v>188</v>
      </c>
      <c r="I168">
        <v>5</v>
      </c>
    </row>
    <row r="169" spans="1:9">
      <c r="A169" t="s">
        <v>230</v>
      </c>
      <c r="B169">
        <f>HYPERLINK("https://edu.epfl.ch/studyplan/en/master/computational-science-and-engineering/coursebook/principles-and-applications-of-systems-biology-CHE-411", "Principles and applications of systems biology")</f>
        <v>0</v>
      </c>
      <c r="C169" t="s">
        <v>54</v>
      </c>
      <c r="D169" t="s">
        <v>61</v>
      </c>
      <c r="E169" t="s">
        <v>56</v>
      </c>
      <c r="F169" t="s">
        <v>56</v>
      </c>
      <c r="G169" t="s">
        <v>56</v>
      </c>
      <c r="H169" t="s">
        <v>77</v>
      </c>
      <c r="I169">
        <v>3</v>
      </c>
    </row>
    <row r="170" spans="1:9">
      <c r="A170" t="s">
        <v>231</v>
      </c>
      <c r="B170">
        <f>HYPERLINK("https://edu.epfl.ch/studyplan/en/master/computational-science-and-engineering/coursebook/stochastic-simulation-MATH-414", "Stochastic simulation")</f>
        <v>0</v>
      </c>
      <c r="C170" t="s">
        <v>54</v>
      </c>
      <c r="D170" t="s">
        <v>57</v>
      </c>
      <c r="E170" t="s">
        <v>56</v>
      </c>
      <c r="F170" t="s">
        <v>56</v>
      </c>
      <c r="G170" t="s">
        <v>56</v>
      </c>
      <c r="H170" t="s">
        <v>188</v>
      </c>
      <c r="I170">
        <v>5</v>
      </c>
    </row>
    <row r="171" spans="1:9">
      <c r="A171" t="s">
        <v>232</v>
      </c>
      <c r="B171">
        <f>HYPERLINK("https://edu.epfl.ch/studyplan/en/master/computational-science-and-engineering/coursebook/structural-biology-BIO-315", "Structural biology")</f>
        <v>0</v>
      </c>
      <c r="C171" t="s">
        <v>54</v>
      </c>
      <c r="D171" t="s">
        <v>56</v>
      </c>
      <c r="E171" t="s">
        <v>57</v>
      </c>
      <c r="F171" t="s">
        <v>56</v>
      </c>
      <c r="G171" t="s">
        <v>56</v>
      </c>
      <c r="H171" t="s">
        <v>76</v>
      </c>
      <c r="I171">
        <v>4</v>
      </c>
    </row>
    <row r="172" spans="1:9">
      <c r="A172" t="s">
        <v>233</v>
      </c>
      <c r="B172">
        <f>HYPERLINK("https://edu.epfl.ch/studyplan/en/master/computational-science-and-engineering/coursebook/turbulence-ME-467", "Turbulence")</f>
        <v>0</v>
      </c>
      <c r="C172" t="s">
        <v>54</v>
      </c>
      <c r="D172" t="s">
        <v>56</v>
      </c>
      <c r="E172" t="s">
        <v>64</v>
      </c>
      <c r="F172" t="s">
        <v>56</v>
      </c>
      <c r="G172" t="s">
        <v>56</v>
      </c>
      <c r="H172" t="s">
        <v>76</v>
      </c>
      <c r="I172">
        <v>5</v>
      </c>
    </row>
    <row r="173" spans="1:9">
      <c r="A173" t="s">
        <v>234</v>
      </c>
      <c r="B173">
        <f>HYPERLINK("https://edu.epfl.ch/studyplan/en/master/computational-science-and-engineering/coursebook/understanding-advanced-molecular-simulation-CH-420", "Understanding advanced molecular simulation")</f>
        <v>0</v>
      </c>
      <c r="C173" t="s">
        <v>54</v>
      </c>
      <c r="D173" t="s">
        <v>56</v>
      </c>
      <c r="E173" t="s">
        <v>68</v>
      </c>
      <c r="F173" t="s">
        <v>56</v>
      </c>
      <c r="G173" t="s">
        <v>56</v>
      </c>
      <c r="H173" t="s">
        <v>76</v>
      </c>
      <c r="I173">
        <v>4</v>
      </c>
    </row>
    <row r="174" spans="1:9">
      <c r="A174" t="s">
        <v>235</v>
      </c>
      <c r="B174">
        <f>HYPERLINK("https://edu.epfl.ch/studyplan/en/master/computational-science-and-engineering/coursebook/projet-de-master-en-science-et-ingenierie-computationelles-MATH-598", "Projet de master en science et ingénierie computationelles")</f>
        <v>0</v>
      </c>
      <c r="C174" t="s">
        <v>164</v>
      </c>
      <c r="D174" t="s">
        <v>185</v>
      </c>
      <c r="E174" t="s">
        <v>185</v>
      </c>
      <c r="F174" t="s">
        <v>56</v>
      </c>
      <c r="G174" t="s">
        <v>56</v>
      </c>
      <c r="H174" t="s">
        <v>191</v>
      </c>
      <c r="I17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(B) Computer Science</vt:lpstr>
      <vt:lpstr>(M) Communication Systems</vt:lpstr>
      <vt:lpstr>(M) Computer Science - Cyber</vt:lpstr>
      <vt:lpstr>(M) Computer Science</vt:lpstr>
      <vt:lpstr>(B) Communication Systems</vt:lpstr>
      <vt:lpstr>(M) Computational science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2024-02-01T07:51:32Z</dcterms:created>
  <dcterms:modified xsi:type="dcterms:W3CDTF">2024-02-01T07:51:32Z</dcterms:modified>
</cp:coreProperties>
</file>