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ful stuff\LAB STUFF\thermal lab\"/>
    </mc:Choice>
  </mc:AlternateContent>
  <xr:revisionPtr revIDLastSave="0" documentId="13_ncr:1_{5713B8A2-D363-46DC-BB29-CF938EBCF68B}" xr6:coauthVersionLast="45" xr6:coauthVersionMax="45" xr10:uidLastSave="{00000000-0000-0000-0000-000000000000}"/>
  <bookViews>
    <workbookView xWindow="-108" yWindow="-108" windowWidth="23256" windowHeight="13176" xr2:uid="{847AE613-CDF1-4547-83A1-43689E54FC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Q6" i="1"/>
  <c r="V6" i="1" s="1"/>
  <c r="V8" i="1"/>
  <c r="V7" i="1"/>
  <c r="V9" i="1"/>
  <c r="V10" i="1"/>
  <c r="F19" i="1"/>
  <c r="X7" i="1"/>
  <c r="X8" i="1"/>
  <c r="X9" i="1"/>
  <c r="X10" i="1"/>
  <c r="X6" i="1"/>
  <c r="G6" i="1" l="1"/>
  <c r="Q14" i="1"/>
  <c r="G7" i="1"/>
  <c r="G8" i="1"/>
  <c r="G9" i="1"/>
  <c r="G10" i="1"/>
  <c r="M13" i="1"/>
  <c r="O6" i="1"/>
  <c r="P6" i="1" s="1"/>
  <c r="O8" i="1"/>
  <c r="O9" i="1"/>
  <c r="O10" i="1"/>
  <c r="O7" i="1"/>
  <c r="E12" i="1"/>
  <c r="E15" i="1" s="1"/>
  <c r="E13" i="1"/>
  <c r="E14" i="1"/>
  <c r="R6" i="1" l="1"/>
  <c r="P10" i="1"/>
  <c r="R10" i="1" s="1"/>
  <c r="R9" i="1"/>
  <c r="P7" i="1"/>
  <c r="R7" i="1"/>
  <c r="R8" i="1"/>
  <c r="P9" i="1"/>
  <c r="P8" i="1"/>
  <c r="K10" i="1"/>
  <c r="K9" i="1"/>
  <c r="K8" i="1"/>
  <c r="K7" i="1"/>
  <c r="K6" i="1"/>
  <c r="J10" i="1"/>
  <c r="J9" i="1"/>
  <c r="J8" i="1"/>
  <c r="J7" i="1"/>
  <c r="I10" i="1"/>
  <c r="L10" i="1" s="1"/>
  <c r="Q10" i="1" s="1"/>
  <c r="I9" i="1"/>
  <c r="L9" i="1" s="1"/>
  <c r="Q9" i="1" s="1"/>
  <c r="I8" i="1"/>
  <c r="L8" i="1" s="1"/>
  <c r="Q8" i="1" s="1"/>
  <c r="I7" i="1"/>
  <c r="L7" i="1" s="1"/>
  <c r="Q7" i="1" s="1"/>
  <c r="I6" i="1"/>
  <c r="T10" i="1" l="1"/>
  <c r="T9" i="1"/>
  <c r="T6" i="1"/>
  <c r="T7" i="1"/>
  <c r="T8" i="1"/>
</calcChain>
</file>

<file path=xl/sharedStrings.xml><?xml version="1.0" encoding="utf-8"?>
<sst xmlns="http://schemas.openxmlformats.org/spreadsheetml/2006/main" count="49" uniqueCount="48">
  <si>
    <t>Load</t>
  </si>
  <si>
    <t>Fuel</t>
  </si>
  <si>
    <t>(Kg)</t>
  </si>
  <si>
    <t>(cc)</t>
  </si>
  <si>
    <t>Time</t>
  </si>
  <si>
    <t>(sec)</t>
  </si>
  <si>
    <t>CO2</t>
  </si>
  <si>
    <t>GASES</t>
  </si>
  <si>
    <t>O2</t>
  </si>
  <si>
    <t>CO</t>
  </si>
  <si>
    <t>h</t>
  </si>
  <si>
    <t>KIRLOSKAR</t>
  </si>
  <si>
    <t>Temperature (°C)</t>
  </si>
  <si>
    <t>Atmospheric Pressure</t>
  </si>
  <si>
    <t>R ch</t>
  </si>
  <si>
    <t>Density of HSD (Kg/m3)</t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</si>
  <si>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</si>
  <si>
    <t>AFR</t>
  </si>
  <si>
    <t>Orifice diameter (mm)</t>
  </si>
  <si>
    <t>Coefficient of Discharge</t>
  </si>
  <si>
    <t>AIRBOX METHOD</t>
  </si>
  <si>
    <t>Area of Orifice</t>
  </si>
  <si>
    <t>pi</t>
  </si>
  <si>
    <t>Orsat method</t>
  </si>
  <si>
    <t>h*SIN(30)</t>
  </si>
  <si>
    <r>
      <t>h</t>
    </r>
    <r>
      <rPr>
        <vertAlign val="subscript"/>
        <sz val="11"/>
        <color theme="1"/>
        <rFont val="Calibri"/>
        <family val="2"/>
        <scheme val="minor"/>
      </rPr>
      <t>a</t>
    </r>
  </si>
  <si>
    <t>Density of Water (Kg/m3)</t>
  </si>
  <si>
    <r>
      <t>(rho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* h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)/rho</t>
    </r>
    <r>
      <rPr>
        <vertAlign val="subscript"/>
        <sz val="11"/>
        <color theme="1"/>
        <rFont val="Calibri"/>
        <family val="2"/>
        <scheme val="minor"/>
      </rPr>
      <t>a</t>
    </r>
  </si>
  <si>
    <r>
      <t>h</t>
    </r>
    <r>
      <rPr>
        <vertAlign val="subscript"/>
        <sz val="11"/>
        <color theme="1"/>
        <rFont val="Calibri"/>
        <family val="2"/>
        <scheme val="minor"/>
      </rPr>
      <t xml:space="preserve">w     </t>
    </r>
    <r>
      <rPr>
        <sz val="11"/>
        <color theme="1"/>
        <rFont val="Calibri"/>
        <family val="2"/>
        <scheme val="minor"/>
      </rPr>
      <t>(cm)</t>
    </r>
  </si>
  <si>
    <t>mass fl rate of air</t>
  </si>
  <si>
    <t>rho_air*Cd_orifice[30]*Area_orifice[1]*(2*g*h_a[i])**0.5)</t>
  </si>
  <si>
    <t>AIR CONS. (Kg/sec)</t>
  </si>
  <si>
    <r>
      <t>m</t>
    </r>
    <r>
      <rPr>
        <vertAlign val="subscript"/>
        <sz val="11"/>
        <color theme="1"/>
        <rFont val="Calibri"/>
        <family val="2"/>
        <scheme val="minor"/>
      </rPr>
      <t>f</t>
    </r>
  </si>
  <si>
    <t>(Kg/sec)</t>
  </si>
  <si>
    <t>No. of Cylinder</t>
  </si>
  <si>
    <t>Engine speed</t>
  </si>
  <si>
    <t>stroke</t>
  </si>
  <si>
    <t>Stroke length (mm)</t>
  </si>
  <si>
    <t>Bore dia (mm)</t>
  </si>
  <si>
    <t>Stroke vol (m^3)</t>
  </si>
  <si>
    <t>VOL. EFF</t>
  </si>
  <si>
    <t>VOL EFF using AFR = (AFR x mf) / (Vs x rho(air))</t>
  </si>
  <si>
    <t>by orsat</t>
  </si>
  <si>
    <t>To study constant speed load test on a 2-cylinder, 4S kirloskar diesel Engine, Calculate volumetric efficiency by use of ORSAT apparatus and air box method and using this Also plot variation in volumetric efficiency v/s load.</t>
  </si>
  <si>
    <t>Vol.EFF</t>
  </si>
  <si>
    <t>by airbox method</t>
  </si>
  <si>
    <t>density of air (Kg/m3)</t>
  </si>
  <si>
    <t>Theoritical Air Consumption (Kg/min)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</si>
</sst>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0"/>
    <numFmt numFmtId="166" formatCode="0.00000"/>
    <numFmt numFmtId="167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4" fillId="4" borderId="0" xfId="3"/>
    <xf numFmtId="164" fontId="2" fillId="2" borderId="0" xfId="1" applyNumberFormat="1"/>
    <xf numFmtId="0" fontId="3" fillId="3" borderId="0" xfId="2"/>
    <xf numFmtId="0" fontId="1" fillId="5" borderId="0" xfId="4"/>
    <xf numFmtId="0" fontId="1" fillId="6" borderId="0" xfId="5"/>
    <xf numFmtId="0" fontId="5" fillId="8" borderId="0" xfId="7"/>
    <xf numFmtId="0" fontId="5" fillId="7" borderId="0" xfId="6"/>
    <xf numFmtId="165" fontId="5" fillId="9" borderId="0" xfId="8" applyNumberFormat="1"/>
    <xf numFmtId="0" fontId="1" fillId="11" borderId="0" xfId="10"/>
    <xf numFmtId="0" fontId="1" fillId="10" borderId="0" xfId="9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5" fillId="7" borderId="0" xfId="6" applyAlignment="1">
      <alignment horizontal="center"/>
    </xf>
    <xf numFmtId="0" fontId="5" fillId="9" borderId="0" xfId="8" applyAlignment="1">
      <alignment horizontal="center"/>
    </xf>
    <xf numFmtId="0" fontId="1" fillId="6" borderId="0" xfId="5" applyAlignment="1">
      <alignment horizontal="center"/>
    </xf>
    <xf numFmtId="0" fontId="5" fillId="8" borderId="0" xfId="7" applyAlignment="1">
      <alignment horizontal="center"/>
    </xf>
    <xf numFmtId="0" fontId="1" fillId="10" borderId="0" xfId="9" applyAlignment="1">
      <alignment horizontal="center"/>
    </xf>
    <xf numFmtId="0" fontId="1" fillId="5" borderId="0" xfId="4" applyAlignment="1">
      <alignment horizontal="center"/>
    </xf>
    <xf numFmtId="0" fontId="3" fillId="3" borderId="0" xfId="2" applyAlignment="1">
      <alignment horizontal="center"/>
    </xf>
    <xf numFmtId="0" fontId="4" fillId="4" borderId="0" xfId="3" applyAlignment="1">
      <alignment horizontal="center"/>
    </xf>
    <xf numFmtId="0" fontId="2" fillId="2" borderId="0" xfId="1" applyAlignment="1">
      <alignment horizontal="center"/>
    </xf>
    <xf numFmtId="0" fontId="1" fillId="11" borderId="0" xfId="10" applyAlignment="1">
      <alignment horizontal="center"/>
    </xf>
  </cellXfs>
  <cellStyles count="11">
    <cellStyle name="20% - Accent1" xfId="4" builtinId="30"/>
    <cellStyle name="20% - Accent2" xfId="5" builtinId="34"/>
    <cellStyle name="20% - Accent6" xfId="9" builtinId="50"/>
    <cellStyle name="40% - Accent6" xfId="10" builtinId="51"/>
    <cellStyle name="Accent3" xfId="6" builtinId="37"/>
    <cellStyle name="Accent4" xfId="7" builtinId="41"/>
    <cellStyle name="Accent6" xfId="8" builtinId="49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 eff vs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Sheet1!$A$6:$A$10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Sheet1!$X$6:$X$10</c:f>
              <c:numCache>
                <c:formatCode>General</c:formatCode>
                <c:ptCount val="5"/>
                <c:pt idx="0">
                  <c:v>0.87203046862248823</c:v>
                </c:pt>
                <c:pt idx="1">
                  <c:v>0.88260092084660335</c:v>
                </c:pt>
                <c:pt idx="2">
                  <c:v>0.88783895449339811</c:v>
                </c:pt>
                <c:pt idx="3">
                  <c:v>0.89304626574024049</c:v>
                </c:pt>
                <c:pt idx="4">
                  <c:v>0.89822338891238329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CF-4AC6-9D89-E7F51092B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456543"/>
        <c:axId val="1345450479"/>
      </c:scatterChart>
      <c:valAx>
        <c:axId val="134845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50479"/>
        <c:crosses val="autoZero"/>
        <c:crossBetween val="midCat"/>
      </c:valAx>
      <c:valAx>
        <c:axId val="13454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45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Sheet1!$Q$3:$Q$4</c:f>
              <c:strCache>
                <c:ptCount val="2"/>
                <c:pt idx="0">
                  <c:v>Orsat method</c:v>
                </c:pt>
                <c:pt idx="1">
                  <c:v>AFR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Sheet1!$A$6:$A$10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Sheet1!$Q$6:$Q$10</c:f>
              <c:numCache>
                <c:formatCode>0.000</c:formatCode>
                <c:ptCount val="5"/>
                <c:pt idx="0">
                  <c:v>32.609090909090881</c:v>
                </c:pt>
                <c:pt idx="1">
                  <c:v>40.068686868686825</c:v>
                </c:pt>
                <c:pt idx="2">
                  <c:v>52.856565656565628</c:v>
                </c:pt>
                <c:pt idx="3">
                  <c:v>53.465512265512238</c:v>
                </c:pt>
                <c:pt idx="4">
                  <c:v>34.207575757575732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4-4F88-96F1-B6D04A66EAEE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AIRBOX METHOD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Sheet1!$A$6:$A$10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Sheet1!$T$6:$T$10</c:f>
              <c:numCache>
                <c:formatCode>General</c:formatCode>
                <c:ptCount val="5"/>
                <c:pt idx="0">
                  <c:v>43.022819249391695</c:v>
                </c:pt>
                <c:pt idx="1">
                  <c:v>40.757490079802466</c:v>
                </c:pt>
                <c:pt idx="2">
                  <c:v>36.794312169556214</c:v>
                </c:pt>
                <c:pt idx="3">
                  <c:v>29.960570449362756</c:v>
                </c:pt>
                <c:pt idx="4">
                  <c:v>27.298091065285387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54-4F88-96F1-B6D04A66E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039023"/>
        <c:axId val="1345443823"/>
      </c:scatterChart>
      <c:valAx>
        <c:axId val="134403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43823"/>
        <c:crosses val="autoZero"/>
        <c:crossBetween val="midCat"/>
      </c:valAx>
      <c:valAx>
        <c:axId val="1345443823"/>
        <c:scaling>
          <c:orientation val="minMax"/>
          <c:max val="56"/>
          <c:min val="2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039023"/>
        <c:crosses val="autoZero"/>
        <c:crossBetween val="midCat"/>
        <c:majorUnit val="3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195943</xdr:colOff>
      <xdr:row>24</xdr:row>
      <xdr:rowOff>5442</xdr:rowOff>
    </xdr:from>
    <xdr:to>
      <xdr:col>13</xdr:col>
      <xdr:colOff>283029</xdr:colOff>
      <xdr:row>38</xdr:row>
      <xdr:rowOff>157842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217F8-2CCC-427A-B526-3FA2D4946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141513</xdr:colOff>
      <xdr:row>18</xdr:row>
      <xdr:rowOff>5</xdr:rowOff>
    </xdr:from>
    <xdr:to>
      <xdr:col>22</xdr:col>
      <xdr:colOff>1132113</xdr:colOff>
      <xdr:row>44</xdr:row>
      <xdr:rowOff>76204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B00E08-B76A-41C8-8D03-436916138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1350-946B-4E6D-A24E-1D7AD9926D30}">
  <dimension ref="A1:X22"/>
  <sheetViews>
    <sheetView tabSelected="1" zoomScale="70" zoomScaleNormal="70" workbookViewId="0">
      <selection activeCell="R12" sqref="R12"/>
    </sheetView>
  </sheetViews>
  <sheetFormatPr defaultRowHeight="14.4" x14ac:dyDescent="0.3"/>
  <cols>
    <col min="4" max="4" width="12.5546875" customWidth="1"/>
    <col min="5" max="5" width="17.5546875" customWidth="1"/>
    <col min="6" max="6" width="7.5546875" customWidth="1"/>
    <col min="7" max="7" width="12.21875" bestFit="1" customWidth="1"/>
    <col min="8" max="8" width="15.109375" customWidth="1"/>
    <col min="13" max="13" width="14.77734375" customWidth="1"/>
    <col min="15" max="15" width="12.5546875" customWidth="1"/>
    <col min="16" max="16" width="13.5546875" customWidth="1"/>
    <col min="17" max="17" width="22.109375" customWidth="1"/>
    <col min="18" max="18" width="17.5546875" customWidth="1"/>
    <col min="21" max="21" width="3.6640625" customWidth="1"/>
    <col min="22" max="22" width="13.88671875" customWidth="1"/>
    <col min="23" max="23" width="16.5546875" customWidth="1"/>
    <col min="24" max="24" width="21.21875" customWidth="1"/>
  </cols>
  <sheetData>
    <row r="1" spans="1:24" x14ac:dyDescent="0.3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4" x14ac:dyDescent="0.3">
      <c r="A2" s="15" t="s">
        <v>43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V2" s="15" t="s">
        <v>41</v>
      </c>
      <c r="W2" s="15"/>
      <c r="X2" s="15"/>
    </row>
    <row r="3" spans="1:24" x14ac:dyDescent="0.3">
      <c r="Q3" t="s">
        <v>23</v>
      </c>
      <c r="R3" s="15" t="s">
        <v>20</v>
      </c>
      <c r="S3" s="15"/>
      <c r="T3" s="15"/>
      <c r="U3" s="2"/>
      <c r="V3" s="2" t="s">
        <v>40</v>
      </c>
      <c r="X3" t="s">
        <v>44</v>
      </c>
    </row>
    <row r="4" spans="1:24" ht="15.6" x14ac:dyDescent="0.35">
      <c r="A4" s="1" t="s">
        <v>0</v>
      </c>
      <c r="C4" s="1" t="s">
        <v>1</v>
      </c>
      <c r="E4" s="1" t="s">
        <v>4</v>
      </c>
      <c r="G4" t="s">
        <v>32</v>
      </c>
      <c r="I4" s="15" t="s">
        <v>7</v>
      </c>
      <c r="J4" s="15"/>
      <c r="K4" s="15"/>
      <c r="L4" s="15"/>
      <c r="N4" s="1" t="s">
        <v>10</v>
      </c>
      <c r="O4" t="s">
        <v>28</v>
      </c>
      <c r="P4" t="s">
        <v>25</v>
      </c>
      <c r="Q4" t="s">
        <v>17</v>
      </c>
      <c r="R4" t="s">
        <v>31</v>
      </c>
      <c r="T4" t="s">
        <v>17</v>
      </c>
      <c r="V4" t="s">
        <v>42</v>
      </c>
      <c r="X4" t="s">
        <v>45</v>
      </c>
    </row>
    <row r="5" spans="1:24" ht="15.6" x14ac:dyDescent="0.35">
      <c r="A5" s="1" t="s">
        <v>2</v>
      </c>
      <c r="C5" s="1" t="s">
        <v>3</v>
      </c>
      <c r="E5" s="1" t="s">
        <v>5</v>
      </c>
      <c r="G5" t="s">
        <v>33</v>
      </c>
      <c r="I5" t="s">
        <v>6</v>
      </c>
      <c r="J5" t="s">
        <v>8</v>
      </c>
      <c r="K5" t="s">
        <v>9</v>
      </c>
      <c r="L5" t="s">
        <v>16</v>
      </c>
      <c r="O5" t="s">
        <v>24</v>
      </c>
      <c r="P5" t="s">
        <v>27</v>
      </c>
      <c r="R5" t="s">
        <v>29</v>
      </c>
    </row>
    <row r="6" spans="1:24" x14ac:dyDescent="0.3">
      <c r="A6">
        <v>4</v>
      </c>
      <c r="C6">
        <v>25</v>
      </c>
      <c r="E6">
        <v>62.5</v>
      </c>
      <c r="G6">
        <f>($C6*$I$12*0.000001)/$E6</f>
        <v>3.3760000000000002E-4</v>
      </c>
      <c r="I6">
        <f>100-94</f>
        <v>6</v>
      </c>
      <c r="J6">
        <v>12</v>
      </c>
      <c r="K6">
        <f>88-87.6</f>
        <v>0.40000000000000568</v>
      </c>
      <c r="L6">
        <f>100-($I6+$J6+$K6)</f>
        <v>81.599999999999994</v>
      </c>
      <c r="N6">
        <v>8.1999999999999993</v>
      </c>
      <c r="O6">
        <f>$N6*SIN(30*$K$17/180)</f>
        <v>4.0999999999999961</v>
      </c>
      <c r="P6">
        <f>(($I$15*$O6)/($E$15*100))</f>
        <v>34.026459412780625</v>
      </c>
      <c r="Q6" s="14">
        <f xml:space="preserve"> ($L6*84.4)/(33*($I6+$K6))</f>
        <v>32.609090909090881</v>
      </c>
      <c r="R6">
        <f>($E$15*$I$14*$M$13*SQRT(2*9.81*$P6))</f>
        <v>1.4524503778594636E-2</v>
      </c>
      <c r="T6">
        <f>$R6/$G6</f>
        <v>43.022819249391695</v>
      </c>
      <c r="V6" s="13">
        <f>($Q6*$G6*60)/($F$19)</f>
        <v>0.66095438009237162</v>
      </c>
      <c r="X6">
        <f>($R6*60)/($F$19)</f>
        <v>0.87203046862248823</v>
      </c>
    </row>
    <row r="7" spans="1:24" x14ac:dyDescent="0.3">
      <c r="A7">
        <v>6</v>
      </c>
      <c r="C7">
        <v>25</v>
      </c>
      <c r="E7">
        <v>58.5</v>
      </c>
      <c r="G7">
        <f t="shared" ref="G7:G10" si="0">($C7*$I$12*0.000001)/$E7</f>
        <v>3.6068376068376071E-4</v>
      </c>
      <c r="I7">
        <f>100-95</f>
        <v>5</v>
      </c>
      <c r="J7">
        <f>95-85</f>
        <v>10</v>
      </c>
      <c r="K7">
        <f>85-84.6</f>
        <v>0.40000000000000568</v>
      </c>
      <c r="L7">
        <f t="shared" ref="L7:L10" si="1">100-($I7+$J7+$K7)</f>
        <v>84.6</v>
      </c>
      <c r="N7">
        <v>8.4</v>
      </c>
      <c r="O7">
        <f>$N7*SIN(30*$K$17/180)</f>
        <v>4.1999999999999966</v>
      </c>
      <c r="P7">
        <f>(($I$15*$O7)/($E$15*100))</f>
        <v>34.856373056994791</v>
      </c>
      <c r="Q7" s="14">
        <f xml:space="preserve"> ($L7*84.4)/(33*($I7+$K7))</f>
        <v>40.068686868686825</v>
      </c>
      <c r="R7">
        <f t="shared" ref="R7:R10" si="2">($E$15*$I$14*$M$13*SQRT(2*9.81*$P7))</f>
        <v>1.4700564798014223E-2</v>
      </c>
      <c r="T7">
        <f t="shared" ref="T7:T10" si="3">$R7/$G7</f>
        <v>40.757490079802466</v>
      </c>
      <c r="V7" s="13">
        <f>($Q7*$G7*60)/($F$19)</f>
        <v>0.86768493001344793</v>
      </c>
      <c r="X7">
        <f t="shared" ref="X7:X10" si="4">($R7*60)/($F$19)</f>
        <v>0.88260092084660335</v>
      </c>
    </row>
    <row r="8" spans="1:24" x14ac:dyDescent="0.3">
      <c r="A8">
        <v>8</v>
      </c>
      <c r="C8">
        <v>25</v>
      </c>
      <c r="E8">
        <v>52.5</v>
      </c>
      <c r="G8">
        <f t="shared" si="0"/>
        <v>4.019047619047619E-4</v>
      </c>
      <c r="I8">
        <f>100-96</f>
        <v>4</v>
      </c>
      <c r="J8">
        <f>96-87</f>
        <v>9</v>
      </c>
      <c r="K8">
        <f>87-86.8</f>
        <v>0.20000000000000284</v>
      </c>
      <c r="L8">
        <f t="shared" si="1"/>
        <v>86.8</v>
      </c>
      <c r="N8">
        <v>8.5</v>
      </c>
      <c r="O8">
        <f t="shared" ref="O8:O10" si="5">$N8*SIN(30*$K$17/180)</f>
        <v>4.2499999999999964</v>
      </c>
      <c r="P8">
        <f t="shared" ref="P8:P10" si="6">(($I$15*$O8)/($E$15*100))</f>
        <v>35.27132987910187</v>
      </c>
      <c r="Q8" s="14">
        <f xml:space="preserve"> ($L8*84.4)/(33*($I8+$K8))</f>
        <v>52.856565656565628</v>
      </c>
      <c r="R8">
        <f t="shared" si="2"/>
        <v>1.4787809271954975E-2</v>
      </c>
      <c r="T8">
        <f t="shared" si="3"/>
        <v>36.794312169556214</v>
      </c>
      <c r="V8" s="13">
        <f>($Q8*$G8*60)/($F$19)</f>
        <v>1.2754177269133846</v>
      </c>
      <c r="X8">
        <f t="shared" si="4"/>
        <v>0.88783895449339811</v>
      </c>
    </row>
    <row r="9" spans="1:24" x14ac:dyDescent="0.3">
      <c r="A9">
        <v>10</v>
      </c>
      <c r="C9">
        <v>25</v>
      </c>
      <c r="E9">
        <v>42.5</v>
      </c>
      <c r="G9">
        <f t="shared" si="0"/>
        <v>4.9647058823529418E-4</v>
      </c>
      <c r="I9">
        <f>100-96</f>
        <v>4</v>
      </c>
      <c r="J9">
        <f>96-88</f>
        <v>8</v>
      </c>
      <c r="K9">
        <f>88-87.8</f>
        <v>0.20000000000000284</v>
      </c>
      <c r="L9">
        <f t="shared" si="1"/>
        <v>87.8</v>
      </c>
      <c r="N9">
        <v>8.6</v>
      </c>
      <c r="O9">
        <f t="shared" si="5"/>
        <v>4.2999999999999963</v>
      </c>
      <c r="P9">
        <f t="shared" si="6"/>
        <v>35.68628670120895</v>
      </c>
      <c r="Q9" s="14">
        <f xml:space="preserve"> ($L9*84.4)/(33*($I9+$K9))</f>
        <v>53.465512265512238</v>
      </c>
      <c r="R9">
        <f t="shared" si="2"/>
        <v>1.48745420348601E-2</v>
      </c>
      <c r="T9">
        <f t="shared" si="3"/>
        <v>29.960570449362756</v>
      </c>
      <c r="V9" s="13">
        <f t="shared" ref="V9:V10" si="7">($Q9*$G9*60)/($F$19)</f>
        <v>1.5936671217693814</v>
      </c>
      <c r="X9">
        <f t="shared" si="4"/>
        <v>0.89304626574024049</v>
      </c>
    </row>
    <row r="10" spans="1:24" x14ac:dyDescent="0.3">
      <c r="A10">
        <v>12</v>
      </c>
      <c r="C10">
        <v>25</v>
      </c>
      <c r="E10">
        <v>38.5</v>
      </c>
      <c r="G10">
        <f t="shared" si="0"/>
        <v>5.4805194805194806E-4</v>
      </c>
      <c r="I10">
        <f>100-94</f>
        <v>6</v>
      </c>
      <c r="J10">
        <f>94-86</f>
        <v>8</v>
      </c>
      <c r="K10">
        <f>86-85.6</f>
        <v>0.40000000000000568</v>
      </c>
      <c r="L10">
        <f t="shared" si="1"/>
        <v>85.6</v>
      </c>
      <c r="N10">
        <v>8.6999999999999993</v>
      </c>
      <c r="O10">
        <f t="shared" si="5"/>
        <v>4.3499999999999961</v>
      </c>
      <c r="P10">
        <f t="shared" si="6"/>
        <v>36.101243523316036</v>
      </c>
      <c r="Q10" s="14">
        <f t="shared" ref="Q10" si="8" xml:space="preserve"> ($L10*84.4)/(33*($I10+$K10))</f>
        <v>34.207575757575732</v>
      </c>
      <c r="R10">
        <f t="shared" si="2"/>
        <v>1.4960771986429134E-2</v>
      </c>
      <c r="T10">
        <f t="shared" si="3"/>
        <v>27.298091065285387</v>
      </c>
      <c r="V10" s="13">
        <f t="shared" si="7"/>
        <v>1.1255748451407528</v>
      </c>
      <c r="X10">
        <f t="shared" si="4"/>
        <v>0.89822338891238329</v>
      </c>
    </row>
    <row r="12" spans="1:24" x14ac:dyDescent="0.3">
      <c r="C12" s="15" t="s">
        <v>13</v>
      </c>
      <c r="D12" s="15"/>
      <c r="E12">
        <f>101325</f>
        <v>101325</v>
      </c>
      <c r="G12" s="18" t="s">
        <v>15</v>
      </c>
      <c r="H12" s="18"/>
      <c r="I12" s="7">
        <v>844</v>
      </c>
    </row>
    <row r="13" spans="1:24" x14ac:dyDescent="0.3">
      <c r="C13" s="16" t="s">
        <v>12</v>
      </c>
      <c r="D13" s="16"/>
      <c r="E13" s="9">
        <f>20</f>
        <v>20</v>
      </c>
      <c r="G13" s="15" t="s">
        <v>18</v>
      </c>
      <c r="H13" s="15"/>
      <c r="I13">
        <v>30</v>
      </c>
      <c r="K13" s="24" t="s">
        <v>21</v>
      </c>
      <c r="L13" s="24"/>
      <c r="M13" s="4">
        <f>(((3.14159265358979/4)*I13^2)/10^6)</f>
        <v>7.0685834705770277E-4</v>
      </c>
    </row>
    <row r="14" spans="1:24" x14ac:dyDescent="0.3">
      <c r="C14" s="15" t="s">
        <v>14</v>
      </c>
      <c r="D14" s="15"/>
      <c r="E14">
        <f>287</f>
        <v>287</v>
      </c>
      <c r="G14" s="19" t="s">
        <v>19</v>
      </c>
      <c r="H14" s="19"/>
      <c r="I14" s="8">
        <v>0.66</v>
      </c>
      <c r="K14" s="22" t="s">
        <v>38</v>
      </c>
      <c r="L14" s="22"/>
      <c r="M14" s="5">
        <v>80</v>
      </c>
      <c r="O14" s="23" t="s">
        <v>39</v>
      </c>
      <c r="P14" s="23"/>
      <c r="Q14" s="3">
        <f>(PI()*$M$14^2*$M$15)/(4*1000000000)</f>
        <v>5.5292030703180367E-4</v>
      </c>
    </row>
    <row r="15" spans="1:24" x14ac:dyDescent="0.3">
      <c r="C15" s="17" t="s">
        <v>46</v>
      </c>
      <c r="D15" s="17"/>
      <c r="E15" s="10">
        <f xml:space="preserve"> E12/(E14*(E13+273))</f>
        <v>1.2049446433030884</v>
      </c>
      <c r="G15" s="15" t="s">
        <v>26</v>
      </c>
      <c r="H15" s="15"/>
      <c r="I15">
        <v>1000</v>
      </c>
      <c r="K15" s="21" t="s">
        <v>37</v>
      </c>
      <c r="L15" s="21"/>
      <c r="M15" s="6">
        <v>110</v>
      </c>
    </row>
    <row r="17" spans="3:11" x14ac:dyDescent="0.3">
      <c r="C17" s="15" t="s">
        <v>34</v>
      </c>
      <c r="D17" s="15"/>
      <c r="E17">
        <v>2</v>
      </c>
      <c r="J17" t="s">
        <v>22</v>
      </c>
      <c r="K17">
        <v>3.14159265358979</v>
      </c>
    </row>
    <row r="19" spans="3:11" x14ac:dyDescent="0.3">
      <c r="C19" s="25" t="s">
        <v>47</v>
      </c>
      <c r="D19" s="25"/>
      <c r="E19" s="25"/>
      <c r="F19" s="11">
        <f>($E$15*$Q$14*$E$22*$E$17)/($D$21/2)</f>
        <v>0.99935754319720616</v>
      </c>
      <c r="J19" t="s">
        <v>30</v>
      </c>
    </row>
    <row r="20" spans="3:11" x14ac:dyDescent="0.3">
      <c r="C20" s="2"/>
      <c r="D20" s="2"/>
    </row>
    <row r="21" spans="3:11" x14ac:dyDescent="0.3">
      <c r="C21" t="s">
        <v>36</v>
      </c>
      <c r="D21">
        <v>4</v>
      </c>
    </row>
    <row r="22" spans="3:11" x14ac:dyDescent="0.3">
      <c r="C22" s="20" t="s">
        <v>35</v>
      </c>
      <c r="D22" s="20"/>
      <c r="E22" s="12">
        <v>1500</v>
      </c>
    </row>
  </sheetData>
  <mergeCells count="20">
    <mergeCell ref="V2:X2"/>
    <mergeCell ref="A2:Q2"/>
    <mergeCell ref="C22:D22"/>
    <mergeCell ref="K15:L15"/>
    <mergeCell ref="K14:L14"/>
    <mergeCell ref="O14:P14"/>
    <mergeCell ref="R3:T3"/>
    <mergeCell ref="K13:L13"/>
    <mergeCell ref="C19:E19"/>
    <mergeCell ref="C17:D17"/>
    <mergeCell ref="A1:N1"/>
    <mergeCell ref="I4:L4"/>
    <mergeCell ref="C13:D13"/>
    <mergeCell ref="C15:D15"/>
    <mergeCell ref="C12:D12"/>
    <mergeCell ref="C14:D14"/>
    <mergeCell ref="G12:H12"/>
    <mergeCell ref="G13:H13"/>
    <mergeCell ref="G14:H14"/>
    <mergeCell ref="G15:H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kishnani</dc:creator>
  <cp:lastModifiedBy>himanshu kishnani</cp:lastModifiedBy>
  <dcterms:created xsi:type="dcterms:W3CDTF">2019-12-12T17:33:53Z</dcterms:created>
  <dcterms:modified xsi:type="dcterms:W3CDTF">2020-03-13T18:33:28Z</dcterms:modified>
</cp:coreProperties>
</file>