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120" yWindow="285" windowWidth="15480" windowHeight="8970" activeTab="1"/>
  </bookViews>
  <sheets>
    <sheet name="INFO" sheetId="5" r:id="rId1"/>
    <sheet name="BalSheet" sheetId="2" r:id="rId2"/>
    <sheet name="IncStmt" sheetId="3" r:id="rId3"/>
  </sheets>
  <definedNames>
    <definedName name="_xlnm._FilterDatabase" localSheetId="0" hidden="1">INFO!$A$6:$U$84</definedName>
    <definedName name="CSIFlag">BalSheet!$D$5</definedName>
    <definedName name="Cube">BalSheet!$U$1</definedName>
    <definedName name="dynamoPick001" localSheetId="2" hidden="1">IncStmt!$R$3</definedName>
    <definedName name="dynamoPick001.AllowDrilling" localSheetId="2" hidden="1">FALSE</definedName>
    <definedName name="dynamoPick001.AllowEditor" localSheetId="2" hidden="1">FALSE</definedName>
    <definedName name="dynamoPick001.AllowPrinting" localSheetId="2" hidden="1">FALSE</definedName>
    <definedName name="dynamoPick001.CalcExcel" localSheetId="2" hidden="1">FALSE</definedName>
    <definedName name="dynamoPick001.CalcSheet" localSheetId="2" hidden="1">FALSE</definedName>
    <definedName name="dynamoPick001.DefaultEditor" localSheetId="2" hidden="1">FALSE</definedName>
    <definedName name="dynamoPick001.DynamoBook" localSheetId="2" hidden="1">FALSE</definedName>
    <definedName name="dynamoPick001.DynamoSheet" localSheetId="2" hidden="1">FALSE</definedName>
    <definedName name="dynamoPick001.RunMacro" localSheetId="2" hidden="1">FALSE</definedName>
    <definedName name="dynamoPick001INFO" localSheetId="2" hidden="1">"tpx_prod:bpmPeriod~"&amp;CELL("address",IncStmt!$R$3)&amp;"~"&amp;"B~"&amp;"YEAR 2010~3~"&amp;"~T~F~F~F~F~"&amp;"~"</definedName>
    <definedName name="Period">BalSheet!$D$4</definedName>
    <definedName name="_xlnm.Print_Area" localSheetId="1">BalSheet!$A$1:$R$149</definedName>
    <definedName name="_xlnm.Print_Area" localSheetId="2">IncStmt!$A$1:$X$199</definedName>
    <definedName name="_xlnm.Print_Titles" localSheetId="1">BalSheet!$1:$6</definedName>
    <definedName name="_xlnm.Print_Titles" localSheetId="2">IncStmt!$1:$6</definedName>
    <definedName name="Scenario">BalSheet!$D$2</definedName>
  </definedNames>
  <calcPr calcId="145621" calcMode="manual" calcCompleted="0" calcOnSave="0" concurrentCalc="0"/>
</workbook>
</file>

<file path=xl/calcChain.xml><?xml version="1.0" encoding="utf-8"?>
<calcChain xmlns="http://schemas.openxmlformats.org/spreadsheetml/2006/main">
  <c r="D4" i="2" l="1"/>
  <c r="Q100" i="2"/>
  <c r="R100" i="2"/>
  <c r="Q105" i="2"/>
  <c r="P105" i="2"/>
  <c r="R105" i="2"/>
  <c r="Q109" i="2"/>
  <c r="P109" i="2"/>
  <c r="R109" i="2"/>
  <c r="Q113" i="2"/>
  <c r="P113" i="2"/>
  <c r="R113" i="2"/>
  <c r="Q117" i="2"/>
  <c r="P117" i="2"/>
  <c r="R117" i="2"/>
  <c r="Q121" i="2"/>
  <c r="P121" i="2"/>
  <c r="R121" i="2"/>
  <c r="Q127" i="2"/>
  <c r="P127" i="2"/>
  <c r="R127" i="2"/>
  <c r="Q131" i="2"/>
  <c r="P131" i="2"/>
  <c r="R131" i="2"/>
  <c r="Q135" i="2"/>
  <c r="P135" i="2"/>
  <c r="R135" i="2"/>
  <c r="Q139" i="2"/>
  <c r="P139" i="2"/>
  <c r="R139" i="2"/>
  <c r="Q143" i="2"/>
  <c r="P143" i="2"/>
  <c r="R143" i="2"/>
  <c r="Q147" i="2"/>
  <c r="P147" i="2"/>
  <c r="R147" i="2"/>
  <c r="R148" i="2"/>
  <c r="J9" i="3"/>
  <c r="W9" i="3"/>
  <c r="J10" i="3"/>
  <c r="W10" i="3"/>
  <c r="W11" i="3"/>
  <c r="V11" i="3"/>
  <c r="U11" i="3"/>
  <c r="S9" i="3"/>
  <c r="S10" i="3"/>
  <c r="S11" i="3"/>
  <c r="R11" i="3"/>
  <c r="Q11" i="3"/>
  <c r="Z10" i="3"/>
  <c r="Z9" i="3"/>
  <c r="N156" i="3"/>
  <c r="J157" i="3"/>
  <c r="N157" i="3"/>
  <c r="J129" i="2"/>
  <c r="G130" i="2"/>
  <c r="N130" i="2"/>
  <c r="I129" i="2"/>
  <c r="G102" i="2"/>
  <c r="G107" i="2"/>
  <c r="G111" i="2"/>
  <c r="G115" i="2"/>
  <c r="G119" i="2"/>
  <c r="G123" i="2"/>
  <c r="G126" i="2"/>
  <c r="G133" i="2"/>
  <c r="G134" i="2"/>
  <c r="G137" i="2"/>
  <c r="G138" i="2"/>
  <c r="G141" i="2"/>
  <c r="G142" i="2"/>
  <c r="G145" i="2"/>
  <c r="G146" i="2"/>
  <c r="G151" i="2"/>
  <c r="I151" i="2"/>
  <c r="G153" i="2"/>
  <c r="I153" i="2"/>
  <c r="G155" i="2"/>
  <c r="I155" i="2"/>
  <c r="G157" i="2"/>
  <c r="I157" i="2"/>
  <c r="G159" i="2"/>
  <c r="I159" i="2"/>
  <c r="G161" i="2"/>
  <c r="I161" i="2"/>
  <c r="G163" i="2"/>
  <c r="I163" i="2"/>
  <c r="N102" i="2"/>
  <c r="N107" i="2"/>
  <c r="N111" i="2"/>
  <c r="N115" i="2"/>
  <c r="N119" i="2"/>
  <c r="N123" i="2"/>
  <c r="N126" i="2"/>
  <c r="N133" i="2"/>
  <c r="N134" i="2"/>
  <c r="N137" i="2"/>
  <c r="N138" i="2"/>
  <c r="N141" i="2"/>
  <c r="N142" i="2"/>
  <c r="N145" i="2"/>
  <c r="N146" i="2"/>
  <c r="J151" i="2"/>
  <c r="N151" i="2"/>
  <c r="J153" i="2"/>
  <c r="N153" i="2"/>
  <c r="J155" i="2"/>
  <c r="N155" i="2"/>
  <c r="J157" i="2"/>
  <c r="N157" i="2"/>
  <c r="J159" i="2"/>
  <c r="N159" i="2"/>
  <c r="J161" i="2"/>
  <c r="N161" i="2"/>
  <c r="J163" i="2"/>
  <c r="N163" i="2"/>
  <c r="J104" i="2"/>
  <c r="J108" i="2"/>
  <c r="J112" i="2"/>
  <c r="J116" i="2"/>
  <c r="J120" i="2"/>
  <c r="J123" i="2"/>
  <c r="J126" i="2"/>
  <c r="J133" i="2"/>
  <c r="J134" i="2"/>
  <c r="J137" i="2"/>
  <c r="J138" i="2"/>
  <c r="J141" i="2"/>
  <c r="J142" i="2"/>
  <c r="J145" i="2"/>
  <c r="J146" i="2"/>
  <c r="P325" i="2"/>
  <c r="I146" i="2"/>
  <c r="I145" i="2"/>
  <c r="I142" i="2"/>
  <c r="I141" i="2"/>
  <c r="I138" i="2"/>
  <c r="I137" i="2"/>
  <c r="I134" i="2"/>
  <c r="I133" i="2"/>
  <c r="I123" i="2"/>
  <c r="I126" i="2"/>
  <c r="I120" i="2"/>
  <c r="I116" i="2"/>
  <c r="I112" i="2"/>
  <c r="I108" i="2"/>
  <c r="I104" i="2"/>
  <c r="J185" i="3"/>
  <c r="N185" i="3"/>
  <c r="J149" i="3"/>
  <c r="J39" i="3"/>
  <c r="J139" i="3"/>
  <c r="N139" i="3"/>
  <c r="J150" i="3"/>
  <c r="S75" i="3"/>
  <c r="D3" i="3"/>
  <c r="J146" i="3"/>
  <c r="N145" i="3"/>
  <c r="J145" i="3"/>
  <c r="Q236" i="3"/>
  <c r="Q223" i="3"/>
  <c r="Q221" i="3"/>
  <c r="Q216" i="3"/>
  <c r="Q212" i="3"/>
  <c r="Q211" i="3"/>
  <c r="Q207" i="3"/>
  <c r="Q206" i="3"/>
  <c r="Q205" i="3"/>
  <c r="Q204" i="3"/>
  <c r="J42" i="3"/>
  <c r="J40" i="3"/>
  <c r="N96" i="3"/>
  <c r="N17" i="3"/>
  <c r="J17" i="3"/>
  <c r="D2" i="3"/>
  <c r="N13" i="3"/>
  <c r="J13" i="3"/>
  <c r="N21" i="3"/>
  <c r="J21" i="3"/>
  <c r="N193" i="3"/>
  <c r="J193" i="3"/>
  <c r="N86" i="3"/>
  <c r="J86" i="3"/>
  <c r="J103" i="3"/>
  <c r="N174" i="3"/>
  <c r="J174" i="3"/>
  <c r="N53" i="3"/>
  <c r="J53" i="3"/>
  <c r="N51" i="3"/>
  <c r="J51" i="3"/>
  <c r="N22" i="3"/>
  <c r="J22" i="3"/>
  <c r="N18" i="3"/>
  <c r="J18" i="3"/>
  <c r="N14" i="3"/>
  <c r="J14" i="3"/>
  <c r="N97" i="3"/>
  <c r="J97" i="3"/>
  <c r="N35" i="3"/>
  <c r="J35" i="3"/>
  <c r="N34" i="3"/>
  <c r="J34" i="3"/>
  <c r="N114" i="3"/>
  <c r="J114" i="3"/>
  <c r="N60" i="3"/>
  <c r="J60" i="3"/>
  <c r="N55" i="3"/>
  <c r="J55" i="3"/>
  <c r="J121" i="3"/>
  <c r="J82" i="3"/>
  <c r="J110" i="3"/>
  <c r="J111" i="3"/>
  <c r="J96" i="3"/>
  <c r="J65" i="3"/>
  <c r="N195" i="3"/>
  <c r="J195" i="3"/>
  <c r="N46" i="3"/>
  <c r="N110" i="3"/>
  <c r="N164" i="3"/>
  <c r="J164" i="3"/>
  <c r="J120" i="3"/>
  <c r="N106" i="3"/>
  <c r="N107" i="3"/>
  <c r="J106" i="3"/>
  <c r="J107" i="3"/>
  <c r="N95" i="3"/>
  <c r="J95" i="3"/>
  <c r="N180" i="3"/>
  <c r="N181" i="3"/>
  <c r="N194" i="3"/>
  <c r="J194" i="3"/>
  <c r="N88" i="3"/>
  <c r="J88" i="3"/>
  <c r="J180" i="3"/>
  <c r="N59" i="3"/>
  <c r="J59" i="3"/>
  <c r="N163" i="3"/>
  <c r="J163" i="3"/>
  <c r="J119" i="3"/>
  <c r="J81" i="3"/>
  <c r="N153" i="3"/>
  <c r="J153" i="3"/>
  <c r="N89" i="3"/>
  <c r="J89" i="3"/>
  <c r="N189" i="3"/>
  <c r="J189" i="3"/>
  <c r="N165" i="3"/>
  <c r="J165" i="3"/>
  <c r="J29" i="3"/>
  <c r="T91" i="3"/>
  <c r="X162" i="3"/>
  <c r="X70" i="3"/>
  <c r="X66" i="3"/>
  <c r="U204" i="3"/>
  <c r="U212" i="3"/>
  <c r="U205" i="3"/>
  <c r="U241" i="3"/>
  <c r="U211" i="3"/>
  <c r="U227" i="3"/>
  <c r="U244" i="3"/>
  <c r="U225" i="3"/>
  <c r="U218" i="3"/>
  <c r="U240" i="3"/>
  <c r="U236" i="3"/>
  <c r="V233" i="3"/>
  <c r="V220" i="3"/>
  <c r="R240" i="3"/>
  <c r="V239" i="3"/>
  <c r="V236" i="3"/>
  <c r="V216" i="3"/>
  <c r="R223" i="3"/>
  <c r="R228" i="3"/>
  <c r="R226" i="3"/>
  <c r="V219" i="3"/>
  <c r="V211" i="3"/>
  <c r="R207" i="3"/>
  <c r="V228" i="3"/>
  <c r="R218" i="3"/>
  <c r="V214" i="3"/>
  <c r="R241" i="3"/>
  <c r="V218" i="3"/>
  <c r="R230" i="3"/>
  <c r="R242" i="3"/>
  <c r="R212" i="3"/>
  <c r="V206" i="3"/>
  <c r="V243" i="3"/>
  <c r="R204" i="3"/>
  <c r="V232" i="3"/>
  <c r="V204" i="3"/>
  <c r="V237" i="3"/>
  <c r="V229" i="3"/>
  <c r="R239" i="3"/>
  <c r="V241" i="3"/>
  <c r="R213" i="3"/>
  <c r="R236" i="3"/>
  <c r="R216" i="3"/>
  <c r="V226" i="3"/>
  <c r="R233" i="3"/>
  <c r="V223" i="3"/>
  <c r="V208" i="3"/>
  <c r="R235" i="3"/>
  <c r="R244" i="3"/>
  <c r="R214" i="3"/>
  <c r="R222" i="3"/>
  <c r="R221" i="3"/>
  <c r="R205" i="3"/>
  <c r="V221" i="3"/>
  <c r="V215" i="3"/>
  <c r="R208" i="3"/>
  <c r="V230" i="3"/>
  <c r="R227" i="3"/>
  <c r="V235" i="3"/>
  <c r="R234" i="3"/>
  <c r="V212" i="3"/>
  <c r="V240" i="3"/>
  <c r="V222" i="3"/>
  <c r="V205" i="3"/>
  <c r="R219" i="3"/>
  <c r="V209" i="3"/>
  <c r="R209" i="3"/>
  <c r="V213" i="3"/>
  <c r="V234" i="3"/>
  <c r="R211" i="3"/>
  <c r="V207" i="3"/>
  <c r="R237" i="3"/>
  <c r="V244" i="3"/>
  <c r="R229" i="3"/>
  <c r="R206" i="3"/>
  <c r="R220" i="3"/>
  <c r="V242" i="3"/>
  <c r="V227" i="3"/>
  <c r="V225" i="3"/>
  <c r="R243" i="3"/>
  <c r="R232" i="3"/>
  <c r="R215" i="3"/>
  <c r="R225" i="3"/>
  <c r="U166" i="3"/>
  <c r="Z59" i="3"/>
  <c r="V70" i="3"/>
  <c r="Z118" i="3"/>
  <c r="U123" i="3"/>
  <c r="Q218" i="3"/>
  <c r="S218" i="3"/>
  <c r="Z52" i="3"/>
  <c r="Z29" i="3"/>
  <c r="Q209" i="3"/>
  <c r="S209" i="3"/>
  <c r="V98" i="3"/>
  <c r="V99" i="3"/>
  <c r="U219" i="3"/>
  <c r="W219" i="3"/>
  <c r="W95" i="3"/>
  <c r="W96" i="3"/>
  <c r="W97" i="3"/>
  <c r="W98" i="3"/>
  <c r="W99" i="3"/>
  <c r="Q230" i="3"/>
  <c r="S230" i="3"/>
  <c r="Z89" i="3"/>
  <c r="W169" i="3"/>
  <c r="W170" i="3"/>
  <c r="W171" i="3"/>
  <c r="V171" i="3"/>
  <c r="Q66" i="3"/>
  <c r="Q229" i="3"/>
  <c r="S229" i="3"/>
  <c r="Z18" i="3"/>
  <c r="R203" i="2"/>
  <c r="R204" i="2"/>
  <c r="P311" i="2"/>
  <c r="R311" i="2"/>
  <c r="R65" i="2"/>
  <c r="Q68" i="2"/>
  <c r="P68" i="2"/>
  <c r="R68" i="2"/>
  <c r="R69" i="2"/>
  <c r="R70" i="2"/>
  <c r="R71" i="2"/>
  <c r="R72" i="2"/>
  <c r="R73" i="2"/>
  <c r="Z55" i="3"/>
  <c r="Q214" i="3"/>
  <c r="S214" i="3"/>
  <c r="Z96" i="3"/>
  <c r="W88" i="3"/>
  <c r="U206" i="3"/>
  <c r="W206" i="3"/>
  <c r="W52" i="3"/>
  <c r="W194" i="3"/>
  <c r="Q61" i="3"/>
  <c r="W59" i="3"/>
  <c r="V66" i="3"/>
  <c r="R108" i="3"/>
  <c r="S189" i="3"/>
  <c r="Z119" i="3"/>
  <c r="W14" i="3"/>
  <c r="U234" i="3"/>
  <c r="W234" i="3"/>
  <c r="S87" i="3"/>
  <c r="S194" i="3"/>
  <c r="R48" i="3"/>
  <c r="S46" i="3"/>
  <c r="S47" i="3"/>
  <c r="S48" i="3"/>
  <c r="V182" i="3"/>
  <c r="W180" i="3"/>
  <c r="W181" i="3"/>
  <c r="W182" i="3"/>
  <c r="Q187" i="3"/>
  <c r="W225" i="3"/>
  <c r="W227" i="3"/>
  <c r="R178" i="2"/>
  <c r="R46" i="2"/>
  <c r="R178" i="3"/>
  <c r="W89" i="3"/>
  <c r="U242" i="3"/>
  <c r="W242" i="3"/>
  <c r="R15" i="3"/>
  <c r="S13" i="3"/>
  <c r="S14" i="3"/>
  <c r="S15" i="3"/>
  <c r="Z104" i="3"/>
  <c r="Q239" i="3"/>
  <c r="S239" i="3"/>
  <c r="Q90" i="3"/>
  <c r="S55" i="3"/>
  <c r="W103" i="3"/>
  <c r="W164" i="3"/>
  <c r="Y164" i="3"/>
  <c r="Z120" i="3"/>
  <c r="R43" i="3"/>
  <c r="S40" i="3"/>
  <c r="S41" i="3"/>
  <c r="S42" i="3"/>
  <c r="S43" i="3"/>
  <c r="Q78" i="3"/>
  <c r="U48" i="3"/>
  <c r="Q228" i="3"/>
  <c r="S228" i="3"/>
  <c r="Z46" i="3"/>
  <c r="S103" i="3"/>
  <c r="S96" i="3"/>
  <c r="Q123" i="3"/>
  <c r="U213" i="3"/>
  <c r="W213" i="3"/>
  <c r="V15" i="3"/>
  <c r="W13" i="3"/>
  <c r="W15" i="3"/>
  <c r="Q36" i="3"/>
  <c r="Q43" i="3"/>
  <c r="Q48" i="3"/>
  <c r="Q56" i="3"/>
  <c r="Q70" i="3"/>
  <c r="Q71" i="3"/>
  <c r="Q15" i="3"/>
  <c r="Q19" i="3"/>
  <c r="Q23" i="3"/>
  <c r="Q30" i="3"/>
  <c r="Q75" i="3"/>
  <c r="Q83" i="3"/>
  <c r="Q91" i="3"/>
  <c r="R166" i="3"/>
  <c r="S162" i="3"/>
  <c r="S163" i="3"/>
  <c r="S164" i="3"/>
  <c r="S165" i="3"/>
  <c r="S166" i="3"/>
  <c r="V61" i="3"/>
  <c r="W60" i="3"/>
  <c r="W61" i="3"/>
  <c r="W186" i="3"/>
  <c r="S195" i="3"/>
  <c r="S206" i="3"/>
  <c r="W244" i="3"/>
  <c r="R43" i="2"/>
  <c r="R44" i="2"/>
  <c r="R45" i="2"/>
  <c r="R47" i="2"/>
  <c r="R48" i="2"/>
  <c r="Q165" i="2"/>
  <c r="S29" i="3"/>
  <c r="U182" i="3"/>
  <c r="Z180" i="3"/>
  <c r="U78" i="3"/>
  <c r="S114" i="3"/>
  <c r="V178" i="3"/>
  <c r="Z35" i="3"/>
  <c r="S88" i="3"/>
  <c r="V36" i="3"/>
  <c r="V43" i="3"/>
  <c r="V48" i="3"/>
  <c r="V56" i="3"/>
  <c r="V71" i="3"/>
  <c r="V19" i="3"/>
  <c r="V23" i="3"/>
  <c r="V30" i="3"/>
  <c r="V75" i="3"/>
  <c r="V78" i="3"/>
  <c r="V83" i="3"/>
  <c r="V90" i="3"/>
  <c r="V91" i="3"/>
  <c r="W34" i="3"/>
  <c r="W35" i="3"/>
  <c r="W36" i="3"/>
  <c r="W40" i="3"/>
  <c r="W41" i="3"/>
  <c r="W42" i="3"/>
  <c r="W43" i="3"/>
  <c r="W46" i="3"/>
  <c r="W47" i="3"/>
  <c r="W48" i="3"/>
  <c r="W51" i="3"/>
  <c r="W53" i="3"/>
  <c r="W54" i="3"/>
  <c r="W55" i="3"/>
  <c r="W56" i="3"/>
  <c r="U70" i="3"/>
  <c r="W70" i="3"/>
  <c r="U66" i="3"/>
  <c r="W66" i="3"/>
  <c r="W71" i="3"/>
  <c r="W28" i="3"/>
  <c r="W29" i="3"/>
  <c r="W17" i="3"/>
  <c r="W18" i="3"/>
  <c r="W19" i="3"/>
  <c r="W21" i="3"/>
  <c r="W22" i="3"/>
  <c r="W23" i="3"/>
  <c r="W30" i="3"/>
  <c r="W39" i="3"/>
  <c r="U75" i="3"/>
  <c r="W75" i="3"/>
  <c r="W78" i="3"/>
  <c r="W81" i="3"/>
  <c r="W82" i="3"/>
  <c r="W83" i="3"/>
  <c r="W86" i="3"/>
  <c r="W87" i="3"/>
  <c r="W90" i="3"/>
  <c r="W91" i="3"/>
  <c r="U221" i="3"/>
  <c r="W221" i="3"/>
  <c r="S211" i="3"/>
  <c r="R13" i="2"/>
  <c r="U214" i="3"/>
  <c r="W214" i="3"/>
  <c r="Q242" i="3"/>
  <c r="S242" i="3"/>
  <c r="U112" i="3"/>
  <c r="Q215" i="3"/>
  <c r="S215" i="3"/>
  <c r="Z97" i="3"/>
  <c r="S22" i="3"/>
  <c r="Q171" i="3"/>
  <c r="Z60" i="3"/>
  <c r="Z53" i="3"/>
  <c r="W165" i="3"/>
  <c r="Y165" i="3"/>
  <c r="Z165" i="3"/>
  <c r="Z81" i="3"/>
  <c r="U83" i="3"/>
  <c r="U216" i="3"/>
  <c r="W216" i="3"/>
  <c r="S120" i="3"/>
  <c r="S28" i="3"/>
  <c r="S53" i="3"/>
  <c r="U207" i="3"/>
  <c r="W207" i="3"/>
  <c r="Z195" i="3"/>
  <c r="W118" i="3"/>
  <c r="W119" i="3"/>
  <c r="W120" i="3"/>
  <c r="W121" i="3"/>
  <c r="W123" i="3"/>
  <c r="V123" i="3"/>
  <c r="U108" i="3"/>
  <c r="Q241" i="3"/>
  <c r="S241" i="3"/>
  <c r="Q196" i="3"/>
  <c r="R211" i="2"/>
  <c r="P321" i="2"/>
  <c r="R321" i="2"/>
  <c r="P310" i="2"/>
  <c r="R310" i="2"/>
  <c r="R19" i="2"/>
  <c r="R20" i="2"/>
  <c r="R21" i="2"/>
  <c r="R22" i="2"/>
  <c r="R23" i="2"/>
  <c r="R24" i="2"/>
  <c r="P259" i="2"/>
  <c r="R259" i="2"/>
  <c r="P300" i="2"/>
  <c r="R300" i="2"/>
  <c r="S34" i="3"/>
  <c r="S35" i="3"/>
  <c r="S36" i="3"/>
  <c r="S51" i="3"/>
  <c r="S54" i="3"/>
  <c r="S56" i="3"/>
  <c r="S59" i="3"/>
  <c r="S60" i="3"/>
  <c r="S61" i="3"/>
  <c r="R70" i="3"/>
  <c r="S70" i="3"/>
  <c r="R66" i="3"/>
  <c r="S66" i="3"/>
  <c r="S71" i="3"/>
  <c r="R78" i="3"/>
  <c r="S78" i="3"/>
  <c r="S81" i="3"/>
  <c r="S82" i="3"/>
  <c r="S83" i="3"/>
  <c r="S86" i="3"/>
  <c r="S89" i="3"/>
  <c r="S90" i="3"/>
  <c r="S91" i="3"/>
  <c r="R36" i="3"/>
  <c r="R56" i="3"/>
  <c r="R61" i="3"/>
  <c r="R71" i="3"/>
  <c r="R75" i="3"/>
  <c r="R83" i="3"/>
  <c r="R90" i="3"/>
  <c r="R91" i="3"/>
  <c r="Q225" i="3"/>
  <c r="S225" i="3"/>
  <c r="Z54" i="3"/>
  <c r="V196" i="3"/>
  <c r="W193" i="3"/>
  <c r="W195" i="3"/>
  <c r="W196" i="3"/>
  <c r="U233" i="3"/>
  <c r="W233" i="3"/>
  <c r="U43" i="3"/>
  <c r="Z40" i="3"/>
  <c r="R23" i="3"/>
  <c r="S21" i="3"/>
  <c r="S23" i="3"/>
  <c r="Z87" i="3"/>
  <c r="V112" i="3"/>
  <c r="U230" i="3"/>
  <c r="W230" i="3"/>
  <c r="U232" i="3"/>
  <c r="W232" i="3"/>
  <c r="S118" i="3"/>
  <c r="S119" i="3"/>
  <c r="S121" i="3"/>
  <c r="S123" i="3"/>
  <c r="R123" i="3"/>
  <c r="Q166" i="3"/>
  <c r="U56" i="3"/>
  <c r="Z51" i="3"/>
  <c r="Z103" i="3"/>
  <c r="U235" i="3"/>
  <c r="W235" i="3"/>
  <c r="Q108" i="3"/>
  <c r="U237" i="3"/>
  <c r="W237" i="3"/>
  <c r="Q182" i="3"/>
  <c r="V108" i="3"/>
  <c r="W108" i="3"/>
  <c r="U223" i="3"/>
  <c r="W223" i="3"/>
  <c r="Z47" i="3"/>
  <c r="Q220" i="3"/>
  <c r="S220" i="3"/>
  <c r="U90" i="3"/>
  <c r="Z86" i="3"/>
  <c r="Z95" i="3"/>
  <c r="Q213" i="3"/>
  <c r="S213" i="3"/>
  <c r="U98" i="3"/>
  <c r="U99" i="3"/>
  <c r="S17" i="3"/>
  <c r="S18" i="3"/>
  <c r="S19" i="3"/>
  <c r="R19" i="3"/>
  <c r="S39" i="3"/>
  <c r="U36" i="3"/>
  <c r="U61" i="3"/>
  <c r="U71" i="3"/>
  <c r="U91" i="3"/>
  <c r="Z34" i="3"/>
  <c r="R196" i="3"/>
  <c r="S193" i="3"/>
  <c r="S196" i="3"/>
  <c r="W185" i="3"/>
  <c r="W205" i="3"/>
  <c r="W240" i="3"/>
  <c r="W212" i="3"/>
  <c r="R190" i="2"/>
  <c r="R56" i="2"/>
  <c r="R36" i="2"/>
  <c r="R37" i="2"/>
  <c r="R38" i="2"/>
  <c r="R39" i="2"/>
  <c r="R40" i="2"/>
  <c r="R41" i="2"/>
  <c r="Z17" i="3"/>
  <c r="U19" i="3"/>
  <c r="Q226" i="3"/>
  <c r="S226" i="3"/>
  <c r="R182" i="3"/>
  <c r="S180" i="3"/>
  <c r="S181" i="3"/>
  <c r="S182" i="3"/>
  <c r="S174" i="3"/>
  <c r="U178" i="3"/>
  <c r="U226" i="3"/>
  <c r="W226" i="3"/>
  <c r="S97" i="3"/>
  <c r="Q112" i="3"/>
  <c r="Q115" i="3"/>
  <c r="Q124" i="3"/>
  <c r="Z88" i="3"/>
  <c r="R112" i="3"/>
  <c r="U215" i="3"/>
  <c r="W215" i="3"/>
  <c r="W174" i="3"/>
  <c r="W162" i="3"/>
  <c r="V166" i="3"/>
  <c r="U220" i="3"/>
  <c r="W220" i="3"/>
  <c r="Z22" i="3"/>
  <c r="Q243" i="3"/>
  <c r="S243" i="3"/>
  <c r="Z42" i="3"/>
  <c r="R171" i="3"/>
  <c r="S169" i="3"/>
  <c r="S170" i="3"/>
  <c r="S171" i="3"/>
  <c r="U228" i="3"/>
  <c r="W228" i="3"/>
  <c r="Q233" i="3"/>
  <c r="S233" i="3"/>
  <c r="Z174" i="3"/>
  <c r="Z28" i="3"/>
  <c r="Q208" i="3"/>
  <c r="S208" i="3"/>
  <c r="Q98" i="3"/>
  <c r="Q99" i="3"/>
  <c r="Z114" i="3"/>
  <c r="Z189" i="3"/>
  <c r="W189" i="3"/>
  <c r="U239" i="3"/>
  <c r="W239" i="3"/>
  <c r="S205" i="3"/>
  <c r="S221" i="3"/>
  <c r="R185" i="2"/>
  <c r="R79" i="2"/>
  <c r="P261" i="2"/>
  <c r="R261" i="2"/>
  <c r="P316" i="2"/>
  <c r="R316" i="2"/>
  <c r="R53" i="2"/>
  <c r="R28" i="2"/>
  <c r="W114" i="3"/>
  <c r="S95" i="3"/>
  <c r="S98" i="3"/>
  <c r="S99" i="3"/>
  <c r="R98" i="3"/>
  <c r="R99" i="3"/>
  <c r="U15" i="3"/>
  <c r="Z13" i="3"/>
  <c r="Q219" i="3"/>
  <c r="S219" i="3"/>
  <c r="Z21" i="3"/>
  <c r="U23" i="3"/>
  <c r="Q240" i="3"/>
  <c r="S240" i="3"/>
  <c r="Z75" i="3"/>
  <c r="S186" i="3"/>
  <c r="W184" i="3"/>
  <c r="W187" i="3"/>
  <c r="V187" i="3"/>
  <c r="Z170" i="3"/>
  <c r="Q222" i="3"/>
  <c r="S222" i="3"/>
  <c r="Z14" i="3"/>
  <c r="Q178" i="3"/>
  <c r="Q190" i="3"/>
  <c r="Z39" i="3"/>
  <c r="Q227" i="3"/>
  <c r="S227" i="3"/>
  <c r="U187" i="3"/>
  <c r="Z187" i="3"/>
  <c r="S216" i="3"/>
  <c r="S236" i="3"/>
  <c r="W241" i="3"/>
  <c r="W204" i="3"/>
  <c r="S204" i="3"/>
  <c r="S212" i="3"/>
  <c r="R215" i="2"/>
  <c r="R200" i="2"/>
  <c r="R201" i="2"/>
  <c r="R184" i="2"/>
  <c r="R186" i="2"/>
  <c r="R187" i="2"/>
  <c r="R78" i="2"/>
  <c r="P322" i="2"/>
  <c r="R322" i="2"/>
  <c r="R62" i="2"/>
  <c r="R52" i="2"/>
  <c r="R27" i="2"/>
  <c r="P262" i="2"/>
  <c r="R262" i="2"/>
  <c r="R12" i="2"/>
  <c r="P317" i="2"/>
  <c r="R317" i="2"/>
  <c r="P298" i="2"/>
  <c r="R298" i="2"/>
  <c r="Z164" i="3"/>
  <c r="Z181" i="3"/>
  <c r="U209" i="3"/>
  <c r="W209" i="3"/>
  <c r="W104" i="3"/>
  <c r="Z194" i="3"/>
  <c r="U196" i="3"/>
  <c r="Z193" i="3"/>
  <c r="S104" i="3"/>
  <c r="R187" i="3"/>
  <c r="S184" i="3"/>
  <c r="S185" i="3"/>
  <c r="S187" i="3"/>
  <c r="Z82" i="3"/>
  <c r="Z121" i="3"/>
  <c r="W163" i="3"/>
  <c r="Y163" i="3"/>
  <c r="Z163" i="3"/>
  <c r="U171" i="3"/>
  <c r="Z169" i="3"/>
  <c r="W218" i="3"/>
  <c r="S207" i="3"/>
  <c r="W211" i="3"/>
  <c r="S223" i="3"/>
  <c r="W236" i="3"/>
  <c r="R212" i="2"/>
  <c r="R191" i="2"/>
  <c r="R179" i="2"/>
  <c r="P324" i="2"/>
  <c r="R324" i="2"/>
  <c r="P312" i="2"/>
  <c r="R312" i="2"/>
  <c r="R59" i="2"/>
  <c r="R60" i="2"/>
  <c r="R61" i="2"/>
  <c r="R63" i="2"/>
  <c r="R214" i="2"/>
  <c r="R210" i="2"/>
  <c r="R213" i="2"/>
  <c r="R216" i="2"/>
  <c r="R197" i="2"/>
  <c r="R189" i="2"/>
  <c r="R192" i="2"/>
  <c r="R181" i="2"/>
  <c r="R177" i="2"/>
  <c r="Q255" i="2"/>
  <c r="R77" i="2"/>
  <c r="P318" i="2"/>
  <c r="R318" i="2"/>
  <c r="P319" i="2"/>
  <c r="R319" i="2"/>
  <c r="R55" i="2"/>
  <c r="R51" i="2"/>
  <c r="R33" i="2"/>
  <c r="R34" i="2"/>
  <c r="P320" i="2"/>
  <c r="R320" i="2"/>
  <c r="R16" i="2"/>
  <c r="P263" i="2"/>
  <c r="R263" i="2"/>
  <c r="R11" i="2"/>
  <c r="P302" i="2"/>
  <c r="R302" i="2"/>
  <c r="P304" i="2"/>
  <c r="R304" i="2"/>
  <c r="Q225" i="2"/>
  <c r="R225" i="2"/>
  <c r="R196" i="2"/>
  <c r="R198" i="2"/>
  <c r="R180" i="2"/>
  <c r="Q205" i="2"/>
  <c r="R176" i="2"/>
  <c r="R182" i="2"/>
  <c r="R325" i="2"/>
  <c r="Q326" i="2"/>
  <c r="Q328" i="2"/>
  <c r="R80" i="2"/>
  <c r="R76" i="2"/>
  <c r="R81" i="2"/>
  <c r="P314" i="2"/>
  <c r="R314" i="2"/>
  <c r="P315" i="2"/>
  <c r="R315" i="2"/>
  <c r="R54" i="2"/>
  <c r="R50" i="2"/>
  <c r="R57" i="2"/>
  <c r="R29" i="2"/>
  <c r="R15" i="2"/>
  <c r="Q83" i="2"/>
  <c r="P247" i="2"/>
  <c r="P293" i="2"/>
  <c r="R9" i="2"/>
  <c r="R10" i="2"/>
  <c r="R14" i="2"/>
  <c r="R17" i="2"/>
  <c r="R26" i="2"/>
  <c r="R30" i="2"/>
  <c r="R31" i="2"/>
  <c r="R83" i="2"/>
  <c r="P296" i="2"/>
  <c r="R296" i="2"/>
  <c r="Q237" i="2"/>
  <c r="R237" i="2"/>
  <c r="P307" i="2"/>
  <c r="R307" i="2"/>
  <c r="P253" i="2"/>
  <c r="R253" i="2"/>
  <c r="P297" i="2"/>
  <c r="R297" i="2"/>
  <c r="P248" i="2"/>
  <c r="R248" i="2"/>
  <c r="P165" i="2"/>
  <c r="P167" i="2"/>
  <c r="Q285" i="2"/>
  <c r="R285" i="2"/>
  <c r="Q286" i="2"/>
  <c r="Q283" i="2"/>
  <c r="R283" i="2"/>
  <c r="Q239" i="2"/>
  <c r="R239" i="2"/>
  <c r="Q279" i="2"/>
  <c r="R279" i="2"/>
  <c r="P83" i="2"/>
  <c r="Q235" i="2"/>
  <c r="R235" i="2"/>
  <c r="Q271" i="2"/>
  <c r="Q223" i="2"/>
  <c r="Q224" i="2"/>
  <c r="Q226" i="2"/>
  <c r="Q227" i="2"/>
  <c r="Q228" i="2"/>
  <c r="Q229" i="2"/>
  <c r="Q230" i="2"/>
  <c r="Q231" i="2"/>
  <c r="R230" i="2"/>
  <c r="Q278" i="2"/>
  <c r="S122" i="3"/>
  <c r="S136" i="3"/>
  <c r="R151" i="3"/>
  <c r="R158" i="3"/>
  <c r="U135" i="3"/>
  <c r="Q232" i="3"/>
  <c r="S232" i="3"/>
  <c r="U143" i="3"/>
  <c r="Q234" i="3"/>
  <c r="S234" i="3"/>
  <c r="V143" i="3"/>
  <c r="U222" i="3"/>
  <c r="W222" i="3"/>
  <c r="V154" i="3"/>
  <c r="U243" i="3"/>
  <c r="W243" i="3"/>
  <c r="P251" i="2"/>
  <c r="R251" i="2"/>
  <c r="P303" i="2"/>
  <c r="R303" i="2"/>
  <c r="P305" i="2"/>
  <c r="R305" i="2"/>
  <c r="R229" i="2"/>
  <c r="Q277" i="2"/>
  <c r="R277" i="2"/>
  <c r="Q238" i="2"/>
  <c r="R238" i="2"/>
  <c r="Q282" i="2"/>
  <c r="R282" i="2"/>
  <c r="W122" i="3"/>
  <c r="Q154" i="3"/>
  <c r="Q158" i="3"/>
  <c r="U158" i="3"/>
  <c r="P252" i="2"/>
  <c r="R252" i="2"/>
  <c r="R271" i="2"/>
  <c r="P205" i="2"/>
  <c r="R223" i="2"/>
  <c r="R224" i="2"/>
  <c r="R226" i="2"/>
  <c r="R227" i="2"/>
  <c r="R228" i="2"/>
  <c r="Q272" i="2"/>
  <c r="R272" i="2"/>
  <c r="Q273" i="2"/>
  <c r="R273" i="2"/>
  <c r="Q274" i="2"/>
  <c r="R274" i="2"/>
  <c r="Q275" i="2"/>
  <c r="R275" i="2"/>
  <c r="Q276" i="2"/>
  <c r="R276" i="2"/>
  <c r="R278" i="2"/>
  <c r="R231" i="2"/>
  <c r="Q236" i="2"/>
  <c r="R236" i="2"/>
  <c r="Q240" i="2"/>
  <c r="R240" i="2"/>
  <c r="R241" i="2"/>
  <c r="P231" i="2"/>
  <c r="P250" i="2"/>
  <c r="R250" i="2"/>
  <c r="P301" i="2"/>
  <c r="R301" i="2"/>
  <c r="P294" i="2"/>
  <c r="R294" i="2"/>
  <c r="Q281" i="2"/>
  <c r="R281" i="2"/>
  <c r="Z122" i="3"/>
  <c r="Q244" i="3"/>
  <c r="S244" i="3"/>
  <c r="Q135" i="3"/>
  <c r="Q137" i="3"/>
  <c r="Q151" i="3"/>
  <c r="R154" i="3"/>
  <c r="V158" i="3"/>
  <c r="Z136" i="3"/>
  <c r="U154" i="3"/>
  <c r="Q237" i="3"/>
  <c r="S237" i="3"/>
  <c r="P295" i="2"/>
  <c r="R295" i="2"/>
  <c r="P323" i="2"/>
  <c r="R323" i="2"/>
  <c r="P264" i="2"/>
  <c r="R264" i="2"/>
  <c r="P313" i="2"/>
  <c r="R313" i="2"/>
  <c r="P260" i="2"/>
  <c r="R260" i="2"/>
  <c r="P306" i="2"/>
  <c r="R306" i="2"/>
  <c r="R286" i="2"/>
  <c r="P254" i="2"/>
  <c r="R254" i="2"/>
  <c r="P309" i="2"/>
  <c r="R309" i="2"/>
  <c r="P299" i="2"/>
  <c r="R299" i="2"/>
  <c r="P249" i="2"/>
  <c r="R249" i="2"/>
  <c r="Q284" i="2"/>
  <c r="R284" i="2"/>
  <c r="Q280" i="2"/>
  <c r="R280" i="2"/>
  <c r="P308" i="2"/>
  <c r="R308" i="2"/>
  <c r="Z41" i="3"/>
  <c r="Q143" i="3"/>
  <c r="R135" i="3"/>
  <c r="R143" i="3"/>
  <c r="W136" i="3"/>
  <c r="V135" i="3"/>
  <c r="U208" i="3"/>
  <c r="W208" i="3"/>
  <c r="U151" i="3"/>
  <c r="Q235" i="3"/>
  <c r="S235" i="3"/>
  <c r="V151" i="3"/>
  <c r="U229" i="3"/>
  <c r="W229" i="3"/>
  <c r="Z151" i="3"/>
  <c r="S143" i="3"/>
  <c r="W158" i="3"/>
  <c r="R190" i="3"/>
  <c r="V190" i="3"/>
  <c r="Z178" i="3"/>
  <c r="W143" i="3"/>
  <c r="P170" i="2"/>
  <c r="Q241" i="2"/>
  <c r="Q287" i="2"/>
  <c r="Q233" i="2"/>
  <c r="U30" i="3"/>
  <c r="U24" i="3"/>
  <c r="S24" i="3"/>
  <c r="S30" i="3"/>
  <c r="S178" i="3"/>
  <c r="S190" i="3"/>
  <c r="S108" i="3"/>
  <c r="U137" i="3"/>
  <c r="U159" i="3"/>
  <c r="U190" i="3"/>
  <c r="U197" i="3"/>
  <c r="Z135" i="3"/>
  <c r="Q288" i="2"/>
  <c r="Q242" i="2"/>
  <c r="Z154" i="3"/>
  <c r="Q167" i="2"/>
  <c r="Q170" i="2"/>
  <c r="R165" i="2"/>
  <c r="R167" i="2"/>
  <c r="R170" i="2"/>
  <c r="S158" i="3"/>
  <c r="Q265" i="2"/>
  <c r="Q267" i="2"/>
  <c r="Q257" i="2"/>
  <c r="Z66" i="3"/>
  <c r="Z70" i="3"/>
  <c r="R115" i="3"/>
  <c r="R124" i="3"/>
  <c r="S112" i="3"/>
  <c r="S115" i="3"/>
  <c r="S124" i="3"/>
  <c r="R293" i="2"/>
  <c r="R326" i="2"/>
  <c r="P326" i="2"/>
  <c r="Y162" i="3"/>
  <c r="Z162" i="3"/>
  <c r="W166" i="3"/>
  <c r="Q24" i="3"/>
  <c r="W24" i="3"/>
  <c r="S154" i="3"/>
  <c r="R287" i="2"/>
  <c r="Q159" i="3"/>
  <c r="Q197" i="3"/>
  <c r="P255" i="2"/>
  <c r="P265" i="2"/>
  <c r="R247" i="2"/>
  <c r="W178" i="3"/>
  <c r="W190" i="3"/>
  <c r="V24" i="3"/>
  <c r="R24" i="3"/>
  <c r="R30" i="3"/>
  <c r="R205" i="2"/>
  <c r="R137" i="3"/>
  <c r="R159" i="3"/>
  <c r="R197" i="3"/>
  <c r="S135" i="3"/>
  <c r="S137" i="3"/>
  <c r="W151" i="3"/>
  <c r="W135" i="3"/>
  <c r="W137" i="3"/>
  <c r="V137" i="3"/>
  <c r="V159" i="3"/>
  <c r="V197" i="3"/>
  <c r="P287" i="2"/>
  <c r="P289" i="2"/>
  <c r="P241" i="2"/>
  <c r="P243" i="2"/>
  <c r="Z158" i="3"/>
  <c r="W154" i="3"/>
  <c r="Z143" i="3"/>
  <c r="S151" i="3"/>
  <c r="V115" i="3"/>
  <c r="V124" i="3"/>
  <c r="W112" i="3"/>
  <c r="W115" i="3"/>
  <c r="W124" i="3"/>
  <c r="Z108" i="3"/>
  <c r="Z112" i="3"/>
  <c r="U115" i="3"/>
  <c r="U124" i="3"/>
  <c r="Z78" i="3"/>
  <c r="P327" i="2"/>
  <c r="P266" i="2"/>
  <c r="P267" i="2"/>
  <c r="S159" i="3"/>
  <c r="S197" i="3"/>
  <c r="Q289" i="2"/>
  <c r="W159" i="3"/>
  <c r="W197" i="3"/>
  <c r="R255" i="2"/>
  <c r="R265" i="2"/>
  <c r="P328" i="2"/>
  <c r="Q243" i="2"/>
</calcChain>
</file>

<file path=xl/comments1.xml><?xml version="1.0" encoding="utf-8"?>
<comments xmlns="http://schemas.openxmlformats.org/spreadsheetml/2006/main">
  <authors>
    <author>Dynamo!</author>
    <author>battpi</author>
  </authors>
  <commentList>
    <comment ref="R3" authorId="0">
      <text>
        <r>
          <rPr>
            <sz val="8"/>
            <color indexed="81"/>
            <rFont val="Tahoma"/>
            <family val="2"/>
          </rPr>
          <t>Dynamo! Pick</t>
        </r>
      </text>
    </comment>
    <comment ref="Y70" authorId="1">
      <text>
        <r>
          <rPr>
            <b/>
            <sz val="8"/>
            <color indexed="81"/>
            <rFont val="Tahoma"/>
            <family val="2"/>
          </rPr>
          <t>battpi:</t>
        </r>
        <r>
          <rPr>
            <sz val="8"/>
            <color indexed="81"/>
            <rFont val="Tahoma"/>
            <family val="2"/>
          </rPr>
          <t xml:space="preserve">
Why is tolerance 10% if app tax is 18%?</t>
        </r>
      </text>
    </comment>
    <comment ref="R185" authorId="1">
      <text>
        <r>
          <rPr>
            <b/>
            <sz val="8"/>
            <color indexed="81"/>
            <rFont val="Tahoma"/>
            <family val="2"/>
          </rPr>
          <t>battpi:</t>
        </r>
        <r>
          <rPr>
            <sz val="8"/>
            <color indexed="81"/>
            <rFont val="Tahoma"/>
            <family val="2"/>
          </rPr>
          <t xml:space="preserve">
FTC has this as dereg, DTC does not, which is correct?</t>
        </r>
      </text>
    </comment>
  </commentList>
</comments>
</file>

<file path=xl/sharedStrings.xml><?xml version="1.0" encoding="utf-8"?>
<sst xmlns="http://schemas.openxmlformats.org/spreadsheetml/2006/main" count="2931" uniqueCount="393">
  <si>
    <t>SUBMISSION:</t>
  </si>
  <si>
    <t>DIFFERENCE</t>
  </si>
  <si>
    <t>Month:</t>
  </si>
  <si>
    <t>CELLULAR SOUTH</t>
  </si>
  <si>
    <t>ACCOUNTS RECEIVABLE</t>
  </si>
  <si>
    <t>NOTES RECEIVABLE</t>
  </si>
  <si>
    <t>TPI</t>
  </si>
  <si>
    <t>BCI</t>
  </si>
  <si>
    <t>TPK</t>
  </si>
  <si>
    <t>DTC</t>
  </si>
  <si>
    <t>DTI</t>
  </si>
  <si>
    <t>FTC</t>
  </si>
  <si>
    <t>NWK</t>
  </si>
  <si>
    <t>BRANCH CABLE</t>
  </si>
  <si>
    <t>DELTA TELEPHONE</t>
  </si>
  <si>
    <t>FRANKLIN TELEPHONE</t>
  </si>
  <si>
    <t>TELEPAK NETWORKS</t>
  </si>
  <si>
    <t>TELAPEX INC</t>
  </si>
  <si>
    <t>DELTATEL</t>
  </si>
  <si>
    <t>TELAPEX INC ESOP ACCOUNTS</t>
  </si>
  <si>
    <t>Total Receivable</t>
  </si>
  <si>
    <t>Current Portion</t>
  </si>
  <si>
    <t/>
  </si>
  <si>
    <t>Total Notes Receivable</t>
  </si>
  <si>
    <t>DEFERRED ESOP CHARGES</t>
  </si>
  <si>
    <t>Total Deferred Charges</t>
  </si>
  <si>
    <t>Billing and Collections</t>
  </si>
  <si>
    <t>Rent Income</t>
  </si>
  <si>
    <t>Shared Esop Costs</t>
  </si>
  <si>
    <t>Computer Usage</t>
  </si>
  <si>
    <t>Billing Software Usage</t>
  </si>
  <si>
    <t>6250-070</t>
  </si>
  <si>
    <t>CATV Access/content fees</t>
  </si>
  <si>
    <t>Delta Telephone</t>
  </si>
  <si>
    <t>Telapex Inc</t>
  </si>
  <si>
    <t>Broadband Commercial Services</t>
  </si>
  <si>
    <t>Headend Equipment Usage</t>
  </si>
  <si>
    <t>Internal Administrative Costs</t>
  </si>
  <si>
    <t>Tax</t>
  </si>
  <si>
    <t>YEAR-TO-DATE</t>
  </si>
  <si>
    <t>CURRENT MONTH</t>
  </si>
  <si>
    <t>TELAPEX AND AFFILIATES INTERCOMPANY BALANCE SHEET COMPARISONS</t>
  </si>
  <si>
    <t>TELAPEX AND AFFILIATES INTERCOMPANY OPERATING ACCOUNT COMPARISONS</t>
  </si>
  <si>
    <t>Asset/Revenue</t>
  </si>
  <si>
    <t>Liability/Expense</t>
  </si>
  <si>
    <t>Middleware (Myrio) Usage</t>
  </si>
  <si>
    <t>Broadband Professional Services</t>
  </si>
  <si>
    <t>Long Distance Revenues</t>
  </si>
  <si>
    <t>Internal aDSL Special Access</t>
  </si>
  <si>
    <t>Didn't see DTC/FTC amounts in other accounts that needed reclassifying for any purpose.</t>
  </si>
  <si>
    <t>Cellular evidently does not have any private lines with DTC/FTC anymore so this was removed from Section D on I/S.</t>
  </si>
  <si>
    <t>CSI</t>
  </si>
  <si>
    <t>Immaterial interco transactions not eliminated:</t>
  </si>
  <si>
    <t>Description</t>
  </si>
  <si>
    <t>Franklin Telephone</t>
  </si>
  <si>
    <t>Myrio software usage  fees</t>
  </si>
  <si>
    <t>AxsOne software usage fees</t>
  </si>
  <si>
    <t>Omnia software usage fees</t>
  </si>
  <si>
    <t>Internet technical support services</t>
  </si>
  <si>
    <t>aDSL access charges (NECA)</t>
  </si>
  <si>
    <t>Voice mail boxes</t>
  </si>
  <si>
    <t>Management services</t>
  </si>
  <si>
    <t>PC support services</t>
  </si>
  <si>
    <t>LEGEND:</t>
  </si>
  <si>
    <t>Telapex, Inc. and Affiliates</t>
  </si>
  <si>
    <t>Intercompany Transaction Listing</t>
  </si>
  <si>
    <t>0000</t>
  </si>
  <si>
    <t>DPT</t>
  </si>
  <si>
    <t>PROD</t>
  </si>
  <si>
    <t>ICO</t>
  </si>
  <si>
    <t>00000</t>
  </si>
  <si>
    <t>000</t>
  </si>
  <si>
    <t>0190</t>
  </si>
  <si>
    <t>ORG</t>
  </si>
  <si>
    <t>ACCT</t>
  </si>
  <si>
    <t>COM</t>
  </si>
  <si>
    <t>400</t>
  </si>
  <si>
    <t>401500</t>
  </si>
  <si>
    <t>100</t>
  </si>
  <si>
    <t>500</t>
  </si>
  <si>
    <t>600</t>
  </si>
  <si>
    <t>700</t>
  </si>
  <si>
    <t>800</t>
  </si>
  <si>
    <t>D000</t>
  </si>
  <si>
    <t>P0000</t>
  </si>
  <si>
    <t>CO</t>
  </si>
  <si>
    <t>Account</t>
  </si>
  <si>
    <t>Org</t>
  </si>
  <si>
    <t>Revenue</t>
  </si>
  <si>
    <t>Expense</t>
  </si>
  <si>
    <t>ASSET</t>
  </si>
  <si>
    <t>LIABILITY</t>
  </si>
  <si>
    <t>Dpmt</t>
  </si>
  <si>
    <t>Prod</t>
  </si>
  <si>
    <t>CSR</t>
  </si>
  <si>
    <t>CSL</t>
  </si>
  <si>
    <t>CLI</t>
  </si>
  <si>
    <t>CSP</t>
  </si>
  <si>
    <t>CAH</t>
  </si>
  <si>
    <t>fr Dif</t>
  </si>
  <si>
    <t>Excl</t>
  </si>
  <si>
    <t>TNI</t>
  </si>
  <si>
    <t>IRU Maintenance</t>
  </si>
  <si>
    <t>App</t>
  </si>
  <si>
    <t>500Mb IP Circuit ACKR-MDVL</t>
  </si>
  <si>
    <t>T1 Internet for LOUS</t>
  </si>
  <si>
    <t>Month to Month because will go away with SNAP</t>
  </si>
  <si>
    <t>Internet &amp; transport 3 Meg for ACKR</t>
  </si>
  <si>
    <t>Billed Via</t>
  </si>
  <si>
    <t>Omnia #581306</t>
  </si>
  <si>
    <t>Omnia #606025</t>
  </si>
  <si>
    <t>mid2007</t>
  </si>
  <si>
    <t>Replaced 2007 with share of FTCs Internet then hops over to Video transport</t>
  </si>
  <si>
    <t>Quickbooks</t>
  </si>
  <si>
    <t>DS1 Jackson to EagleLake</t>
  </si>
  <si>
    <t>DS1 Jackson to Merigold</t>
  </si>
  <si>
    <t>DS1 Jackson to Louise</t>
  </si>
  <si>
    <t>Meetpoint tandems</t>
  </si>
  <si>
    <t>625065.6990….700</t>
  </si>
  <si>
    <t>504500…11500….600</t>
  </si>
  <si>
    <t>504500…11500….500</t>
  </si>
  <si>
    <t>504500…11400….500</t>
  </si>
  <si>
    <t>504500…11400….600</t>
  </si>
  <si>
    <t>541500…45900….600</t>
  </si>
  <si>
    <t>625065.6423.…700</t>
  </si>
  <si>
    <t>unknown</t>
  </si>
  <si>
    <t>625065.6212….700</t>
  </si>
  <si>
    <t>625065.6232….700</t>
  </si>
  <si>
    <t>625065.6990.…700</t>
  </si>
  <si>
    <t>DS1 Jackson to Isola</t>
  </si>
  <si>
    <t>GigE Circuit ARTS-GNWD</t>
  </si>
  <si>
    <t>MANAGEMENT FEES</t>
  </si>
  <si>
    <t>TELAPEX OPERATING REVENUES</t>
  </si>
  <si>
    <t>BRANCH OPERATING REVENUES</t>
  </si>
  <si>
    <t>Total</t>
  </si>
  <si>
    <t>TELCO OPERATING REVENUES</t>
  </si>
  <si>
    <t>INTEREST INCOME</t>
  </si>
  <si>
    <t>subtotal</t>
  </si>
  <si>
    <t>TELEPAK NETWORKS OPERATING REVENUES</t>
  </si>
  <si>
    <t>0130</t>
  </si>
  <si>
    <t>REF</t>
  </si>
  <si>
    <t>NOTES</t>
  </si>
  <si>
    <t>E=item currently eliminated</t>
  </si>
  <si>
    <r>
      <t>X</t>
    </r>
    <r>
      <rPr>
        <sz val="10"/>
        <rFont val="Century Gothic"/>
        <family val="2"/>
      </rPr>
      <t>=provided but not yet billed/elim</t>
    </r>
  </si>
  <si>
    <t>Provided by:</t>
  </si>
  <si>
    <t>DTReg</t>
  </si>
  <si>
    <t>FTReg</t>
  </si>
  <si>
    <t>FTDreg</t>
  </si>
  <si>
    <t>DTDreg</t>
  </si>
  <si>
    <t>E</t>
  </si>
  <si>
    <t>I</t>
  </si>
  <si>
    <t>cell phone services</t>
  </si>
  <si>
    <t>office phone service</t>
  </si>
  <si>
    <t>Delta</t>
  </si>
  <si>
    <t>Cell South</t>
  </si>
  <si>
    <t>Networks</t>
  </si>
  <si>
    <t>Telapex</t>
  </si>
  <si>
    <t>Branch</t>
  </si>
  <si>
    <t>Video content charges</t>
  </si>
  <si>
    <t>Headend maintenance fees</t>
  </si>
  <si>
    <t>Shared software &amp; hardware charges</t>
  </si>
  <si>
    <t>Warehouse rent</t>
  </si>
  <si>
    <t>F=flow-thru charges- elims not applicable</t>
  </si>
  <si>
    <t>Rent</t>
  </si>
  <si>
    <t>Specialized services</t>
  </si>
  <si>
    <t>Standard services</t>
  </si>
  <si>
    <t>I=immaterial &amp; cumbersome to eliminate</t>
  </si>
  <si>
    <t>F</t>
  </si>
  <si>
    <t>CPE/CATV installation &amp; maintenance</t>
  </si>
  <si>
    <t>IRUs:</t>
  </si>
  <si>
    <t>Ended</t>
  </si>
  <si>
    <t>Began</t>
  </si>
  <si>
    <t>Notes</t>
  </si>
  <si>
    <t>Abacus software usage fees</t>
  </si>
  <si>
    <t>updated annually</t>
  </si>
  <si>
    <t>CABS software usage fees</t>
  </si>
  <si>
    <t>Intercompany notes</t>
  </si>
  <si>
    <t>Franklin</t>
  </si>
  <si>
    <t>intercompany loan</t>
  </si>
  <si>
    <t>Billing &amp; collection services on long distance charges</t>
  </si>
  <si>
    <t>Billing, collection &amp; customer care support for local services</t>
  </si>
  <si>
    <t>1983 / 2005</t>
  </si>
  <si>
    <t>NAPA building rent</t>
  </si>
  <si>
    <t>Circuits:</t>
  </si>
  <si>
    <t>pre-2006</t>
  </si>
  <si>
    <t>pre2000</t>
  </si>
  <si>
    <t>post2000</t>
  </si>
  <si>
    <t>Video Transport</t>
  </si>
  <si>
    <t>Exp Acct</t>
  </si>
  <si>
    <t>Rev Acct</t>
  </si>
  <si>
    <t>Shared ESOP Costs</t>
  </si>
  <si>
    <t>Long distance charges</t>
  </si>
  <si>
    <t>local private line circuits</t>
  </si>
  <si>
    <t>Any/all IRU maintenance charges</t>
  </si>
  <si>
    <t>various</t>
  </si>
  <si>
    <t>Direct expenses (including insurance, pension, etc)</t>
  </si>
  <si>
    <t>Renaissance rent</t>
  </si>
  <si>
    <t>Video/Internet:</t>
  </si>
  <si>
    <t>PROVIDED TO…</t>
  </si>
  <si>
    <t>2 strands, 13.82 mi, Artesia to Handhole SKVL 15</t>
  </si>
  <si>
    <t>2 strands, 20.23 mi, Smithdale to Meadville</t>
  </si>
  <si>
    <t>2 strands, 1.7 mi, Hwy51 HH16 to Crystal Springs</t>
  </si>
  <si>
    <t>Conduit, 4.13mi, handhole CRSP 19 to Handhole CRSP 22</t>
  </si>
  <si>
    <t>2 strands, 20.98 mi, Artesia to Handhole CLMB 12</t>
  </si>
  <si>
    <t>4 strands, 10.24 mi, Meadville to Roxie</t>
  </si>
  <si>
    <t>2 fibers, 70 mi, National forest land</t>
  </si>
  <si>
    <t xml:space="preserve">1 fiber, 29 mi, </t>
  </si>
  <si>
    <t>4 fibers, 6.54 mi, Sturgis to Ackerman</t>
  </si>
  <si>
    <t>24 strands, 13.83 mi, Roxie to White Apple Rd</t>
  </si>
  <si>
    <t>OCXX lines</t>
  </si>
  <si>
    <t>DS1 lines</t>
  </si>
  <si>
    <t>DS3 lines</t>
  </si>
  <si>
    <t>Frame Relay</t>
  </si>
  <si>
    <t>PC Support</t>
  </si>
  <si>
    <t>Cust Supp</t>
  </si>
  <si>
    <t>Billing sw usg</t>
  </si>
  <si>
    <t>CELL SOUTH INTERCOMPANY REVENUES</t>
  </si>
  <si>
    <t>DTC,FTC,TNI</t>
  </si>
  <si>
    <t>BCI,DTC,TNI</t>
  </si>
  <si>
    <t>DTC,TNI</t>
  </si>
  <si>
    <t>Provided to:</t>
  </si>
  <si>
    <t>Elim?</t>
  </si>
  <si>
    <t>Yes</t>
  </si>
  <si>
    <t>No</t>
  </si>
  <si>
    <t>BCI,TNI</t>
  </si>
  <si>
    <t>DTCdr,FTCdr</t>
  </si>
  <si>
    <t>FTCdr</t>
  </si>
  <si>
    <t>DTCdr</t>
  </si>
  <si>
    <t>All exc CSI</t>
  </si>
  <si>
    <t>All</t>
  </si>
  <si>
    <t>BCI,DTC,FTC</t>
  </si>
  <si>
    <t>TNI,TPI</t>
  </si>
  <si>
    <t>TNI,CSI</t>
  </si>
  <si>
    <t>BCI,DTCdr</t>
  </si>
  <si>
    <t>Flothru</t>
  </si>
  <si>
    <t>All exc BCI</t>
  </si>
  <si>
    <t>&gt;</t>
  </si>
  <si>
    <t>Omnia #623648</t>
  </si>
  <si>
    <t>625065=Mlg Based Access</t>
  </si>
  <si>
    <t>shared with Delta eff 2007</t>
  </si>
  <si>
    <t>JCSN-MDVL Transport</t>
  </si>
  <si>
    <t>shared with Delta eff 2007 (60MB @ 5/2009)</t>
  </si>
  <si>
    <t>MDVL-NWAG Transport (video)</t>
  </si>
  <si>
    <t>GigE @ 5/2009</t>
  </si>
  <si>
    <t>ACKR-ARTS Transport (video)</t>
  </si>
  <si>
    <t>500MB @ 5/2009</t>
  </si>
  <si>
    <t>Dedicated Internet Access (Jcsn TOC Mdvl)</t>
  </si>
  <si>
    <t>ACCTG INFO @ 5/1/2009</t>
  </si>
  <si>
    <t>Tax %</t>
  </si>
  <si>
    <t>7% sales</t>
  </si>
  <si>
    <t>10% excise</t>
  </si>
  <si>
    <t>PreTax $</t>
  </si>
  <si>
    <t>MDVL-NWHB Transport (internet)</t>
  </si>
  <si>
    <t>DS3 @ 5/2009</t>
  </si>
  <si>
    <t>OC192  @ 5/2009</t>
  </si>
  <si>
    <t>?</t>
  </si>
  <si>
    <t>CRSP-MCMB OC192 wave</t>
  </si>
  <si>
    <t>2006?</t>
  </si>
  <si>
    <t>Dedicated Internet Access (Mdvl TOC Nwag)</t>
  </si>
  <si>
    <t>625045=Internet Access</t>
  </si>
  <si>
    <t>615550.6990….700</t>
  </si>
  <si>
    <t xml:space="preserve">PC Support </t>
  </si>
  <si>
    <t>612555.6990…700</t>
  </si>
  <si>
    <t>Static IPs &amp; other svcs pass thru to subs</t>
  </si>
  <si>
    <t>625045.6990….700</t>
  </si>
  <si>
    <t>varies</t>
  </si>
  <si>
    <t>As of 5/31/2009</t>
  </si>
  <si>
    <t>Tolerance</t>
  </si>
  <si>
    <t>Net</t>
  </si>
  <si>
    <t>Difference</t>
  </si>
  <si>
    <t>Acceptable</t>
  </si>
  <si>
    <t>Desc/CS #</t>
  </si>
  <si>
    <t>CS.601235</t>
  </si>
  <si>
    <t>CS.616010</t>
  </si>
  <si>
    <t>CS.603020</t>
  </si>
  <si>
    <t>CS.603010</t>
  </si>
  <si>
    <t>Mileage Based Access Charges (Affiliated)</t>
  </si>
  <si>
    <t>Mlg Based Access</t>
  </si>
  <si>
    <t>Internet Access</t>
  </si>
  <si>
    <t>Long Dist Access</t>
  </si>
  <si>
    <t>CS.503065</t>
  </si>
  <si>
    <t>XREF</t>
  </si>
  <si>
    <t>need to move revenue to 508350 affil acct</t>
  </si>
  <si>
    <t>used to be all affiliated -- not anymore</t>
  </si>
  <si>
    <t>Plant Ops Rev</t>
  </si>
  <si>
    <t>IRU Cable Maint</t>
  </si>
  <si>
    <t>Spec Access</t>
  </si>
  <si>
    <t>Sware Usg-GPCs</t>
  </si>
  <si>
    <t>Sware Usg-Dereg</t>
  </si>
  <si>
    <t>Sware Usg-COS</t>
  </si>
  <si>
    <t>CS:501220,501420,501425,502020</t>
  </si>
  <si>
    <t>DS1</t>
  </si>
  <si>
    <t>PRIs</t>
  </si>
  <si>
    <t>DS3</t>
  </si>
  <si>
    <t>Plant Svcs-Billing</t>
  </si>
  <si>
    <t>Corp Svcs-ProfSvc</t>
  </si>
  <si>
    <t>Corp Svcs-Misc</t>
  </si>
  <si>
    <t>Cust Svcs-ProfSvc</t>
  </si>
  <si>
    <t>Office Ntwkg</t>
  </si>
  <si>
    <t>UsgBased Access</t>
  </si>
  <si>
    <t>Private Line Revenues</t>
  </si>
  <si>
    <t>YTD Diff</t>
  </si>
  <si>
    <t>CHECKS FOR COMPLETENESS:</t>
  </si>
  <si>
    <t>Per Cognos</t>
  </si>
  <si>
    <t>per Above</t>
  </si>
  <si>
    <t>Op Revenues</t>
  </si>
  <si>
    <t>Op Expenses</t>
  </si>
  <si>
    <t>Misc_TotalAffilRev</t>
  </si>
  <si>
    <t>Misc_TotalAffilExp</t>
  </si>
  <si>
    <t>Cellular South Intercos:</t>
  </si>
  <si>
    <t>Branch Cable Intercos</t>
  </si>
  <si>
    <t>Delta Telephone Intercos</t>
  </si>
  <si>
    <t>Franklin Telephone Intercos</t>
  </si>
  <si>
    <t>Telepak Networks Intercos</t>
  </si>
  <si>
    <t>Telapex Intercos</t>
  </si>
  <si>
    <t>Mlg Based Access DS1s</t>
  </si>
  <si>
    <t>revenues elswhere like DTC?</t>
  </si>
  <si>
    <t>make sure all reclasses made</t>
  </si>
  <si>
    <t>(still in progress)</t>
  </si>
  <si>
    <t>Last Updated</t>
  </si>
  <si>
    <t>PERIOD:</t>
  </si>
  <si>
    <t>YEAR:</t>
  </si>
  <si>
    <t>SCENARIO:</t>
  </si>
  <si>
    <t>tpx_prod:bpmFinance</t>
  </si>
  <si>
    <t>WorWO_CSI:</t>
  </si>
  <si>
    <t>MON:</t>
  </si>
  <si>
    <t>Actual</t>
  </si>
  <si>
    <t>W</t>
  </si>
  <si>
    <t>TELAPEX INC VIDEO CONTENT ACCOUNTS</t>
  </si>
  <si>
    <t>I00</t>
  </si>
  <si>
    <t>Comb</t>
  </si>
  <si>
    <t>CWC</t>
  </si>
  <si>
    <t>Omnia sending one thing to g/l for FTC and putting something diff on invoice. Emailed Joe &amp; Beth.</t>
  </si>
  <si>
    <t>2 fiber strands</t>
  </si>
  <si>
    <t>200</t>
  </si>
  <si>
    <t>210</t>
  </si>
  <si>
    <t>240</t>
  </si>
  <si>
    <t>250</t>
  </si>
  <si>
    <t>115</t>
  </si>
  <si>
    <t>270</t>
  </si>
  <si>
    <t>REN</t>
  </si>
  <si>
    <t>273</t>
  </si>
  <si>
    <t>COMPLETENESS CHECK:</t>
  </si>
  <si>
    <t>ABS1195</t>
  </si>
  <si>
    <t>ABS4015</t>
  </si>
  <si>
    <t>504</t>
  </si>
  <si>
    <t>119545</t>
  </si>
  <si>
    <t>119550</t>
  </si>
  <si>
    <t>401550</t>
  </si>
  <si>
    <t>412045</t>
  </si>
  <si>
    <t>Receivables</t>
  </si>
  <si>
    <t>Payables</t>
  </si>
  <si>
    <t>Per above</t>
  </si>
  <si>
    <t>Missing</t>
  </si>
  <si>
    <t>Total AR/AP</t>
  </si>
  <si>
    <t>Total TPX AR/AP</t>
  </si>
  <si>
    <t>sum:</t>
  </si>
  <si>
    <t>Total CS AR/AP</t>
  </si>
  <si>
    <r>
      <t xml:space="preserve">INTERCO 000 or self </t>
    </r>
    <r>
      <rPr>
        <b/>
        <sz val="10"/>
        <color rgb="FFFF0000"/>
        <rFont val="Century Gothic"/>
        <family val="2"/>
      </rPr>
      <t>(SHOULD ALWAYS BE ZERO!)</t>
    </r>
  </si>
  <si>
    <t>401510</t>
  </si>
  <si>
    <t>entries needed in some prior year -- to net these all to 0</t>
  </si>
  <si>
    <t>ALLCmbd</t>
  </si>
  <si>
    <t>CS_ELIMS</t>
  </si>
  <si>
    <t>ACCOUNT DETAIL CHECKS</t>
  </si>
  <si>
    <t>AHE</t>
  </si>
  <si>
    <t>AHE2</t>
  </si>
  <si>
    <t>300R</t>
  </si>
  <si>
    <t>TNI billed $40k to DTC and DTC capitalized this amt, this will not balance</t>
  </si>
  <si>
    <t>This is charge for email and internet, TNI putting to consumer revenue.  Do we need to create affil revenue acct?</t>
  </si>
  <si>
    <t>In Jul-12, DTC coded to water bills for $20.33 each to the i/c acct.  Should we bother reclassing at this point?</t>
  </si>
  <si>
    <t>Possible miscoding of QB entry, B. Thomas to investigate</t>
  </si>
  <si>
    <t>UsgBsd Access: CS.501305-15</t>
  </si>
  <si>
    <t>CSI booking Global Crossing bills here, this is a pass thru item for TNI, which is not recorded as revenue</t>
  </si>
  <si>
    <t>D699</t>
  </si>
  <si>
    <t>Ethernet</t>
  </si>
  <si>
    <t>OCXX</t>
  </si>
  <si>
    <t>Dedicated Internet</t>
  </si>
  <si>
    <t>None</t>
  </si>
  <si>
    <t>VOIP Wholesale</t>
  </si>
  <si>
    <t>Corr</t>
  </si>
  <si>
    <t>Corr ESOP entry not booked in Sep-13 or Oct-13</t>
  </si>
  <si>
    <t>Disputed charges (HR related)</t>
  </si>
  <si>
    <t>CSpire Wireless</t>
  </si>
  <si>
    <t>FTC booked Jan-14 loan pymt incorrectly, reclass needed</t>
  </si>
  <si>
    <t>VUD</t>
  </si>
  <si>
    <t>ADS</t>
  </si>
  <si>
    <t>CCI</t>
  </si>
  <si>
    <t>2014</t>
  </si>
  <si>
    <t>MAY 2014</t>
  </si>
  <si>
    <t>Now included in 401500…..800</t>
  </si>
  <si>
    <t>All CSI differences offset to zero</t>
  </si>
  <si>
    <t>05</t>
  </si>
  <si>
    <t>*KEY_ERR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</si>
</sst>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;[Red]\(#,##0.0\);&quot;-.-  &quot;"/>
    <numFmt numFmtId="165" formatCode="mmmddyy"/>
    <numFmt numFmtId="166" formatCode="#,##0.00&quot; $&quot;;\-#,##0.00&quot; $&quot;"/>
    <numFmt numFmtId="167" formatCode="0.00_)"/>
    <numFmt numFmtId="168" formatCode="_(* #,##0_);_(* \(#,##0\);_(* &quot;-&quot;??_);_(@_)"/>
    <numFmt numFmtId="169" formatCode="_(&quot;$&quot;* #,##0_);_(&quot;$&quot;* \(#,##0\);_(&quot;$&quot;* &quot;-&quot;??_);_(@_)"/>
    <numFmt numFmtId="170" formatCode="0.000%"/>
    <numFmt numFmtId="171" formatCode="_(* #,##0.000000_);_(* \(#,##0.000000\);_(* &quot;-&quot;??_);_(@_)"/>
    <numFmt numFmtId="172" formatCode="m/d/yy;@"/>
    <numFmt numFmtId="173" formatCode="[$-409]h:mm\ AM/PM;@"/>
  </numFmts>
  <fonts count="54">
    <font>
      <sz val="10"/>
      <name val="Century Gothic"/>
    </font>
    <font>
      <sz val="10"/>
      <name val="Century Gothic"/>
      <family val="2"/>
    </font>
    <font>
      <b/>
      <sz val="10"/>
      <name val="Century Gothic"/>
      <family val="2"/>
    </font>
    <font>
      <sz val="8"/>
      <name val="Century Gothic"/>
      <family val="2"/>
    </font>
    <font>
      <sz val="10"/>
      <color indexed="8"/>
      <name val="MS Sans Serif"/>
      <family val="2"/>
    </font>
    <font>
      <sz val="10"/>
      <name val="Arial"/>
      <family val="2"/>
    </font>
    <font>
      <sz val="11"/>
      <name val="??"/>
      <family val="3"/>
      <charset val="129"/>
    </font>
    <font>
      <sz val="8"/>
      <name val="Arial"/>
      <family val="2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sz val="7"/>
      <name val="Small Fonts"/>
      <family val="2"/>
    </font>
    <font>
      <b/>
      <i/>
      <sz val="16"/>
      <name val="Helv"/>
    </font>
    <font>
      <sz val="10"/>
      <name val="MS Sans Serif"/>
      <family val="2"/>
    </font>
    <font>
      <b/>
      <sz val="10"/>
      <name val="MS Sans Serif"/>
      <family val="2"/>
    </font>
    <font>
      <sz val="8"/>
      <name val="Arial"/>
      <family val="2"/>
    </font>
    <font>
      <sz val="8"/>
      <color indexed="12"/>
      <name val="Arial"/>
      <family val="2"/>
    </font>
    <font>
      <sz val="10"/>
      <name val="Arial"/>
      <family val="2"/>
    </font>
    <font>
      <u/>
      <sz val="10"/>
      <name val="Century Gothic"/>
      <family val="2"/>
    </font>
    <font>
      <b/>
      <u/>
      <sz val="10"/>
      <name val="Century Gothic"/>
      <family val="2"/>
    </font>
    <font>
      <u/>
      <sz val="10"/>
      <name val="Century Gothic"/>
      <family val="2"/>
    </font>
    <font>
      <i/>
      <sz val="8"/>
      <name val="Century Gothic"/>
      <family val="2"/>
    </font>
    <font>
      <u/>
      <sz val="8"/>
      <name val="Century Gothic"/>
      <family val="2"/>
    </font>
    <font>
      <b/>
      <sz val="8"/>
      <color indexed="12"/>
      <name val="Century Gothic"/>
      <family val="2"/>
    </font>
    <font>
      <b/>
      <sz val="10"/>
      <color indexed="12"/>
      <name val="Century Gothic"/>
      <family val="2"/>
    </font>
    <font>
      <sz val="10"/>
      <name val="Century Gothic"/>
      <family val="2"/>
    </font>
    <font>
      <b/>
      <sz val="10"/>
      <color indexed="10"/>
      <name val="Century Gothic"/>
      <family val="2"/>
    </font>
    <font>
      <b/>
      <sz val="8"/>
      <name val="Century Gothic"/>
      <family val="2"/>
    </font>
    <font>
      <i/>
      <sz val="9"/>
      <name val="Century Gothic"/>
      <family val="2"/>
    </font>
    <font>
      <b/>
      <sz val="11"/>
      <name val="Century Gothic"/>
      <family val="2"/>
    </font>
    <font>
      <b/>
      <sz val="12"/>
      <name val="Century Gothic"/>
      <family val="2"/>
    </font>
    <font>
      <sz val="10"/>
      <color indexed="62"/>
      <name val="Century Gothic"/>
      <family val="2"/>
    </font>
    <font>
      <b/>
      <sz val="10"/>
      <color indexed="30"/>
      <name val="Century Gothic"/>
      <family val="2"/>
    </font>
    <font>
      <sz val="10"/>
      <color indexed="10"/>
      <name val="Century Gothic"/>
      <family val="2"/>
    </font>
    <font>
      <b/>
      <sz val="11"/>
      <color indexed="60"/>
      <name val="Century Gothic"/>
      <family val="2"/>
    </font>
    <font>
      <i/>
      <sz val="11"/>
      <color indexed="60"/>
      <name val="Century Gothic"/>
      <family val="2"/>
    </font>
    <font>
      <b/>
      <u/>
      <sz val="10"/>
      <color indexed="60"/>
      <name val="Century Gothic"/>
      <family val="2"/>
    </font>
    <font>
      <i/>
      <u/>
      <sz val="10"/>
      <name val="Century Gothic"/>
      <family val="2"/>
    </font>
    <font>
      <i/>
      <sz val="10"/>
      <name val="Century Gothic"/>
      <family val="2"/>
    </font>
    <font>
      <sz val="11"/>
      <color indexed="60"/>
      <name val="Century Gothic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8"/>
      <color rgb="FF0070C0"/>
      <name val="Century Gothic"/>
      <family val="2"/>
    </font>
    <font>
      <sz val="10"/>
      <color rgb="FF0070C0"/>
      <name val="Century Gothic"/>
      <family val="2"/>
    </font>
    <font>
      <b/>
      <sz val="10"/>
      <color rgb="FF0070C0"/>
      <name val="Century Gothic"/>
      <family val="2"/>
    </font>
    <font>
      <i/>
      <sz val="8"/>
      <color rgb="FF0070C0"/>
      <name val="Century Gothic"/>
      <family val="2"/>
    </font>
    <font>
      <u/>
      <sz val="8"/>
      <color rgb="FF0070C0"/>
      <name val="Century Gothic"/>
      <family val="2"/>
    </font>
    <font>
      <b/>
      <sz val="11"/>
      <color theme="3" tint="0.39997558519241921"/>
      <name val="Century Gothic"/>
      <family val="2"/>
    </font>
    <font>
      <b/>
      <sz val="11"/>
      <color rgb="FFFF0000"/>
      <name val="Century Gothic"/>
      <family val="2"/>
    </font>
    <font>
      <b/>
      <sz val="11"/>
      <color rgb="FF92D050"/>
      <name val="Century Gothic"/>
      <family val="2"/>
    </font>
    <font>
      <b/>
      <sz val="11"/>
      <color rgb="FFFFC000"/>
      <name val="Century Gothic"/>
      <family val="2"/>
    </font>
    <font>
      <b/>
      <sz val="10"/>
      <color rgb="FFFF0000"/>
      <name val="Century Gothic"/>
      <family val="2"/>
    </font>
    <font>
      <sz val="10"/>
      <color rgb="FF7030A0"/>
      <name val="Arial"/>
      <family val="2"/>
    </font>
    <font>
      <b/>
      <sz val="11"/>
      <color rgb="FF0070C0"/>
      <name val="Century Gothic"/>
      <family val="2"/>
    </font>
    <font>
      <i/>
      <sz val="11"/>
      <name val="Century Gothic"/>
      <family val="2"/>
    </font>
  </fonts>
  <fills count="12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92D050"/>
        <bgColor indexed="64"/>
      </patternFill>
    </fill>
  </fills>
  <borders count="19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4">
    <xf numFmtId="0" fontId="0" fillId="0" borderId="0"/>
    <xf numFmtId="164" fontId="5" fillId="2" borderId="1">
      <alignment horizontal="center" vertical="center"/>
    </xf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6" fontId="6" fillId="0" borderId="0">
      <protection locked="0"/>
    </xf>
    <xf numFmtId="165" fontId="5" fillId="0" borderId="0">
      <protection locked="0"/>
    </xf>
    <xf numFmtId="38" fontId="7" fillId="3" borderId="0" applyNumberFormat="0" applyBorder="0" applyAlignment="0" applyProtection="0"/>
    <xf numFmtId="0" fontId="8" fillId="0" borderId="0" applyNumberFormat="0" applyFill="0" applyBorder="0" applyAlignment="0" applyProtection="0"/>
    <xf numFmtId="166" fontId="5" fillId="0" borderId="0">
      <protection locked="0"/>
    </xf>
    <xf numFmtId="166" fontId="5" fillId="0" borderId="0">
      <protection locked="0"/>
    </xf>
    <xf numFmtId="0" fontId="9" fillId="0" borderId="2" applyNumberFormat="0" applyFill="0" applyAlignment="0" applyProtection="0"/>
    <xf numFmtId="10" fontId="7" fillId="4" borderId="3" applyNumberFormat="0" applyBorder="0" applyAlignment="0" applyProtection="0"/>
    <xf numFmtId="37" fontId="10" fillId="0" borderId="0"/>
    <xf numFmtId="167" fontId="11" fillId="0" borderId="0"/>
    <xf numFmtId="9" fontId="1" fillId="0" borderId="0" applyFont="0" applyFill="0" applyBorder="0" applyAlignment="0" applyProtection="0"/>
    <xf numFmtId="10" fontId="5" fillId="0" borderId="0" applyFont="0" applyFill="0" applyBorder="0" applyAlignment="0" applyProtection="0"/>
    <xf numFmtId="0" fontId="12" fillId="0" borderId="0" applyNumberFormat="0" applyFont="0" applyFill="0" applyBorder="0" applyAlignment="0" applyProtection="0">
      <alignment horizontal="left"/>
    </xf>
    <xf numFmtId="4" fontId="12" fillId="0" borderId="0" applyFont="0" applyFill="0" applyBorder="0" applyAlignment="0" applyProtection="0"/>
    <xf numFmtId="0" fontId="13" fillId="0" borderId="4">
      <alignment horizontal="center"/>
    </xf>
    <xf numFmtId="0" fontId="4" fillId="0" borderId="0" applyNumberFormat="0" applyFill="0" applyBorder="0" applyAlignment="0" applyProtection="0"/>
    <xf numFmtId="166" fontId="5" fillId="0" borderId="5">
      <protection locked="0"/>
    </xf>
    <xf numFmtId="37" fontId="7" fillId="5" borderId="0" applyNumberFormat="0" applyBorder="0" applyAlignment="0" applyProtection="0"/>
    <xf numFmtId="37" fontId="14" fillId="0" borderId="0"/>
    <xf numFmtId="3" fontId="15" fillId="0" borderId="2" applyProtection="0"/>
  </cellStyleXfs>
  <cellXfs count="199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/>
    <xf numFmtId="0" fontId="19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0" fontId="3" fillId="0" borderId="0" xfId="0" applyFont="1"/>
    <xf numFmtId="0" fontId="0" fillId="0" borderId="0" xfId="0" applyAlignment="1">
      <alignment horizontal="right"/>
    </xf>
    <xf numFmtId="14" fontId="24" fillId="0" borderId="0" xfId="0" applyNumberFormat="1" applyFont="1"/>
    <xf numFmtId="0" fontId="18" fillId="0" borderId="0" xfId="0" applyFont="1"/>
    <xf numFmtId="0" fontId="0" fillId="0" borderId="0" xfId="0" applyAlignment="1">
      <alignment horizontal="left"/>
    </xf>
    <xf numFmtId="0" fontId="0" fillId="0" borderId="6" xfId="0" applyBorder="1" applyAlignment="1">
      <alignment horizontal="centerContinuous"/>
    </xf>
    <xf numFmtId="0" fontId="19" fillId="0" borderId="8" xfId="0" applyFont="1" applyBorder="1" applyAlignment="1">
      <alignment horizontal="centerContinuous"/>
    </xf>
    <xf numFmtId="0" fontId="0" fillId="0" borderId="7" xfId="0" applyBorder="1" applyAlignment="1">
      <alignment horizontal="centerContinuous"/>
    </xf>
    <xf numFmtId="0" fontId="0" fillId="0" borderId="9" xfId="0" applyBorder="1" applyAlignment="1">
      <alignment horizontal="centerContinuous"/>
    </xf>
    <xf numFmtId="0" fontId="0" fillId="0" borderId="10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left"/>
    </xf>
    <xf numFmtId="0" fontId="0" fillId="0" borderId="6" xfId="0" applyBorder="1" applyAlignment="1">
      <alignment horizontal="center"/>
    </xf>
    <xf numFmtId="0" fontId="0" fillId="0" borderId="13" xfId="0" applyBorder="1" applyAlignment="1">
      <alignment horizontal="center"/>
    </xf>
    <xf numFmtId="0" fontId="25" fillId="0" borderId="10" xfId="0" applyFont="1" applyBorder="1" applyAlignment="1">
      <alignment horizontal="left"/>
    </xf>
    <xf numFmtId="0" fontId="3" fillId="0" borderId="0" xfId="0" applyFont="1" applyAlignment="1">
      <alignment horizontal="left"/>
    </xf>
    <xf numFmtId="169" fontId="0" fillId="0" borderId="0" xfId="3" applyNumberFormat="1" applyFont="1"/>
    <xf numFmtId="0" fontId="24" fillId="0" borderId="10" xfId="0" applyFont="1" applyBorder="1" applyAlignment="1">
      <alignment horizontal="left"/>
    </xf>
    <xf numFmtId="0" fontId="36" fillId="0" borderId="0" xfId="0" applyFont="1" applyAlignment="1">
      <alignment horizontal="left"/>
    </xf>
    <xf numFmtId="0" fontId="37" fillId="0" borderId="6" xfId="0" applyFont="1" applyBorder="1" applyAlignment="1">
      <alignment horizontal="centerContinuous"/>
    </xf>
    <xf numFmtId="14" fontId="0" fillId="0" borderId="0" xfId="0" applyNumberFormat="1" applyAlignment="1">
      <alignment horizontal="center"/>
    </xf>
    <xf numFmtId="0" fontId="24" fillId="0" borderId="0" xfId="0" applyFont="1"/>
    <xf numFmtId="0" fontId="2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14" fontId="24" fillId="0" borderId="0" xfId="0" applyNumberFormat="1" applyFont="1" applyAlignment="1">
      <alignment horizontal="center"/>
    </xf>
    <xf numFmtId="9" fontId="0" fillId="0" borderId="0" xfId="14" applyFont="1" applyAlignment="1">
      <alignment horizontal="center"/>
    </xf>
    <xf numFmtId="9" fontId="19" fillId="0" borderId="0" xfId="14" applyFont="1" applyAlignment="1">
      <alignment horizontal="center"/>
    </xf>
    <xf numFmtId="169" fontId="37" fillId="0" borderId="0" xfId="3" applyNumberFormat="1" applyFont="1"/>
    <xf numFmtId="0" fontId="33" fillId="0" borderId="0" xfId="0" applyFont="1" applyProtection="1">
      <protection locked="0" hidden="1"/>
    </xf>
    <xf numFmtId="0" fontId="0" fillId="0" borderId="0" xfId="0" applyAlignment="1">
      <alignment horizontal="left"/>
    </xf>
    <xf numFmtId="0" fontId="0" fillId="0" borderId="0" xfId="0"/>
    <xf numFmtId="9" fontId="0" fillId="0" borderId="0" xfId="14" applyFont="1"/>
    <xf numFmtId="0" fontId="2" fillId="0" borderId="14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0" xfId="0" applyFont="1" applyAlignment="1" applyProtection="1">
      <alignment horizontal="centerContinuous"/>
      <protection locked="0" hidden="1"/>
    </xf>
    <xf numFmtId="0" fontId="2" fillId="0" borderId="0" xfId="0" applyFont="1" applyFill="1" applyBorder="1" applyAlignment="1" applyProtection="1">
      <alignment horizontal="centerContinuous"/>
      <protection locked="0" hidden="1"/>
    </xf>
    <xf numFmtId="0" fontId="0" fillId="0" borderId="0" xfId="0" applyAlignment="1" applyProtection="1">
      <alignment horizontal="left"/>
      <protection locked="0" hidden="1"/>
    </xf>
    <xf numFmtId="0" fontId="24" fillId="0" borderId="0" xfId="0" applyFont="1" applyProtection="1">
      <protection locked="0" hidden="1"/>
    </xf>
    <xf numFmtId="0" fontId="2" fillId="0" borderId="0" xfId="0" applyFont="1" applyAlignment="1" applyProtection="1">
      <alignment horizontal="center"/>
      <protection locked="0" hidden="1"/>
    </xf>
    <xf numFmtId="0" fontId="0" fillId="0" borderId="0" xfId="0" applyProtection="1">
      <protection locked="0" hidden="1"/>
    </xf>
    <xf numFmtId="0" fontId="0" fillId="0" borderId="0" xfId="0" applyAlignment="1" applyProtection="1">
      <alignment horizontal="centerContinuous"/>
      <protection locked="0" hidden="1"/>
    </xf>
    <xf numFmtId="0" fontId="0" fillId="0" borderId="0" xfId="0" applyAlignment="1" applyProtection="1">
      <alignment horizontal="right" vertical="top"/>
      <protection locked="0" hidden="1"/>
    </xf>
    <xf numFmtId="0" fontId="31" fillId="0" borderId="0" xfId="0" applyNumberFormat="1" applyFont="1" applyAlignment="1" applyProtection="1">
      <alignment horizontal="left" vertical="top"/>
      <protection locked="0" hidden="1"/>
    </xf>
    <xf numFmtId="0" fontId="2" fillId="0" borderId="0" xfId="0" applyNumberFormat="1" applyFont="1" applyAlignment="1" applyProtection="1">
      <alignment horizontal="centerContinuous"/>
      <protection locked="0" hidden="1"/>
    </xf>
    <xf numFmtId="0" fontId="0" fillId="0" borderId="0" xfId="0" applyFill="1" applyBorder="1" applyAlignment="1" applyProtection="1">
      <alignment horizontal="centerContinuous"/>
      <protection locked="0" hidden="1"/>
    </xf>
    <xf numFmtId="0" fontId="3" fillId="0" borderId="0" xfId="0" applyFont="1" applyAlignment="1" applyProtection="1">
      <alignment horizontal="left"/>
      <protection locked="0" hidden="1"/>
    </xf>
    <xf numFmtId="49" fontId="31" fillId="0" borderId="0" xfId="0" applyNumberFormat="1" applyFont="1" applyAlignment="1" applyProtection="1">
      <alignment horizontal="left" vertical="top"/>
      <protection locked="0" hidden="1"/>
    </xf>
    <xf numFmtId="49" fontId="2" fillId="0" borderId="0" xfId="0" applyNumberFormat="1" applyFont="1" applyAlignment="1" applyProtection="1">
      <alignment horizontal="centerContinuous"/>
      <protection locked="0" hidden="1"/>
    </xf>
    <xf numFmtId="0" fontId="2" fillId="9" borderId="14" xfId="0" applyFont="1" applyFill="1" applyBorder="1" applyAlignment="1" applyProtection="1">
      <alignment horizontal="centerContinuous"/>
      <protection locked="0" hidden="1"/>
    </xf>
    <xf numFmtId="172" fontId="2" fillId="9" borderId="16" xfId="0" applyNumberFormat="1" applyFont="1" applyFill="1" applyBorder="1" applyAlignment="1" applyProtection="1">
      <alignment horizontal="center"/>
      <protection locked="0" hidden="1"/>
    </xf>
    <xf numFmtId="173" fontId="2" fillId="10" borderId="15" xfId="0" applyNumberFormat="1" applyFont="1" applyFill="1" applyBorder="1" applyAlignment="1" applyProtection="1">
      <alignment horizontal="centerContinuous"/>
      <protection locked="0" hidden="1"/>
    </xf>
    <xf numFmtId="0" fontId="2" fillId="0" borderId="0" xfId="0" applyNumberFormat="1" applyFont="1" applyAlignment="1" applyProtection="1">
      <alignment horizontal="left" vertical="top"/>
      <protection locked="0" hidden="1"/>
    </xf>
    <xf numFmtId="0" fontId="0" fillId="0" borderId="0" xfId="0" applyFill="1" applyBorder="1" applyProtection="1">
      <protection locked="0" hidden="1"/>
    </xf>
    <xf numFmtId="0" fontId="0" fillId="0" borderId="0" xfId="0" applyAlignment="1" applyProtection="1">
      <alignment horizontal="right"/>
      <protection locked="0" hidden="1"/>
    </xf>
    <xf numFmtId="49" fontId="31" fillId="0" borderId="0" xfId="0" applyNumberFormat="1" applyFont="1" applyAlignment="1" applyProtection="1">
      <alignment horizontal="left"/>
      <protection locked="0" hidden="1"/>
    </xf>
    <xf numFmtId="0" fontId="2" fillId="0" borderId="0" xfId="0" applyFont="1" applyFill="1" applyBorder="1" applyAlignment="1" applyProtection="1">
      <alignment horizontal="center"/>
      <protection locked="0" hidden="1"/>
    </xf>
    <xf numFmtId="0" fontId="0" fillId="0" borderId="0" xfId="0" applyAlignment="1" applyProtection="1">
      <alignment horizontal="center"/>
      <protection locked="0" hidden="1"/>
    </xf>
    <xf numFmtId="0" fontId="1" fillId="0" borderId="6" xfId="0" applyFont="1" applyBorder="1" applyAlignment="1" applyProtection="1">
      <alignment horizontal="center"/>
      <protection locked="0" hidden="1"/>
    </xf>
    <xf numFmtId="0" fontId="0" fillId="0" borderId="6" xfId="0" applyBorder="1" applyAlignment="1" applyProtection="1">
      <alignment horizontal="center"/>
      <protection locked="0" hidden="1"/>
    </xf>
    <xf numFmtId="0" fontId="0" fillId="3" borderId="0" xfId="0" applyFill="1" applyBorder="1" applyAlignment="1" applyProtection="1">
      <alignment horizontal="center"/>
      <protection locked="0" hidden="1"/>
    </xf>
    <xf numFmtId="0" fontId="35" fillId="0" borderId="0" xfId="0" applyFont="1" applyAlignment="1" applyProtection="1">
      <alignment horizontal="center"/>
      <protection locked="0" hidden="1"/>
    </xf>
    <xf numFmtId="0" fontId="2" fillId="0" borderId="0" xfId="0" applyFont="1" applyProtection="1">
      <protection locked="0" hidden="1"/>
    </xf>
    <xf numFmtId="0" fontId="0" fillId="3" borderId="0" xfId="0" applyFill="1" applyBorder="1" applyProtection="1">
      <protection locked="0" hidden="1"/>
    </xf>
    <xf numFmtId="0" fontId="17" fillId="0" borderId="0" xfId="0" applyFont="1" applyProtection="1">
      <protection locked="0" hidden="1"/>
    </xf>
    <xf numFmtId="0" fontId="0" fillId="0" borderId="0" xfId="0" quotePrefix="1" applyProtection="1">
      <protection locked="0" hidden="1"/>
    </xf>
    <xf numFmtId="0" fontId="0" fillId="3" borderId="0" xfId="0" quotePrefix="1" applyFill="1" applyBorder="1" applyProtection="1">
      <protection locked="0" hidden="1"/>
    </xf>
    <xf numFmtId="43" fontId="16" fillId="0" borderId="0" xfId="2" quotePrefix="1" applyFont="1" applyFill="1" applyProtection="1">
      <protection locked="0" hidden="1"/>
    </xf>
    <xf numFmtId="43" fontId="0" fillId="0" borderId="0" xfId="0" applyNumberFormat="1" applyProtection="1">
      <protection locked="0" hidden="1"/>
    </xf>
    <xf numFmtId="43" fontId="0" fillId="0" borderId="7" xfId="0" applyNumberFormat="1" applyBorder="1" applyProtection="1">
      <protection locked="0" hidden="1"/>
    </xf>
    <xf numFmtId="0" fontId="27" fillId="0" borderId="0" xfId="0" applyFont="1" applyAlignment="1" applyProtection="1">
      <alignment horizontal="left"/>
      <protection locked="0" hidden="1"/>
    </xf>
    <xf numFmtId="0" fontId="2" fillId="0" borderId="0" xfId="0" applyFont="1" applyAlignment="1" applyProtection="1">
      <alignment horizontal="left"/>
      <protection locked="0" hidden="1"/>
    </xf>
    <xf numFmtId="43" fontId="0" fillId="0" borderId="0" xfId="2" applyFont="1" applyProtection="1">
      <protection locked="0" hidden="1"/>
    </xf>
    <xf numFmtId="0" fontId="0" fillId="0" borderId="0" xfId="0" applyFill="1" applyProtection="1">
      <protection locked="0" hidden="1"/>
    </xf>
    <xf numFmtId="43" fontId="0" fillId="0" borderId="0" xfId="0" applyNumberFormat="1" applyBorder="1" applyProtection="1">
      <protection locked="0" hidden="1"/>
    </xf>
    <xf numFmtId="0" fontId="0" fillId="0" borderId="0" xfId="0" applyFill="1" applyAlignment="1" applyProtection="1">
      <alignment horizontal="left"/>
      <protection locked="0" hidden="1"/>
    </xf>
    <xf numFmtId="0" fontId="33" fillId="0" borderId="0" xfId="0" applyFont="1" applyFill="1" applyProtection="1">
      <protection locked="0" hidden="1"/>
    </xf>
    <xf numFmtId="0" fontId="0" fillId="0" borderId="0" xfId="0" quotePrefix="1" applyAlignment="1" applyProtection="1">
      <alignment horizontal="right"/>
      <protection locked="0" hidden="1"/>
    </xf>
    <xf numFmtId="43" fontId="16" fillId="0" borderId="6" xfId="2" quotePrefix="1" applyFont="1" applyFill="1" applyBorder="1" applyProtection="1">
      <protection locked="0" hidden="1"/>
    </xf>
    <xf numFmtId="43" fontId="0" fillId="0" borderId="6" xfId="0" applyNumberFormat="1" applyBorder="1" applyProtection="1">
      <protection locked="0" hidden="1"/>
    </xf>
    <xf numFmtId="0" fontId="0" fillId="0" borderId="0" xfId="0" applyBorder="1" applyProtection="1">
      <protection locked="0" hidden="1"/>
    </xf>
    <xf numFmtId="0" fontId="2" fillId="0" borderId="0" xfId="0" applyFont="1" applyBorder="1" applyProtection="1">
      <protection locked="0" hidden="1"/>
    </xf>
    <xf numFmtId="49" fontId="0" fillId="0" borderId="0" xfId="0" applyNumberFormat="1" applyFill="1" applyBorder="1" applyProtection="1">
      <protection locked="0" hidden="1"/>
    </xf>
    <xf numFmtId="49" fontId="0" fillId="0" borderId="0" xfId="0" quotePrefix="1" applyNumberFormat="1" applyFill="1" applyBorder="1" applyProtection="1">
      <protection locked="0" hidden="1"/>
    </xf>
    <xf numFmtId="43" fontId="16" fillId="0" borderId="0" xfId="2" quotePrefix="1" applyFont="1" applyFill="1" applyBorder="1" applyProtection="1">
      <protection locked="0" hidden="1"/>
    </xf>
    <xf numFmtId="0" fontId="2" fillId="0" borderId="0" xfId="0" applyFont="1" applyAlignment="1" applyProtection="1">
      <alignment horizontal="right"/>
      <protection locked="0" hidden="1"/>
    </xf>
    <xf numFmtId="0" fontId="2" fillId="3" borderId="0" xfId="0" applyFont="1" applyFill="1" applyBorder="1" applyProtection="1">
      <protection locked="0" hidden="1"/>
    </xf>
    <xf numFmtId="43" fontId="2" fillId="0" borderId="7" xfId="2" applyFont="1" applyBorder="1" applyProtection="1">
      <protection locked="0" hidden="1"/>
    </xf>
    <xf numFmtId="43" fontId="2" fillId="0" borderId="7" xfId="0" applyNumberFormat="1" applyFont="1" applyBorder="1" applyProtection="1">
      <protection locked="0" hidden="1"/>
    </xf>
    <xf numFmtId="0" fontId="18" fillId="0" borderId="0" xfId="0" applyFont="1" applyProtection="1">
      <protection locked="0" hidden="1"/>
    </xf>
    <xf numFmtId="43" fontId="16" fillId="0" borderId="7" xfId="2" quotePrefix="1" applyFont="1" applyFill="1" applyBorder="1" applyProtection="1">
      <protection locked="0" hidden="1"/>
    </xf>
    <xf numFmtId="0" fontId="52" fillId="0" borderId="0" xfId="0" applyFont="1" applyProtection="1">
      <protection locked="0" hidden="1"/>
    </xf>
    <xf numFmtId="49" fontId="0" fillId="0" borderId="0" xfId="0" applyNumberFormat="1" applyBorder="1" applyProtection="1">
      <protection locked="0" hidden="1"/>
    </xf>
    <xf numFmtId="49" fontId="0" fillId="0" borderId="0" xfId="0" quotePrefix="1" applyNumberFormat="1" applyBorder="1" applyProtection="1">
      <protection locked="0" hidden="1"/>
    </xf>
    <xf numFmtId="49" fontId="0" fillId="3" borderId="0" xfId="0" applyNumberFormat="1" applyFill="1" applyBorder="1" applyProtection="1">
      <protection locked="0" hidden="1"/>
    </xf>
    <xf numFmtId="0" fontId="43" fillId="0" borderId="0" xfId="0" applyFont="1" applyProtection="1">
      <protection locked="0" hidden="1"/>
    </xf>
    <xf numFmtId="0" fontId="0" fillId="0" borderId="0" xfId="0" applyNumberFormat="1" applyBorder="1" applyProtection="1">
      <protection locked="0" hidden="1"/>
    </xf>
    <xf numFmtId="0" fontId="53" fillId="0" borderId="0" xfId="0" applyFont="1" applyProtection="1">
      <protection locked="0" hidden="1"/>
    </xf>
    <xf numFmtId="43" fontId="2" fillId="0" borderId="5" xfId="2" applyFont="1" applyBorder="1" applyProtection="1">
      <protection locked="0" hidden="1"/>
    </xf>
    <xf numFmtId="43" fontId="2" fillId="0" borderId="5" xfId="0" applyNumberFormat="1" applyFont="1" applyBorder="1" applyProtection="1">
      <protection locked="0" hidden="1"/>
    </xf>
    <xf numFmtId="0" fontId="30" fillId="0" borderId="0" xfId="0" quotePrefix="1" applyFont="1" applyProtection="1">
      <protection locked="0" hidden="1"/>
    </xf>
    <xf numFmtId="0" fontId="30" fillId="3" borderId="0" xfId="0" quotePrefix="1" applyFont="1" applyFill="1" applyBorder="1" applyProtection="1">
      <protection locked="0" hidden="1"/>
    </xf>
    <xf numFmtId="0" fontId="32" fillId="0" borderId="0" xfId="0" applyFont="1" applyAlignment="1" applyProtection="1">
      <alignment horizontal="left"/>
      <protection locked="0" hidden="1"/>
    </xf>
    <xf numFmtId="0" fontId="18" fillId="0" borderId="0" xfId="0" applyFont="1" applyAlignment="1" applyProtection="1">
      <alignment horizontal="center"/>
      <protection locked="0" hidden="1"/>
    </xf>
    <xf numFmtId="43" fontId="51" fillId="0" borderId="0" xfId="2" quotePrefix="1" applyFont="1" applyFill="1" applyProtection="1">
      <protection locked="0" hidden="1"/>
    </xf>
    <xf numFmtId="0" fontId="34" fillId="0" borderId="0" xfId="0" applyFont="1" applyFill="1" applyProtection="1">
      <protection locked="0" hidden="1"/>
    </xf>
    <xf numFmtId="0" fontId="34" fillId="0" borderId="0" xfId="0" applyFont="1" applyProtection="1">
      <protection locked="0" hidden="1"/>
    </xf>
    <xf numFmtId="0" fontId="0" fillId="0" borderId="0" xfId="0" applyBorder="1" applyAlignment="1" applyProtection="1">
      <alignment horizontal="right"/>
      <protection locked="0" hidden="1"/>
    </xf>
    <xf numFmtId="43" fontId="51" fillId="0" borderId="7" xfId="2" quotePrefix="1" applyFont="1" applyFill="1" applyBorder="1" applyProtection="1">
      <protection locked="0" hidden="1"/>
    </xf>
    <xf numFmtId="0" fontId="23" fillId="0" borderId="0" xfId="0" applyFont="1" applyAlignment="1" applyProtection="1">
      <alignment horizontal="left"/>
      <protection locked="0" hidden="1"/>
    </xf>
    <xf numFmtId="0" fontId="29" fillId="0" borderId="0" xfId="0" applyFont="1" applyAlignment="1" applyProtection="1">
      <alignment horizontal="center"/>
      <protection locked="0" hidden="1"/>
    </xf>
    <xf numFmtId="0" fontId="38" fillId="0" borderId="0" xfId="0" applyFont="1" applyAlignment="1" applyProtection="1">
      <alignment horizontal="center"/>
      <protection locked="0" hidden="1"/>
    </xf>
    <xf numFmtId="0" fontId="46" fillId="0" borderId="0" xfId="0" applyFont="1" applyProtection="1">
      <protection locked="0" hidden="1"/>
    </xf>
    <xf numFmtId="0" fontId="3" fillId="0" borderId="0" xfId="0" applyFont="1" applyProtection="1">
      <protection locked="0" hidden="1"/>
    </xf>
    <xf numFmtId="0" fontId="3" fillId="0" borderId="0" xfId="0" applyFont="1" applyAlignment="1" applyProtection="1">
      <alignment horizontal="right"/>
      <protection locked="0" hidden="1"/>
    </xf>
    <xf numFmtId="49" fontId="26" fillId="0" borderId="0" xfId="0" applyNumberFormat="1" applyFont="1" applyAlignment="1" applyProtection="1">
      <alignment horizontal="left"/>
      <protection locked="0" hidden="1"/>
    </xf>
    <xf numFmtId="49" fontId="22" fillId="0" borderId="0" xfId="0" applyNumberFormat="1" applyFont="1" applyAlignment="1" applyProtection="1">
      <alignment horizontal="left"/>
      <protection locked="0" hidden="1"/>
    </xf>
    <xf numFmtId="0" fontId="3" fillId="0" borderId="0" xfId="0" applyFont="1" applyFill="1" applyBorder="1" applyProtection="1">
      <protection locked="0" hidden="1"/>
    </xf>
    <xf numFmtId="0" fontId="3" fillId="0" borderId="0" xfId="0" applyFont="1" applyFill="1" applyProtection="1">
      <protection locked="0" hidden="1"/>
    </xf>
    <xf numFmtId="0" fontId="47" fillId="0" borderId="0" xfId="0" applyFont="1" applyProtection="1">
      <protection locked="0" hidden="1"/>
    </xf>
    <xf numFmtId="49" fontId="0" fillId="0" borderId="0" xfId="0" applyNumberFormat="1" applyProtection="1">
      <protection locked="0" hidden="1"/>
    </xf>
    <xf numFmtId="0" fontId="0" fillId="0" borderId="0" xfId="0" quotePrefix="1" applyFill="1" applyProtection="1">
      <protection locked="0" hidden="1"/>
    </xf>
    <xf numFmtId="0" fontId="48" fillId="0" borderId="0" xfId="0" applyFont="1" applyProtection="1">
      <protection locked="0" hidden="1"/>
    </xf>
    <xf numFmtId="0" fontId="49" fillId="0" borderId="0" xfId="0" applyFont="1" applyProtection="1">
      <protection locked="0" hidden="1"/>
    </xf>
    <xf numFmtId="0" fontId="2" fillId="0" borderId="0" xfId="0" applyFont="1" applyAlignment="1" applyProtection="1">
      <alignment horizontal="center"/>
      <protection locked="0" hidden="1"/>
    </xf>
    <xf numFmtId="0" fontId="24" fillId="0" borderId="0" xfId="0" applyFont="1" applyAlignment="1" applyProtection="1">
      <alignment horizontal="center"/>
      <protection locked="0" hidden="1"/>
    </xf>
    <xf numFmtId="0" fontId="2" fillId="3" borderId="0" xfId="0" applyFont="1" applyFill="1" applyBorder="1" applyAlignment="1" applyProtection="1">
      <protection locked="0" hidden="1"/>
    </xf>
    <xf numFmtId="0" fontId="2" fillId="0" borderId="0" xfId="0" applyFont="1" applyBorder="1" applyAlignment="1" applyProtection="1">
      <alignment horizontal="center"/>
      <protection locked="0" hidden="1"/>
    </xf>
    <xf numFmtId="0" fontId="38" fillId="0" borderId="0" xfId="0" applyFont="1" applyProtection="1">
      <protection locked="0" hidden="1"/>
    </xf>
    <xf numFmtId="0" fontId="1" fillId="0" borderId="0" xfId="0" applyFont="1" applyBorder="1" applyAlignment="1" applyProtection="1">
      <alignment horizontal="center"/>
      <protection locked="0" hidden="1"/>
    </xf>
    <xf numFmtId="0" fontId="1" fillId="3" borderId="0" xfId="0" applyFont="1" applyFill="1" applyBorder="1" applyAlignment="1" applyProtection="1">
      <alignment horizontal="center"/>
      <protection locked="0" hidden="1"/>
    </xf>
    <xf numFmtId="0" fontId="18" fillId="3" borderId="0" xfId="0" applyFont="1" applyFill="1" applyBorder="1" applyAlignment="1" applyProtection="1">
      <alignment horizontal="center"/>
      <protection locked="0" hidden="1"/>
    </xf>
    <xf numFmtId="0" fontId="28" fillId="0" borderId="0" xfId="0" applyFont="1" applyProtection="1">
      <protection locked="0" hidden="1"/>
    </xf>
    <xf numFmtId="9" fontId="3" fillId="0" borderId="0" xfId="14" applyFont="1" applyProtection="1">
      <protection locked="0" hidden="1"/>
    </xf>
    <xf numFmtId="9" fontId="41" fillId="0" borderId="0" xfId="14" applyFont="1" applyProtection="1">
      <protection locked="0" hidden="1"/>
    </xf>
    <xf numFmtId="0" fontId="42" fillId="0" borderId="0" xfId="0" applyFont="1" applyProtection="1">
      <protection locked="0" hidden="1"/>
    </xf>
    <xf numFmtId="9" fontId="41" fillId="0" borderId="0" xfId="14" applyFont="1" applyFill="1" applyProtection="1">
      <protection locked="0" hidden="1"/>
    </xf>
    <xf numFmtId="0" fontId="38" fillId="0" borderId="0" xfId="0" applyFont="1" applyFill="1" applyAlignment="1" applyProtection="1">
      <alignment horizontal="center"/>
      <protection locked="0" hidden="1"/>
    </xf>
    <xf numFmtId="0" fontId="38" fillId="0" borderId="0" xfId="0" applyFont="1" applyFill="1" applyProtection="1">
      <protection locked="0" hidden="1"/>
    </xf>
    <xf numFmtId="49" fontId="24" fillId="0" borderId="0" xfId="0" applyNumberFormat="1" applyFont="1" applyFill="1" applyAlignment="1" applyProtection="1">
      <alignment horizontal="left"/>
      <protection locked="0" hidden="1"/>
    </xf>
    <xf numFmtId="0" fontId="24" fillId="0" borderId="0" xfId="0" applyFont="1" applyFill="1" applyProtection="1">
      <protection locked="0" hidden="1"/>
    </xf>
    <xf numFmtId="49" fontId="32" fillId="0" borderId="0" xfId="0" applyNumberFormat="1" applyFont="1" applyFill="1" applyAlignment="1" applyProtection="1">
      <alignment horizontal="left"/>
      <protection locked="0" hidden="1"/>
    </xf>
    <xf numFmtId="43" fontId="0" fillId="0" borderId="7" xfId="0" applyNumberFormat="1" applyFill="1" applyBorder="1" applyProtection="1">
      <protection locked="0" hidden="1"/>
    </xf>
    <xf numFmtId="43" fontId="0" fillId="0" borderId="0" xfId="0" applyNumberFormat="1" applyFill="1" applyBorder="1" applyProtection="1">
      <protection locked="0" hidden="1"/>
    </xf>
    <xf numFmtId="43" fontId="0" fillId="0" borderId="0" xfId="0" applyNumberFormat="1" applyFill="1" applyProtection="1">
      <protection locked="0" hidden="1"/>
    </xf>
    <xf numFmtId="9" fontId="3" fillId="0" borderId="0" xfId="14" applyFont="1" applyFill="1" applyProtection="1">
      <protection locked="0" hidden="1"/>
    </xf>
    <xf numFmtId="0" fontId="24" fillId="0" borderId="0" xfId="0" applyFont="1" applyFill="1" applyAlignment="1" applyProtection="1">
      <alignment horizontal="left"/>
      <protection locked="0" hidden="1"/>
    </xf>
    <xf numFmtId="0" fontId="23" fillId="0" borderId="0" xfId="0" applyFont="1" applyProtection="1">
      <protection locked="0" hidden="1"/>
    </xf>
    <xf numFmtId="43" fontId="0" fillId="0" borderId="0" xfId="0" applyNumberFormat="1" applyAlignment="1" applyProtection="1">
      <alignment vertical="top"/>
      <protection locked="0" hidden="1"/>
    </xf>
    <xf numFmtId="0" fontId="24" fillId="0" borderId="0" xfId="0" applyFont="1" applyBorder="1" applyAlignment="1" applyProtection="1">
      <alignment horizontal="left"/>
      <protection locked="0" hidden="1"/>
    </xf>
    <xf numFmtId="0" fontId="0" fillId="0" borderId="0" xfId="0" applyBorder="1" applyAlignment="1" applyProtection="1">
      <alignment horizontal="left"/>
      <protection locked="0" hidden="1"/>
    </xf>
    <xf numFmtId="43" fontId="16" fillId="0" borderId="7" xfId="2" quotePrefix="1" applyFont="1" applyFill="1" applyBorder="1" applyAlignment="1" applyProtection="1">
      <alignment vertical="top"/>
      <protection locked="0" hidden="1"/>
    </xf>
    <xf numFmtId="43" fontId="16" fillId="0" borderId="0" xfId="2" quotePrefix="1" applyFont="1" applyFill="1" applyBorder="1" applyAlignment="1" applyProtection="1">
      <alignment vertical="top"/>
      <protection locked="0" hidden="1"/>
    </xf>
    <xf numFmtId="9" fontId="41" fillId="0" borderId="0" xfId="14" applyFont="1" applyAlignment="1" applyProtection="1">
      <alignment vertical="top"/>
      <protection locked="0" hidden="1"/>
    </xf>
    <xf numFmtId="0" fontId="44" fillId="0" borderId="0" xfId="0" applyFont="1" applyProtection="1">
      <protection locked="0" hidden="1"/>
    </xf>
    <xf numFmtId="0" fontId="20" fillId="0" borderId="0" xfId="0" applyFont="1" applyProtection="1">
      <protection locked="0" hidden="1"/>
    </xf>
    <xf numFmtId="43" fontId="0" fillId="0" borderId="0" xfId="0" applyNumberFormat="1" applyFill="1" applyAlignment="1" applyProtection="1">
      <alignment vertical="top"/>
      <protection locked="0" hidden="1"/>
    </xf>
    <xf numFmtId="0" fontId="44" fillId="0" borderId="0" xfId="0" applyFont="1" applyFill="1" applyProtection="1">
      <protection locked="0" hidden="1"/>
    </xf>
    <xf numFmtId="0" fontId="20" fillId="0" borderId="0" xfId="0" applyFont="1" applyFill="1" applyProtection="1">
      <protection locked="0" hidden="1"/>
    </xf>
    <xf numFmtId="0" fontId="43" fillId="0" borderId="0" xfId="0" applyFont="1" applyFill="1" applyProtection="1">
      <protection locked="0" hidden="1"/>
    </xf>
    <xf numFmtId="0" fontId="23" fillId="0" borderId="0" xfId="0" applyFont="1" applyFill="1" applyProtection="1">
      <protection locked="0" hidden="1"/>
    </xf>
    <xf numFmtId="0" fontId="0" fillId="0" borderId="0" xfId="0" applyFill="1" applyBorder="1" applyAlignment="1" applyProtection="1">
      <alignment horizontal="left"/>
      <protection locked="0" hidden="1"/>
    </xf>
    <xf numFmtId="43" fontId="0" fillId="3" borderId="0" xfId="0" applyNumberFormat="1" applyFill="1" applyBorder="1" applyProtection="1">
      <protection locked="0" hidden="1"/>
    </xf>
    <xf numFmtId="170" fontId="44" fillId="0" borderId="0" xfId="14" applyNumberFormat="1" applyFont="1" applyFill="1" applyProtection="1">
      <protection locked="0" hidden="1"/>
    </xf>
    <xf numFmtId="43" fontId="2" fillId="3" borderId="0" xfId="0" applyNumberFormat="1" applyFont="1" applyFill="1" applyBorder="1" applyProtection="1">
      <protection locked="0" hidden="1"/>
    </xf>
    <xf numFmtId="0" fontId="32" fillId="0" borderId="0" xfId="0" applyFont="1" applyFill="1" applyAlignment="1" applyProtection="1">
      <alignment horizontal="left"/>
      <protection locked="0" hidden="1"/>
    </xf>
    <xf numFmtId="43" fontId="2" fillId="0" borderId="0" xfId="0" applyNumberFormat="1" applyFont="1" applyBorder="1" applyProtection="1">
      <protection locked="0" hidden="1"/>
    </xf>
    <xf numFmtId="0" fontId="24" fillId="0" borderId="0" xfId="0" quotePrefix="1" applyFont="1" applyFill="1" applyAlignment="1" applyProtection="1">
      <alignment horizontal="left"/>
      <protection locked="0" hidden="1"/>
    </xf>
    <xf numFmtId="0" fontId="0" fillId="3" borderId="0" xfId="0" applyFill="1" applyBorder="1" applyAlignment="1" applyProtection="1">
      <alignment vertical="top"/>
      <protection locked="0" hidden="1"/>
    </xf>
    <xf numFmtId="49" fontId="0" fillId="0" borderId="0" xfId="0" quotePrefix="1" applyNumberFormat="1" applyFill="1" applyAlignment="1" applyProtection="1">
      <alignment horizontal="left"/>
      <protection locked="0" hidden="1"/>
    </xf>
    <xf numFmtId="49" fontId="0" fillId="0" borderId="0" xfId="0" applyNumberFormat="1" applyFill="1" applyAlignment="1" applyProtection="1">
      <alignment horizontal="left"/>
      <protection locked="0" hidden="1"/>
    </xf>
    <xf numFmtId="0" fontId="45" fillId="0" borderId="0" xfId="0" applyFont="1" applyAlignment="1" applyProtection="1">
      <alignment horizontal="center"/>
      <protection locked="0" hidden="1"/>
    </xf>
    <xf numFmtId="0" fontId="45" fillId="0" borderId="0" xfId="0" applyFont="1" applyBorder="1" applyAlignment="1" applyProtection="1">
      <alignment horizontal="center"/>
      <protection locked="0" hidden="1"/>
    </xf>
    <xf numFmtId="0" fontId="41" fillId="0" borderId="0" xfId="0" applyFont="1" applyProtection="1">
      <protection locked="0" hidden="1"/>
    </xf>
    <xf numFmtId="10" fontId="0" fillId="0" borderId="0" xfId="14" applyNumberFormat="1" applyFont="1" applyProtection="1">
      <protection locked="0" hidden="1"/>
    </xf>
    <xf numFmtId="0" fontId="38" fillId="11" borderId="0" xfId="0" applyFont="1" applyFill="1" applyProtection="1">
      <protection locked="0" hidden="1"/>
    </xf>
    <xf numFmtId="0" fontId="34" fillId="0" borderId="0" xfId="0" applyFont="1" applyFill="1" applyAlignment="1" applyProtection="1">
      <alignment horizontal="center"/>
      <protection locked="0" hidden="1"/>
    </xf>
    <xf numFmtId="9" fontId="41" fillId="7" borderId="0" xfId="14" applyFont="1" applyFill="1" applyProtection="1">
      <protection locked="0" hidden="1"/>
    </xf>
    <xf numFmtId="0" fontId="32" fillId="0" borderId="0" xfId="0" applyFont="1" applyProtection="1">
      <protection locked="0" hidden="1"/>
    </xf>
    <xf numFmtId="171" fontId="44" fillId="0" borderId="0" xfId="0" applyNumberFormat="1" applyFont="1" applyProtection="1">
      <protection locked="0" hidden="1"/>
    </xf>
    <xf numFmtId="0" fontId="0" fillId="6" borderId="0" xfId="0" applyFill="1" applyProtection="1">
      <protection locked="0" hidden="1"/>
    </xf>
    <xf numFmtId="0" fontId="0" fillId="8" borderId="0" xfId="0" applyFill="1" applyProtection="1">
      <protection locked="0" hidden="1"/>
    </xf>
    <xf numFmtId="0" fontId="0" fillId="8" borderId="0" xfId="0" applyFill="1" applyAlignment="1" applyProtection="1">
      <alignment horizontal="left"/>
      <protection locked="0" hidden="1"/>
    </xf>
    <xf numFmtId="0" fontId="0" fillId="8" borderId="0" xfId="0" applyFill="1" applyBorder="1" applyProtection="1">
      <protection locked="0" hidden="1"/>
    </xf>
    <xf numFmtId="43" fontId="0" fillId="8" borderId="0" xfId="0" applyNumberFormat="1" applyFill="1" applyBorder="1" applyProtection="1">
      <protection locked="0" hidden="1"/>
    </xf>
    <xf numFmtId="0" fontId="38" fillId="8" borderId="0" xfId="0" applyFont="1" applyFill="1" applyAlignment="1" applyProtection="1">
      <alignment horizontal="center"/>
      <protection locked="0" hidden="1"/>
    </xf>
    <xf numFmtId="0" fontId="38" fillId="8" borderId="0" xfId="0" applyFont="1" applyFill="1" applyProtection="1">
      <protection locked="0" hidden="1"/>
    </xf>
    <xf numFmtId="0" fontId="0" fillId="0" borderId="0" xfId="0" applyBorder="1" applyAlignment="1" applyProtection="1">
      <alignment horizontal="center"/>
      <protection locked="0" hidden="1"/>
    </xf>
    <xf numFmtId="168" fontId="0" fillId="0" borderId="0" xfId="2" applyNumberFormat="1" applyFont="1" applyProtection="1">
      <protection locked="0" hidden="1"/>
    </xf>
    <xf numFmtId="168" fontId="16" fillId="0" borderId="0" xfId="2" quotePrefix="1" applyNumberFormat="1" applyFont="1" applyFill="1" applyProtection="1">
      <protection locked="0" hidden="1"/>
    </xf>
    <xf numFmtId="168" fontId="0" fillId="0" borderId="0" xfId="0" applyNumberFormat="1" applyProtection="1">
      <protection locked="0" hidden="1"/>
    </xf>
  </cellXfs>
  <cellStyles count="24">
    <cellStyle name="Actual Date" xfId="1"/>
    <cellStyle name="Comma" xfId="2" builtinId="3"/>
    <cellStyle name="Currency" xfId="3" builtinId="4"/>
    <cellStyle name="Date" xfId="4"/>
    <cellStyle name="Fixed" xfId="5"/>
    <cellStyle name="Grey" xfId="6"/>
    <cellStyle name="HEADER" xfId="7"/>
    <cellStyle name="Heading1" xfId="8"/>
    <cellStyle name="Heading2" xfId="9"/>
    <cellStyle name="HIGHLIGHT" xfId="10"/>
    <cellStyle name="Input [yellow]" xfId="11"/>
    <cellStyle name="no dec" xfId="12"/>
    <cellStyle name="Normal" xfId="0" builtinId="0"/>
    <cellStyle name="Normal - Style1" xfId="13"/>
    <cellStyle name="Percent" xfId="14" builtinId="5"/>
    <cellStyle name="Percent [2]" xfId="15"/>
    <cellStyle name="PSChar" xfId="16"/>
    <cellStyle name="PSDec" xfId="17"/>
    <cellStyle name="PSHeading" xfId="18"/>
    <cellStyle name="Style 1" xfId="19"/>
    <cellStyle name="Total" xfId="20" builtinId="25" customBuiltin="1"/>
    <cellStyle name="Unprot" xfId="21"/>
    <cellStyle name="Unprot$" xfId="22"/>
    <cellStyle name="Unprotect" xfId="23"/>
  </cellStyles>
  <dxfs count="93"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ndense val="0"/>
        <extend val="0"/>
        <color indexed="10"/>
      </font>
      <fill>
        <patternFill>
          <bgColor indexed="26"/>
        </patternFill>
      </fill>
    </dxf>
    <dxf>
      <font>
        <b/>
        <i val="0"/>
        <condense val="0"/>
        <extend val="0"/>
        <color indexed="10"/>
      </font>
      <fill>
        <patternFill>
          <bgColor indexed="26"/>
        </patternFill>
      </fill>
    </dxf>
    <dxf>
      <font>
        <b/>
        <i val="0"/>
        <condense val="0"/>
        <extend val="0"/>
        <color indexed="10"/>
      </font>
      <fill>
        <patternFill>
          <bgColor indexed="26"/>
        </patternFill>
      </fill>
    </dxf>
    <dxf>
      <font>
        <b/>
        <i val="0"/>
        <condense val="0"/>
        <extend val="0"/>
        <color indexed="10"/>
      </font>
      <fill>
        <patternFill>
          <bgColor indexed="26"/>
        </patternFill>
      </fill>
    </dxf>
    <dxf>
      <font>
        <b/>
        <i val="0"/>
        <condense val="0"/>
        <extend val="0"/>
        <color indexed="10"/>
      </font>
      <fill>
        <patternFill>
          <bgColor indexed="26"/>
        </patternFill>
      </fill>
    </dxf>
    <dxf>
      <font>
        <b/>
        <i val="0"/>
        <condense val="0"/>
        <extend val="0"/>
        <color indexed="10"/>
      </font>
      <fill>
        <patternFill>
          <bgColor indexed="26"/>
        </patternFill>
      </fill>
    </dxf>
    <dxf>
      <font>
        <b/>
        <i val="0"/>
        <condense val="0"/>
        <extend val="0"/>
        <color indexed="10"/>
      </font>
      <fill>
        <patternFill>
          <bgColor indexed="26"/>
        </patternFill>
      </fill>
    </dxf>
    <dxf>
      <font>
        <b/>
        <i val="0"/>
        <condense val="0"/>
        <extend val="0"/>
        <color indexed="10"/>
      </font>
      <fill>
        <patternFill>
          <bgColor indexed="26"/>
        </patternFill>
      </fill>
    </dxf>
    <dxf>
      <font>
        <b/>
        <i val="0"/>
        <condense val="0"/>
        <extend val="0"/>
        <color indexed="10"/>
      </font>
      <fill>
        <patternFill>
          <bgColor indexed="26"/>
        </patternFill>
      </fill>
    </dxf>
    <dxf>
      <font>
        <b/>
        <i val="0"/>
        <condense val="0"/>
        <extend val="0"/>
        <color indexed="10"/>
      </font>
      <fill>
        <patternFill>
          <bgColor indexed="26"/>
        </patternFill>
      </fill>
    </dxf>
    <dxf>
      <font>
        <b/>
        <i val="0"/>
        <condense val="0"/>
        <extend val="0"/>
        <color indexed="10"/>
      </font>
      <fill>
        <patternFill>
          <bgColor indexed="26"/>
        </patternFill>
      </fill>
    </dxf>
    <dxf>
      <font>
        <b/>
        <i val="0"/>
        <condense val="0"/>
        <extend val="0"/>
        <color indexed="10"/>
      </font>
      <fill>
        <patternFill>
          <bgColor indexed="26"/>
        </patternFill>
      </fill>
    </dxf>
    <dxf>
      <font>
        <b/>
        <i val="0"/>
        <condense val="0"/>
        <extend val="0"/>
        <color indexed="10"/>
      </font>
      <fill>
        <patternFill>
          <bgColor indexed="26"/>
        </patternFill>
      </fill>
    </dxf>
    <dxf>
      <font>
        <b/>
        <i val="0"/>
        <condense val="0"/>
        <extend val="0"/>
        <color indexed="10"/>
      </font>
      <fill>
        <patternFill>
          <bgColor indexed="26"/>
        </patternFill>
      </fill>
    </dxf>
    <dxf>
      <font>
        <b/>
        <i val="0"/>
        <condense val="0"/>
        <extend val="0"/>
        <color indexed="10"/>
      </font>
      <fill>
        <patternFill>
          <bgColor indexed="26"/>
        </patternFill>
      </fill>
    </dxf>
    <dxf>
      <font>
        <b/>
        <i val="0"/>
        <condense val="0"/>
        <extend val="0"/>
        <color indexed="10"/>
      </font>
      <fill>
        <patternFill>
          <bgColor indexed="26"/>
        </patternFill>
      </fill>
    </dxf>
    <dxf>
      <font>
        <b/>
        <i val="0"/>
        <condense val="0"/>
        <extend val="0"/>
        <color indexed="10"/>
      </font>
      <fill>
        <patternFill>
          <bgColor indexed="26"/>
        </patternFill>
      </fill>
    </dxf>
    <dxf>
      <font>
        <b/>
        <i val="0"/>
        <condense val="0"/>
        <extend val="0"/>
        <color indexed="10"/>
      </font>
      <fill>
        <patternFill>
          <bgColor indexed="26"/>
        </patternFill>
      </fill>
    </dxf>
    <dxf>
      <font>
        <b/>
        <i val="0"/>
        <condense val="0"/>
        <extend val="0"/>
        <color indexed="10"/>
      </font>
      <fill>
        <patternFill>
          <bgColor indexed="26"/>
        </patternFill>
      </fill>
    </dxf>
    <dxf>
      <font>
        <b/>
        <i val="0"/>
        <condense val="0"/>
        <extend val="0"/>
        <color indexed="10"/>
      </font>
      <fill>
        <patternFill>
          <bgColor indexed="26"/>
        </patternFill>
      </fill>
    </dxf>
    <dxf>
      <font>
        <b/>
        <i val="0"/>
        <condense val="0"/>
        <extend val="0"/>
        <color indexed="10"/>
      </font>
      <fill>
        <patternFill>
          <bgColor indexed="26"/>
        </patternFill>
      </fill>
    </dxf>
    <dxf>
      <font>
        <b/>
        <i val="0"/>
        <condense val="0"/>
        <extend val="0"/>
        <color indexed="10"/>
      </font>
      <fill>
        <patternFill>
          <bgColor indexed="26"/>
        </patternFill>
      </fill>
    </dxf>
    <dxf>
      <font>
        <b/>
        <i val="0"/>
        <condense val="0"/>
        <extend val="0"/>
        <color indexed="10"/>
      </font>
      <fill>
        <patternFill>
          <bgColor indexed="26"/>
        </patternFill>
      </fill>
    </dxf>
    <dxf>
      <font>
        <b/>
        <i val="0"/>
        <condense val="0"/>
        <extend val="0"/>
        <color indexed="10"/>
      </font>
      <fill>
        <patternFill>
          <bgColor indexed="26"/>
        </patternFill>
      </fill>
    </dxf>
    <dxf>
      <font>
        <b/>
        <i val="0"/>
        <condense val="0"/>
        <extend val="0"/>
        <color indexed="10"/>
      </font>
      <fill>
        <patternFill>
          <bgColor indexed="26"/>
        </patternFill>
      </fill>
    </dxf>
    <dxf>
      <font>
        <b/>
        <i val="0"/>
        <condense val="0"/>
        <extend val="0"/>
        <color indexed="10"/>
      </font>
      <fill>
        <patternFill>
          <bgColor indexed="26"/>
        </patternFill>
      </fill>
    </dxf>
    <dxf>
      <font>
        <b/>
        <i val="0"/>
        <condense val="0"/>
        <extend val="0"/>
        <color indexed="10"/>
      </font>
      <fill>
        <patternFill>
          <bgColor indexed="26"/>
        </patternFill>
      </fill>
    </dxf>
    <dxf>
      <font>
        <b/>
        <i val="0"/>
        <condense val="0"/>
        <extend val="0"/>
        <color indexed="10"/>
      </font>
      <fill>
        <patternFill>
          <bgColor indexed="26"/>
        </patternFill>
      </fill>
    </dxf>
    <dxf>
      <font>
        <b/>
        <i val="0"/>
        <condense val="0"/>
        <extend val="0"/>
        <color indexed="10"/>
      </font>
      <fill>
        <patternFill>
          <bgColor indexed="26"/>
        </patternFill>
      </fill>
    </dxf>
    <dxf>
      <font>
        <b/>
        <i val="0"/>
        <condense val="0"/>
        <extend val="0"/>
        <color indexed="10"/>
      </font>
      <fill>
        <patternFill>
          <bgColor indexed="26"/>
        </patternFill>
      </fill>
    </dxf>
    <dxf>
      <font>
        <b/>
        <i val="0"/>
        <condense val="0"/>
        <extend val="0"/>
        <color indexed="10"/>
      </font>
      <fill>
        <patternFill>
          <bgColor indexed="26"/>
        </patternFill>
      </fill>
    </dxf>
    <dxf>
      <font>
        <b/>
        <i val="0"/>
        <condense val="0"/>
        <extend val="0"/>
        <color indexed="10"/>
      </font>
      <fill>
        <patternFill>
          <bgColor indexed="26"/>
        </patternFill>
      </fill>
    </dxf>
    <dxf>
      <font>
        <b/>
        <i val="0"/>
        <condense val="0"/>
        <extend val="0"/>
        <color indexed="10"/>
      </font>
      <fill>
        <patternFill>
          <bgColor indexed="26"/>
        </patternFill>
      </fill>
    </dxf>
    <dxf>
      <font>
        <b/>
        <i val="0"/>
        <condense val="0"/>
        <extend val="0"/>
        <color indexed="10"/>
      </font>
      <fill>
        <patternFill>
          <bgColor indexed="26"/>
        </patternFill>
      </fill>
    </dxf>
    <dxf>
      <font>
        <b/>
        <i val="0"/>
        <condense val="0"/>
        <extend val="0"/>
        <color indexed="10"/>
      </font>
      <fill>
        <patternFill>
          <bgColor indexed="26"/>
        </patternFill>
      </fill>
    </dxf>
    <dxf>
      <font>
        <b/>
        <i val="0"/>
        <condense val="0"/>
        <extend val="0"/>
        <color indexed="10"/>
      </font>
      <fill>
        <patternFill>
          <bgColor indexed="26"/>
        </patternFill>
      </fill>
    </dxf>
    <dxf>
      <font>
        <b/>
        <i val="0"/>
        <condense val="0"/>
        <extend val="0"/>
        <color indexed="10"/>
      </font>
      <fill>
        <patternFill>
          <bgColor indexed="26"/>
        </patternFill>
      </fill>
    </dxf>
    <dxf>
      <font>
        <b/>
        <i val="0"/>
        <condense val="0"/>
        <extend val="0"/>
        <color indexed="10"/>
      </font>
      <fill>
        <patternFill>
          <bgColor indexed="26"/>
        </patternFill>
      </fill>
    </dxf>
    <dxf>
      <font>
        <b/>
        <i val="0"/>
        <condense val="0"/>
        <extend val="0"/>
        <color indexed="10"/>
      </font>
      <fill>
        <patternFill>
          <bgColor indexed="26"/>
        </patternFill>
      </fill>
    </dxf>
    <dxf>
      <font>
        <b/>
        <i val="0"/>
        <condense val="0"/>
        <extend val="0"/>
        <color indexed="10"/>
      </font>
      <fill>
        <patternFill>
          <bgColor indexed="26"/>
        </patternFill>
      </fill>
    </dxf>
    <dxf>
      <font>
        <b/>
        <i val="0"/>
        <condense val="0"/>
        <extend val="0"/>
        <color indexed="10"/>
      </font>
      <fill>
        <patternFill>
          <bgColor indexed="26"/>
        </patternFill>
      </fill>
    </dxf>
    <dxf>
      <font>
        <b/>
        <i val="0"/>
        <condense val="0"/>
        <extend val="0"/>
        <color indexed="10"/>
      </font>
      <fill>
        <patternFill>
          <bgColor indexed="26"/>
        </patternFill>
      </fill>
    </dxf>
    <dxf>
      <font>
        <b/>
        <i val="0"/>
        <condense val="0"/>
        <extend val="0"/>
        <color indexed="10"/>
      </font>
      <fill>
        <patternFill>
          <bgColor indexed="26"/>
        </patternFill>
      </fill>
    </dxf>
    <dxf>
      <font>
        <b/>
        <i val="0"/>
        <condense val="0"/>
        <extend val="0"/>
        <color indexed="10"/>
      </font>
      <fill>
        <patternFill>
          <bgColor indexed="26"/>
        </patternFill>
      </fill>
    </dxf>
    <dxf>
      <font>
        <b/>
        <i val="0"/>
        <condense val="0"/>
        <extend val="0"/>
        <color indexed="10"/>
      </font>
      <fill>
        <patternFill>
          <bgColor indexed="26"/>
        </patternFill>
      </fill>
    </dxf>
    <dxf>
      <font>
        <b/>
        <i val="0"/>
        <condense val="0"/>
        <extend val="0"/>
        <color indexed="10"/>
      </font>
      <fill>
        <patternFill>
          <bgColor indexed="26"/>
        </patternFill>
      </fill>
    </dxf>
    <dxf>
      <font>
        <b/>
        <i val="0"/>
        <condense val="0"/>
        <extend val="0"/>
        <color indexed="10"/>
      </font>
      <fill>
        <patternFill>
          <bgColor indexed="26"/>
        </patternFill>
      </fill>
    </dxf>
    <dxf>
      <font>
        <b/>
        <i val="0"/>
        <condense val="0"/>
        <extend val="0"/>
        <color indexed="10"/>
      </font>
      <fill>
        <patternFill>
          <bgColor indexed="26"/>
        </patternFill>
      </fill>
    </dxf>
    <dxf>
      <font>
        <b/>
        <i val="0"/>
        <condense val="0"/>
        <extend val="0"/>
        <color indexed="10"/>
      </font>
      <fill>
        <patternFill>
          <bgColor indexed="26"/>
        </patternFill>
      </fill>
    </dxf>
    <dxf>
      <font>
        <b/>
        <i val="0"/>
        <condense val="0"/>
        <extend val="0"/>
        <color indexed="10"/>
      </font>
      <fill>
        <patternFill>
          <bgColor indexed="26"/>
        </patternFill>
      </fill>
    </dxf>
    <dxf>
      <font>
        <b/>
        <i val="0"/>
        <condense val="0"/>
        <extend val="0"/>
        <color indexed="10"/>
      </font>
      <fill>
        <patternFill>
          <bgColor indexed="26"/>
        </patternFill>
      </fill>
    </dxf>
    <dxf>
      <font>
        <b/>
        <i val="0"/>
        <condense val="0"/>
        <extend val="0"/>
        <color indexed="10"/>
      </font>
      <fill>
        <patternFill>
          <bgColor indexed="26"/>
        </patternFill>
      </fill>
    </dxf>
    <dxf>
      <font>
        <b/>
        <i val="0"/>
        <condense val="0"/>
        <extend val="0"/>
        <color indexed="10"/>
      </font>
      <fill>
        <patternFill>
          <bgColor indexed="26"/>
        </patternFill>
      </fill>
    </dxf>
    <dxf>
      <font>
        <b/>
        <i val="0"/>
        <condense val="0"/>
        <extend val="0"/>
        <color indexed="10"/>
      </font>
      <fill>
        <patternFill>
          <bgColor indexed="26"/>
        </patternFill>
      </fill>
    </dxf>
    <dxf>
      <font>
        <b/>
        <i val="0"/>
        <condense val="0"/>
        <extend val="0"/>
        <color indexed="10"/>
      </font>
      <fill>
        <patternFill>
          <bgColor indexed="26"/>
        </patternFill>
      </fill>
    </dxf>
    <dxf>
      <font>
        <b/>
        <i val="0"/>
        <condense val="0"/>
        <extend val="0"/>
        <color indexed="10"/>
      </font>
      <fill>
        <patternFill>
          <bgColor indexed="26"/>
        </patternFill>
      </fill>
    </dxf>
    <dxf>
      <font>
        <b/>
        <i val="0"/>
        <condense val="0"/>
        <extend val="0"/>
        <color indexed="10"/>
      </font>
      <fill>
        <patternFill>
          <bgColor indexed="26"/>
        </patternFill>
      </fill>
    </dxf>
    <dxf>
      <font>
        <b/>
        <i val="0"/>
        <condense val="0"/>
        <extend val="0"/>
        <color indexed="10"/>
      </font>
      <fill>
        <patternFill>
          <bgColor indexed="26"/>
        </patternFill>
      </fill>
    </dxf>
    <dxf>
      <font>
        <b/>
        <i val="0"/>
        <condense val="0"/>
        <extend val="0"/>
        <color indexed="10"/>
      </font>
      <fill>
        <patternFill>
          <bgColor indexed="26"/>
        </patternFill>
      </fill>
    </dxf>
    <dxf>
      <font>
        <b/>
        <i val="0"/>
        <condense val="0"/>
        <extend val="0"/>
        <color indexed="10"/>
      </font>
      <fill>
        <patternFill>
          <bgColor indexed="26"/>
        </patternFill>
      </fill>
    </dxf>
    <dxf>
      <font>
        <b/>
        <i val="0"/>
        <condense val="0"/>
        <extend val="0"/>
        <color indexed="10"/>
      </font>
      <fill>
        <patternFill>
          <bgColor indexed="26"/>
        </patternFill>
      </fill>
    </dxf>
    <dxf>
      <font>
        <b/>
        <i val="0"/>
        <condense val="0"/>
        <extend val="0"/>
        <color indexed="10"/>
      </font>
      <fill>
        <patternFill>
          <bgColor indexed="26"/>
        </patternFill>
      </fill>
    </dxf>
    <dxf>
      <font>
        <b/>
        <i val="0"/>
        <condense val="0"/>
        <extend val="0"/>
        <color indexed="10"/>
      </font>
      <fill>
        <patternFill>
          <bgColor indexed="26"/>
        </patternFill>
      </fill>
    </dxf>
    <dxf>
      <font>
        <b/>
        <i val="0"/>
        <condense val="0"/>
        <extend val="0"/>
        <color indexed="10"/>
      </font>
      <fill>
        <patternFill>
          <bgColor indexed="26"/>
        </patternFill>
      </fill>
    </dxf>
    <dxf>
      <font>
        <b/>
        <i val="0"/>
        <condense val="0"/>
        <extend val="0"/>
        <color indexed="10"/>
      </font>
      <fill>
        <patternFill>
          <bgColor indexed="26"/>
        </patternFill>
      </fill>
    </dxf>
    <dxf>
      <font>
        <b/>
        <i val="0"/>
        <condense val="0"/>
        <extend val="0"/>
        <color indexed="10"/>
      </font>
      <fill>
        <patternFill>
          <bgColor indexed="26"/>
        </patternFill>
      </fill>
    </dxf>
    <dxf>
      <font>
        <b/>
        <i val="0"/>
        <condense val="0"/>
        <extend val="0"/>
        <color indexed="10"/>
      </font>
      <fill>
        <patternFill>
          <bgColor indexed="26"/>
        </patternFill>
      </fill>
    </dxf>
    <dxf>
      <font>
        <b/>
        <i val="0"/>
        <condense val="0"/>
        <extend val="0"/>
        <color indexed="10"/>
      </font>
      <fill>
        <patternFill>
          <bgColor indexed="26"/>
        </patternFill>
      </fill>
    </dxf>
    <dxf>
      <font>
        <b/>
        <i val="0"/>
        <condense val="0"/>
        <extend val="0"/>
        <color indexed="10"/>
      </font>
      <fill>
        <patternFill>
          <bgColor indexed="26"/>
        </patternFill>
      </fill>
    </dxf>
    <dxf>
      <font>
        <b/>
        <i val="0"/>
        <condense val="0"/>
        <extend val="0"/>
        <color indexed="10"/>
      </font>
      <fill>
        <patternFill>
          <bgColor indexed="26"/>
        </patternFill>
      </fill>
    </dxf>
    <dxf>
      <font>
        <b/>
        <i val="0"/>
        <condense val="0"/>
        <extend val="0"/>
        <color indexed="10"/>
      </font>
      <fill>
        <patternFill>
          <bgColor indexed="26"/>
        </patternFill>
      </fill>
    </dxf>
    <dxf>
      <font>
        <b/>
        <i val="0"/>
        <condense val="0"/>
        <extend val="0"/>
        <color indexed="10"/>
      </font>
      <fill>
        <patternFill>
          <bgColor indexed="26"/>
        </patternFill>
      </fill>
    </dxf>
    <dxf>
      <font>
        <b/>
        <i val="0"/>
        <condense val="0"/>
        <extend val="0"/>
        <color indexed="10"/>
      </font>
      <fill>
        <patternFill>
          <bgColor indexed="26"/>
        </patternFill>
      </fill>
    </dxf>
    <dxf>
      <font>
        <b/>
        <i val="0"/>
        <condense val="0"/>
        <extend val="0"/>
        <color indexed="10"/>
      </font>
      <fill>
        <patternFill>
          <bgColor indexed="26"/>
        </patternFill>
      </fill>
    </dxf>
    <dxf>
      <font>
        <b/>
        <i val="0"/>
        <condense val="0"/>
        <extend val="0"/>
        <color indexed="10"/>
      </font>
      <fill>
        <patternFill>
          <bgColor indexed="26"/>
        </patternFill>
      </fill>
    </dxf>
    <dxf>
      <font>
        <b/>
        <i val="0"/>
        <condense val="0"/>
        <extend val="0"/>
        <color indexed="10"/>
      </font>
      <fill>
        <patternFill>
          <bgColor indexed="26"/>
        </patternFill>
      </fill>
    </dxf>
    <dxf>
      <font>
        <b/>
        <i val="0"/>
        <condense val="0"/>
        <extend val="0"/>
        <color indexed="10"/>
      </font>
      <fill>
        <patternFill>
          <bgColor indexed="26"/>
        </patternFill>
      </fill>
    </dxf>
    <dxf>
      <font>
        <b/>
        <i val="0"/>
        <condense val="0"/>
        <extend val="0"/>
        <color indexed="10"/>
      </font>
      <fill>
        <patternFill>
          <bgColor indexed="26"/>
        </patternFill>
      </fill>
    </dxf>
    <dxf>
      <font>
        <b/>
        <i val="0"/>
        <condense val="0"/>
        <extend val="0"/>
        <color indexed="10"/>
      </font>
      <fill>
        <patternFill>
          <bgColor indexed="26"/>
        </patternFill>
      </fill>
    </dxf>
    <dxf>
      <font>
        <b/>
        <i val="0"/>
        <condense val="0"/>
        <extend val="0"/>
        <color indexed="10"/>
      </font>
      <fill>
        <patternFill>
          <bgColor indexed="26"/>
        </patternFill>
      </fill>
    </dxf>
    <dxf>
      <font>
        <b/>
        <i val="0"/>
        <condense val="0"/>
        <extend val="0"/>
        <color indexed="10"/>
      </font>
      <fill>
        <patternFill>
          <bgColor indexed="26"/>
        </patternFill>
      </fill>
    </dxf>
    <dxf>
      <font>
        <b/>
        <i val="0"/>
        <condense val="0"/>
        <extend val="0"/>
        <color indexed="10"/>
      </font>
      <fill>
        <patternFill>
          <bgColor indexed="26"/>
        </patternFill>
      </fill>
    </dxf>
    <dxf>
      <font>
        <b/>
        <i val="0"/>
        <condense val="0"/>
        <extend val="0"/>
        <color indexed="10"/>
      </font>
      <fill>
        <patternFill>
          <bgColor indexed="26"/>
        </patternFill>
      </fill>
    </dxf>
    <dxf>
      <font>
        <b/>
        <i val="0"/>
        <condense val="0"/>
        <extend val="0"/>
        <color indexed="10"/>
      </font>
      <fill>
        <patternFill>
          <bgColor indexed="26"/>
        </patternFill>
      </fill>
    </dxf>
    <dxf>
      <font>
        <b/>
        <i val="0"/>
        <condense val="0"/>
        <extend val="0"/>
        <color indexed="10"/>
      </font>
      <fill>
        <patternFill>
          <bgColor indexed="26"/>
        </patternFill>
      </fill>
    </dxf>
    <dxf>
      <font>
        <b/>
        <i val="0"/>
        <condense val="0"/>
        <extend val="0"/>
        <color indexed="10"/>
      </font>
      <fill>
        <patternFill>
          <bgColor indexed="26"/>
        </patternFill>
      </fill>
    </dxf>
    <dxf>
      <font>
        <b/>
        <i val="0"/>
        <condense val="0"/>
        <extend val="0"/>
        <color indexed="10"/>
      </font>
      <fill>
        <patternFill>
          <bgColor indexed="26"/>
        </patternFill>
      </fill>
    </dxf>
    <dxf>
      <font>
        <b/>
        <i val="0"/>
        <condense val="0"/>
        <extend val="0"/>
        <color indexed="10"/>
      </font>
      <fill>
        <patternFill>
          <bgColor indexed="26"/>
        </patternFill>
      </fill>
    </dxf>
    <dxf>
      <font>
        <b/>
        <i val="0"/>
        <condense val="0"/>
        <extend val="0"/>
        <color indexed="10"/>
      </font>
      <fill>
        <patternFill>
          <bgColor indexed="26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filterMode="1"/>
  <dimension ref="A1:U98"/>
  <sheetViews>
    <sheetView zoomScale="88" zoomScaleNormal="88" workbookViewId="0">
      <selection activeCell="B97" sqref="B97"/>
    </sheetView>
  </sheetViews>
  <sheetFormatPr defaultRowHeight="14.25"/>
  <cols>
    <col min="1" max="2" width="13" customWidth="1"/>
    <col min="3" max="3" width="6.42578125" style="1" bestFit="1" customWidth="1"/>
    <col min="4" max="4" width="4.7109375" hidden="1" customWidth="1"/>
    <col min="5" max="5" width="6.7109375" hidden="1" customWidth="1"/>
    <col min="6" max="6" width="7.5703125" hidden="1" customWidth="1"/>
    <col min="7" max="7" width="6.140625" hidden="1" customWidth="1"/>
    <col min="8" max="8" width="7" hidden="1" customWidth="1"/>
    <col min="9" max="9" width="5.42578125" hidden="1" customWidth="1"/>
    <col min="10" max="10" width="3.28515625" hidden="1" customWidth="1"/>
    <col min="11" max="11" width="3.85546875" hidden="1" customWidth="1"/>
    <col min="12" max="12" width="44.42578125" customWidth="1"/>
    <col min="13" max="13" width="11.85546875" style="1" customWidth="1"/>
    <col min="14" max="14" width="10.7109375" style="1" bestFit="1" customWidth="1"/>
    <col min="15" max="15" width="10.7109375" style="33" customWidth="1"/>
    <col min="16" max="16" width="35.28515625" style="5" customWidth="1"/>
    <col min="17" max="17" width="16.42578125" bestFit="1" customWidth="1"/>
    <col min="18" max="18" width="19" bestFit="1" customWidth="1"/>
    <col min="19" max="19" width="21.7109375" bestFit="1" customWidth="1"/>
    <col min="20" max="21" width="10.42578125" bestFit="1" customWidth="1"/>
  </cols>
  <sheetData>
    <row r="1" spans="1:20">
      <c r="A1" t="s">
        <v>64</v>
      </c>
      <c r="O1" s="33" t="s">
        <v>249</v>
      </c>
      <c r="R1" t="s">
        <v>238</v>
      </c>
    </row>
    <row r="2" spans="1:20">
      <c r="A2" t="s">
        <v>65</v>
      </c>
      <c r="O2" s="33" t="s">
        <v>250</v>
      </c>
      <c r="R2" t="s">
        <v>259</v>
      </c>
    </row>
    <row r="3" spans="1:20">
      <c r="A3" t="s">
        <v>266</v>
      </c>
    </row>
    <row r="4" spans="1:20" ht="15" thickBot="1"/>
    <row r="5" spans="1:20" ht="15" thickBot="1">
      <c r="D5" s="25" t="s">
        <v>198</v>
      </c>
      <c r="E5" s="10"/>
      <c r="F5" s="10"/>
      <c r="G5" s="10"/>
      <c r="H5" s="10"/>
      <c r="I5" s="10"/>
      <c r="J5" s="10"/>
      <c r="K5" s="10"/>
      <c r="Q5" s="40" t="s">
        <v>247</v>
      </c>
      <c r="R5" s="41"/>
      <c r="S5" s="41"/>
      <c r="T5" s="42"/>
    </row>
    <row r="6" spans="1:20" s="3" customFormat="1">
      <c r="A6" s="24" t="s">
        <v>144</v>
      </c>
      <c r="B6" s="24" t="s">
        <v>220</v>
      </c>
      <c r="C6" s="30" t="s">
        <v>221</v>
      </c>
      <c r="D6" s="3" t="s">
        <v>7</v>
      </c>
      <c r="E6" s="3" t="s">
        <v>145</v>
      </c>
      <c r="F6" s="3" t="s">
        <v>148</v>
      </c>
      <c r="G6" s="3" t="s">
        <v>146</v>
      </c>
      <c r="H6" s="3" t="s">
        <v>147</v>
      </c>
      <c r="I6" s="3" t="s">
        <v>12</v>
      </c>
      <c r="J6" s="3" t="s">
        <v>6</v>
      </c>
      <c r="K6" s="3" t="s">
        <v>51</v>
      </c>
      <c r="L6" s="3" t="s">
        <v>53</v>
      </c>
      <c r="M6" s="3" t="s">
        <v>171</v>
      </c>
      <c r="N6" s="3" t="s">
        <v>170</v>
      </c>
      <c r="O6" s="34" t="s">
        <v>248</v>
      </c>
      <c r="P6" s="4" t="s">
        <v>172</v>
      </c>
      <c r="Q6" s="3" t="s">
        <v>108</v>
      </c>
      <c r="R6" s="3" t="s">
        <v>188</v>
      </c>
      <c r="S6" s="3" t="s">
        <v>189</v>
      </c>
      <c r="T6" s="3" t="s">
        <v>251</v>
      </c>
    </row>
    <row r="7" spans="1:20" hidden="1">
      <c r="A7" s="8" t="s">
        <v>197</v>
      </c>
      <c r="B7" s="8"/>
      <c r="C7" s="31"/>
      <c r="O7" s="1"/>
    </row>
    <row r="8" spans="1:20">
      <c r="A8" t="s">
        <v>157</v>
      </c>
      <c r="B8" t="s">
        <v>217</v>
      </c>
      <c r="C8" s="1" t="s">
        <v>222</v>
      </c>
      <c r="D8" s="1"/>
      <c r="F8" s="1" t="s">
        <v>149</v>
      </c>
      <c r="G8" s="1"/>
      <c r="H8" s="1" t="s">
        <v>149</v>
      </c>
      <c r="I8" s="1" t="s">
        <v>149</v>
      </c>
      <c r="J8" s="1"/>
      <c r="K8" s="1"/>
      <c r="L8" t="s">
        <v>158</v>
      </c>
      <c r="M8" s="1">
        <v>2005</v>
      </c>
    </row>
    <row r="9" spans="1:20">
      <c r="A9" t="s">
        <v>153</v>
      </c>
      <c r="B9" t="s">
        <v>225</v>
      </c>
      <c r="C9" s="1" t="s">
        <v>222</v>
      </c>
      <c r="D9" s="1"/>
      <c r="E9" s="1"/>
      <c r="F9" s="1" t="s">
        <v>149</v>
      </c>
      <c r="G9" s="1"/>
      <c r="H9" s="1"/>
      <c r="I9" s="1"/>
      <c r="J9" s="1"/>
      <c r="K9" s="1"/>
      <c r="L9" t="s">
        <v>59</v>
      </c>
      <c r="M9" s="1">
        <v>2005</v>
      </c>
    </row>
    <row r="10" spans="1:20" hidden="1">
      <c r="A10" t="s">
        <v>177</v>
      </c>
      <c r="B10" t="s">
        <v>218</v>
      </c>
      <c r="C10" s="1" t="s">
        <v>222</v>
      </c>
      <c r="D10" s="1" t="s">
        <v>149</v>
      </c>
      <c r="E10" s="1" t="s">
        <v>149</v>
      </c>
      <c r="F10" s="1"/>
      <c r="G10" s="1"/>
      <c r="H10" s="1"/>
      <c r="I10" s="1" t="s">
        <v>149</v>
      </c>
      <c r="J10" s="1"/>
      <c r="K10" s="1"/>
      <c r="L10" t="s">
        <v>159</v>
      </c>
      <c r="M10" s="1">
        <v>2005</v>
      </c>
      <c r="O10" s="1"/>
    </row>
    <row r="11" spans="1:20" hidden="1">
      <c r="A11" t="s">
        <v>177</v>
      </c>
      <c r="B11" t="s">
        <v>219</v>
      </c>
      <c r="C11" s="1" t="s">
        <v>222</v>
      </c>
      <c r="D11" s="1"/>
      <c r="E11" s="1" t="s">
        <v>149</v>
      </c>
      <c r="F11" s="1"/>
      <c r="G11" s="1"/>
      <c r="H11" s="1"/>
      <c r="I11" s="1" t="s">
        <v>149</v>
      </c>
      <c r="J11" s="1"/>
      <c r="K11" s="1"/>
      <c r="L11" t="s">
        <v>55</v>
      </c>
      <c r="M11" s="1">
        <v>2005</v>
      </c>
      <c r="O11" s="1"/>
    </row>
    <row r="12" spans="1:20">
      <c r="A12" t="s">
        <v>177</v>
      </c>
      <c r="B12" t="s">
        <v>226</v>
      </c>
      <c r="C12" s="1" t="s">
        <v>222</v>
      </c>
      <c r="D12" s="1"/>
      <c r="E12" s="1"/>
      <c r="F12" s="1"/>
      <c r="G12" s="1"/>
      <c r="H12" s="1" t="s">
        <v>149</v>
      </c>
      <c r="I12" s="1"/>
      <c r="J12" s="1"/>
      <c r="K12" s="1"/>
      <c r="L12" t="s">
        <v>59</v>
      </c>
      <c r="M12" s="1">
        <v>2005</v>
      </c>
    </row>
    <row r="13" spans="1:20">
      <c r="A13" t="s">
        <v>155</v>
      </c>
      <c r="B13" t="s">
        <v>225</v>
      </c>
      <c r="C13" s="1" t="s">
        <v>222</v>
      </c>
      <c r="D13" s="1"/>
      <c r="E13" s="1"/>
      <c r="F13" s="1" t="s">
        <v>149</v>
      </c>
      <c r="G13" s="1"/>
      <c r="H13" s="1" t="s">
        <v>149</v>
      </c>
      <c r="I13" s="1"/>
      <c r="J13" s="1"/>
      <c r="K13" s="1"/>
      <c r="L13" t="s">
        <v>58</v>
      </c>
      <c r="M13" s="1">
        <v>2005</v>
      </c>
      <c r="Q13" t="s">
        <v>109</v>
      </c>
      <c r="R13" t="s">
        <v>260</v>
      </c>
      <c r="T13">
        <v>3871</v>
      </c>
    </row>
    <row r="14" spans="1:20">
      <c r="A14" t="s">
        <v>155</v>
      </c>
      <c r="B14" t="s">
        <v>226</v>
      </c>
      <c r="C14" s="1" t="s">
        <v>222</v>
      </c>
      <c r="D14" s="1"/>
      <c r="E14" s="1"/>
      <c r="F14" s="1"/>
      <c r="G14" s="1"/>
      <c r="H14" s="1"/>
      <c r="I14" s="1"/>
      <c r="J14" s="1"/>
      <c r="K14" s="1"/>
      <c r="L14" t="s">
        <v>258</v>
      </c>
      <c r="M14" s="1" t="s">
        <v>257</v>
      </c>
      <c r="O14" s="33">
        <v>0</v>
      </c>
      <c r="P14" s="21"/>
      <c r="Q14" t="s">
        <v>109</v>
      </c>
      <c r="R14" t="s">
        <v>264</v>
      </c>
      <c r="S14" t="s">
        <v>123</v>
      </c>
      <c r="T14" s="22">
        <v>940</v>
      </c>
    </row>
    <row r="15" spans="1:20">
      <c r="A15" t="s">
        <v>155</v>
      </c>
      <c r="B15" t="s">
        <v>226</v>
      </c>
      <c r="C15" s="1" t="s">
        <v>222</v>
      </c>
      <c r="D15" s="1"/>
      <c r="E15" s="1"/>
      <c r="F15" s="1"/>
      <c r="H15" s="1" t="s">
        <v>149</v>
      </c>
      <c r="I15" s="1"/>
      <c r="J15" s="1"/>
      <c r="K15" s="1"/>
      <c r="L15" t="s">
        <v>246</v>
      </c>
      <c r="M15" s="1">
        <v>2005</v>
      </c>
      <c r="O15" s="33">
        <v>0</v>
      </c>
      <c r="P15" s="21" t="s">
        <v>239</v>
      </c>
      <c r="Q15" t="s">
        <v>237</v>
      </c>
      <c r="R15" t="s">
        <v>264</v>
      </c>
      <c r="S15" t="s">
        <v>123</v>
      </c>
      <c r="T15" s="22">
        <v>4140</v>
      </c>
    </row>
    <row r="16" spans="1:20" hidden="1">
      <c r="A16" t="s">
        <v>236</v>
      </c>
      <c r="D16" s="1"/>
      <c r="E16" s="1"/>
      <c r="F16" s="1"/>
      <c r="G16" s="1"/>
      <c r="H16" s="1"/>
      <c r="I16" s="1"/>
      <c r="J16" s="1"/>
      <c r="K16" s="1"/>
      <c r="O16" s="1"/>
    </row>
    <row r="17" spans="1:21" hidden="1">
      <c r="A17" s="8" t="s">
        <v>183</v>
      </c>
      <c r="B17" s="8"/>
      <c r="C17" s="31"/>
      <c r="D17" s="1"/>
      <c r="E17" s="1"/>
      <c r="F17" s="1"/>
      <c r="G17" s="1"/>
      <c r="H17" s="1"/>
      <c r="I17" s="1"/>
      <c r="J17" s="1"/>
      <c r="K17" s="1"/>
      <c r="O17" s="1"/>
    </row>
    <row r="18" spans="1:21" hidden="1">
      <c r="A18" t="s">
        <v>153</v>
      </c>
      <c r="B18" t="s">
        <v>51</v>
      </c>
      <c r="C18" s="1" t="s">
        <v>223</v>
      </c>
      <c r="D18" s="1"/>
      <c r="E18" s="1"/>
      <c r="F18" s="1"/>
      <c r="G18" s="1"/>
      <c r="H18" s="1"/>
      <c r="I18" s="1"/>
      <c r="J18" s="1"/>
      <c r="K18" s="1" t="s">
        <v>150</v>
      </c>
      <c r="L18" t="s">
        <v>192</v>
      </c>
      <c r="M18" s="26" t="s">
        <v>185</v>
      </c>
      <c r="O18" s="1"/>
      <c r="T18" s="22"/>
    </row>
    <row r="19" spans="1:21" hidden="1">
      <c r="A19" t="s">
        <v>177</v>
      </c>
      <c r="B19" t="s">
        <v>51</v>
      </c>
      <c r="C19" s="1" t="s">
        <v>223</v>
      </c>
      <c r="D19" s="1"/>
      <c r="E19" s="1"/>
      <c r="F19" s="1"/>
      <c r="G19" s="1"/>
      <c r="H19" s="1"/>
      <c r="I19" s="1"/>
      <c r="J19" s="1"/>
      <c r="K19" s="1" t="s">
        <v>150</v>
      </c>
      <c r="L19" t="s">
        <v>192</v>
      </c>
      <c r="M19" s="26" t="s">
        <v>185</v>
      </c>
      <c r="O19" s="1"/>
      <c r="T19" s="22"/>
    </row>
    <row r="20" spans="1:21">
      <c r="A20" t="s">
        <v>155</v>
      </c>
      <c r="B20" t="s">
        <v>226</v>
      </c>
      <c r="C20" s="1" t="s">
        <v>222</v>
      </c>
      <c r="D20" s="1"/>
      <c r="E20" s="1"/>
      <c r="F20" s="1"/>
      <c r="H20" s="1" t="s">
        <v>149</v>
      </c>
      <c r="I20" s="1"/>
      <c r="J20" s="1"/>
      <c r="K20" s="1"/>
      <c r="L20" t="s">
        <v>242</v>
      </c>
      <c r="M20" s="1">
        <v>2005</v>
      </c>
      <c r="O20" s="33">
        <v>0</v>
      </c>
      <c r="P20" s="21" t="s">
        <v>243</v>
      </c>
      <c r="Q20" t="s">
        <v>237</v>
      </c>
      <c r="R20" t="s">
        <v>118</v>
      </c>
      <c r="S20" t="s">
        <v>122</v>
      </c>
      <c r="T20" s="22">
        <v>3790</v>
      </c>
    </row>
    <row r="21" spans="1:21">
      <c r="A21" t="s">
        <v>155</v>
      </c>
      <c r="B21" t="s">
        <v>226</v>
      </c>
      <c r="C21" s="1" t="s">
        <v>222</v>
      </c>
      <c r="D21" s="1"/>
      <c r="E21" s="1"/>
      <c r="F21" s="1"/>
      <c r="H21" s="1" t="s">
        <v>149</v>
      </c>
      <c r="I21" s="1"/>
      <c r="J21" s="1"/>
      <c r="K21" s="1"/>
      <c r="L21" t="s">
        <v>240</v>
      </c>
      <c r="M21" s="1">
        <v>2005</v>
      </c>
      <c r="O21" s="33">
        <v>0</v>
      </c>
      <c r="P21" s="21" t="s">
        <v>241</v>
      </c>
      <c r="Q21" t="s">
        <v>237</v>
      </c>
      <c r="R21" t="s">
        <v>118</v>
      </c>
      <c r="S21" t="s">
        <v>122</v>
      </c>
      <c r="T21" s="22">
        <v>5500</v>
      </c>
    </row>
    <row r="22" spans="1:21" hidden="1">
      <c r="A22" t="s">
        <v>155</v>
      </c>
      <c r="B22" t="s">
        <v>227</v>
      </c>
      <c r="C22" s="1" t="s">
        <v>222</v>
      </c>
      <c r="D22" s="1"/>
      <c r="F22" s="1" t="s">
        <v>149</v>
      </c>
      <c r="G22" s="1"/>
      <c r="H22" s="1"/>
      <c r="I22" s="1"/>
      <c r="J22" s="1"/>
      <c r="K22" s="1"/>
      <c r="L22" t="s">
        <v>104</v>
      </c>
      <c r="M22" s="26">
        <v>39083</v>
      </c>
      <c r="O22" s="1"/>
      <c r="P22" s="21" t="s">
        <v>187</v>
      </c>
      <c r="Q22" t="s">
        <v>110</v>
      </c>
      <c r="R22" t="s">
        <v>118</v>
      </c>
      <c r="S22" t="s">
        <v>121</v>
      </c>
      <c r="T22" s="22">
        <v>3740</v>
      </c>
      <c r="U22" s="22"/>
    </row>
    <row r="23" spans="1:21" hidden="1">
      <c r="A23" t="s">
        <v>155</v>
      </c>
      <c r="B23" t="s">
        <v>227</v>
      </c>
      <c r="C23" s="1" t="s">
        <v>222</v>
      </c>
      <c r="D23" s="1"/>
      <c r="F23" s="1" t="s">
        <v>149</v>
      </c>
      <c r="G23" s="1"/>
      <c r="H23" s="1"/>
      <c r="I23" s="1"/>
      <c r="J23" s="1"/>
      <c r="K23" s="1"/>
      <c r="L23" t="s">
        <v>105</v>
      </c>
      <c r="M23" s="1">
        <v>2005</v>
      </c>
      <c r="O23" s="1"/>
      <c r="P23" s="21" t="s">
        <v>106</v>
      </c>
      <c r="Q23" t="s">
        <v>110</v>
      </c>
      <c r="R23" t="s">
        <v>124</v>
      </c>
      <c r="S23" t="s">
        <v>120</v>
      </c>
      <c r="T23" s="22">
        <v>2201</v>
      </c>
      <c r="U23" s="22"/>
    </row>
    <row r="24" spans="1:21" hidden="1">
      <c r="A24" t="s">
        <v>155</v>
      </c>
      <c r="B24" t="s">
        <v>227</v>
      </c>
      <c r="C24" s="1" t="s">
        <v>222</v>
      </c>
      <c r="D24" s="1"/>
      <c r="F24" s="1" t="s">
        <v>149</v>
      </c>
      <c r="G24" s="1"/>
      <c r="H24" s="1"/>
      <c r="I24" s="1"/>
      <c r="J24" s="1"/>
      <c r="K24" s="1"/>
      <c r="L24" t="s">
        <v>107</v>
      </c>
      <c r="M24" s="1">
        <v>2006</v>
      </c>
      <c r="N24" s="1" t="s">
        <v>111</v>
      </c>
      <c r="O24" s="1"/>
      <c r="P24" s="21" t="s">
        <v>112</v>
      </c>
      <c r="Q24" t="s">
        <v>110</v>
      </c>
      <c r="R24" t="s">
        <v>118</v>
      </c>
      <c r="S24" t="s">
        <v>121</v>
      </c>
      <c r="T24" s="22">
        <v>4983</v>
      </c>
      <c r="U24" s="22"/>
    </row>
    <row r="25" spans="1:21">
      <c r="A25" t="s">
        <v>155</v>
      </c>
      <c r="B25" t="s">
        <v>11</v>
      </c>
      <c r="C25" s="1" t="s">
        <v>222</v>
      </c>
      <c r="D25" s="1"/>
      <c r="E25" s="1"/>
      <c r="F25" s="1"/>
      <c r="G25" s="1" t="s">
        <v>149</v>
      </c>
      <c r="H25" s="1"/>
      <c r="I25" s="1"/>
      <c r="J25" s="1"/>
      <c r="K25" s="1"/>
      <c r="L25" t="s">
        <v>244</v>
      </c>
      <c r="M25" s="1">
        <v>2007</v>
      </c>
      <c r="O25" s="33">
        <v>0.1</v>
      </c>
      <c r="P25" s="5" t="s">
        <v>245</v>
      </c>
      <c r="Q25" t="s">
        <v>237</v>
      </c>
      <c r="R25" t="s">
        <v>118</v>
      </c>
      <c r="S25" t="s">
        <v>122</v>
      </c>
      <c r="T25" s="22">
        <v>2690</v>
      </c>
    </row>
    <row r="26" spans="1:21" hidden="1">
      <c r="A26" t="s">
        <v>155</v>
      </c>
      <c r="B26" t="s">
        <v>9</v>
      </c>
      <c r="C26" s="1" t="s">
        <v>222</v>
      </c>
      <c r="D26" s="1"/>
      <c r="E26" s="1" t="s">
        <v>149</v>
      </c>
      <c r="F26" s="1"/>
      <c r="G26" s="1"/>
      <c r="H26" s="1"/>
      <c r="I26" s="1"/>
      <c r="J26" s="1"/>
      <c r="K26" s="1"/>
      <c r="L26" t="s">
        <v>115</v>
      </c>
      <c r="M26" s="26" t="s">
        <v>184</v>
      </c>
      <c r="O26" s="1"/>
      <c r="Q26" t="s">
        <v>113</v>
      </c>
      <c r="R26" t="s">
        <v>124</v>
      </c>
      <c r="S26" t="s">
        <v>120</v>
      </c>
      <c r="T26" s="22">
        <v>1472</v>
      </c>
      <c r="U26" s="22"/>
    </row>
    <row r="27" spans="1:21" hidden="1">
      <c r="A27" t="s">
        <v>155</v>
      </c>
      <c r="B27" t="s">
        <v>9</v>
      </c>
      <c r="C27" s="1" t="s">
        <v>222</v>
      </c>
      <c r="D27" s="1"/>
      <c r="E27" s="1" t="s">
        <v>149</v>
      </c>
      <c r="F27" s="1"/>
      <c r="G27" s="1"/>
      <c r="H27" s="1"/>
      <c r="I27" s="1"/>
      <c r="J27" s="1"/>
      <c r="K27" s="1"/>
      <c r="L27" t="s">
        <v>114</v>
      </c>
      <c r="M27" s="26" t="s">
        <v>184</v>
      </c>
      <c r="O27" s="1"/>
      <c r="Q27" t="s">
        <v>113</v>
      </c>
      <c r="R27" t="s">
        <v>124</v>
      </c>
      <c r="S27" t="s">
        <v>120</v>
      </c>
      <c r="T27" s="22">
        <v>1642.64</v>
      </c>
      <c r="U27" s="22"/>
    </row>
    <row r="28" spans="1:21" hidden="1">
      <c r="A28" t="s">
        <v>155</v>
      </c>
      <c r="B28" t="s">
        <v>9</v>
      </c>
      <c r="C28" s="1" t="s">
        <v>222</v>
      </c>
      <c r="D28" s="1"/>
      <c r="E28" s="1" t="s">
        <v>149</v>
      </c>
      <c r="F28" s="1"/>
      <c r="G28" s="1"/>
      <c r="H28" s="1"/>
      <c r="I28" s="1"/>
      <c r="J28" s="1"/>
      <c r="K28" s="1"/>
      <c r="L28" t="s">
        <v>116</v>
      </c>
      <c r="M28" s="26" t="s">
        <v>184</v>
      </c>
      <c r="O28" s="1"/>
      <c r="Q28" t="s">
        <v>113</v>
      </c>
      <c r="R28" t="s">
        <v>124</v>
      </c>
      <c r="S28" t="s">
        <v>120</v>
      </c>
      <c r="T28" s="22">
        <v>1676</v>
      </c>
      <c r="U28" s="22"/>
    </row>
    <row r="29" spans="1:21" hidden="1">
      <c r="A29" t="s">
        <v>155</v>
      </c>
      <c r="B29" t="s">
        <v>9</v>
      </c>
      <c r="C29" s="1" t="s">
        <v>222</v>
      </c>
      <c r="D29" s="1"/>
      <c r="E29" s="1" t="s">
        <v>149</v>
      </c>
      <c r="F29" s="1"/>
      <c r="G29" s="1"/>
      <c r="H29" s="1"/>
      <c r="I29" s="1"/>
      <c r="J29" s="1"/>
      <c r="K29" s="1"/>
      <c r="L29" t="s">
        <v>130</v>
      </c>
      <c r="M29" s="26">
        <v>39479</v>
      </c>
      <c r="O29" s="1"/>
      <c r="Q29" t="s">
        <v>110</v>
      </c>
      <c r="S29" t="s">
        <v>121</v>
      </c>
      <c r="T29" s="22">
        <v>7118.06</v>
      </c>
      <c r="U29" s="22"/>
    </row>
    <row r="30" spans="1:21" hidden="1">
      <c r="A30" t="s">
        <v>155</v>
      </c>
      <c r="B30" t="s">
        <v>9</v>
      </c>
      <c r="C30" s="1" t="s">
        <v>222</v>
      </c>
      <c r="D30" s="1"/>
      <c r="E30" s="1" t="s">
        <v>149</v>
      </c>
      <c r="F30" s="1"/>
      <c r="G30" s="1"/>
      <c r="H30" s="1"/>
      <c r="I30" s="1"/>
      <c r="J30" s="1"/>
      <c r="K30" s="1"/>
      <c r="L30" t="s">
        <v>129</v>
      </c>
      <c r="M30" s="26">
        <v>39375</v>
      </c>
      <c r="O30" s="1"/>
      <c r="Q30" t="s">
        <v>110</v>
      </c>
      <c r="S30" t="s">
        <v>120</v>
      </c>
      <c r="T30" s="22">
        <v>2201</v>
      </c>
      <c r="U30" s="22"/>
    </row>
    <row r="31" spans="1:21">
      <c r="A31" t="s">
        <v>155</v>
      </c>
      <c r="B31" t="s">
        <v>11</v>
      </c>
      <c r="C31" s="1" t="s">
        <v>222</v>
      </c>
      <c r="D31" s="1"/>
      <c r="E31" s="1"/>
      <c r="F31" s="1"/>
      <c r="G31" s="1" t="s">
        <v>149</v>
      </c>
      <c r="H31" s="1"/>
      <c r="I31" s="1"/>
      <c r="J31" s="1"/>
      <c r="K31" s="1"/>
      <c r="L31" t="s">
        <v>117</v>
      </c>
      <c r="M31" s="1">
        <v>2006</v>
      </c>
      <c r="O31" s="33" t="s">
        <v>255</v>
      </c>
      <c r="Q31" t="s">
        <v>113</v>
      </c>
      <c r="R31" t="s">
        <v>126</v>
      </c>
      <c r="T31" s="35">
        <v>7409</v>
      </c>
    </row>
    <row r="32" spans="1:21">
      <c r="A32" t="s">
        <v>155</v>
      </c>
      <c r="B32" t="s">
        <v>226</v>
      </c>
      <c r="C32" s="1" t="s">
        <v>222</v>
      </c>
      <c r="D32" s="1"/>
      <c r="E32" s="1"/>
      <c r="F32" s="1"/>
      <c r="G32" s="1"/>
      <c r="H32" s="1" t="s">
        <v>149</v>
      </c>
      <c r="I32" s="1"/>
      <c r="J32" s="1"/>
      <c r="K32" s="1"/>
      <c r="L32" t="s">
        <v>252</v>
      </c>
      <c r="M32" s="1">
        <v>2007</v>
      </c>
      <c r="O32" s="33">
        <v>0.1</v>
      </c>
      <c r="P32" s="21" t="s">
        <v>253</v>
      </c>
      <c r="Q32" t="s">
        <v>113</v>
      </c>
      <c r="R32" t="s">
        <v>128</v>
      </c>
      <c r="S32" t="s">
        <v>119</v>
      </c>
      <c r="T32" s="22">
        <v>4200</v>
      </c>
    </row>
    <row r="33" spans="1:20">
      <c r="A33" t="s">
        <v>155</v>
      </c>
      <c r="B33" t="s">
        <v>11</v>
      </c>
      <c r="C33" s="1" t="s">
        <v>222</v>
      </c>
      <c r="D33" s="1"/>
      <c r="E33" s="1"/>
      <c r="F33" s="1"/>
      <c r="G33" s="1" t="s">
        <v>149</v>
      </c>
      <c r="H33" s="1"/>
      <c r="I33" s="1"/>
      <c r="J33" s="1"/>
      <c r="K33" s="1"/>
      <c r="L33" t="s">
        <v>256</v>
      </c>
      <c r="M33" s="26">
        <v>39387</v>
      </c>
      <c r="O33" s="33">
        <v>0.1</v>
      </c>
      <c r="P33" s="5" t="s">
        <v>254</v>
      </c>
      <c r="Q33" t="s">
        <v>113</v>
      </c>
      <c r="R33" t="s">
        <v>127</v>
      </c>
      <c r="S33" t="s">
        <v>121</v>
      </c>
      <c r="T33" s="22">
        <v>3214</v>
      </c>
    </row>
    <row r="34" spans="1:20" hidden="1">
      <c r="A34" t="s">
        <v>236</v>
      </c>
      <c r="D34" s="1"/>
      <c r="E34" s="1"/>
      <c r="F34" s="1"/>
      <c r="G34" s="1"/>
      <c r="H34" s="1"/>
      <c r="I34" s="1"/>
      <c r="J34" s="1"/>
      <c r="K34" s="1"/>
      <c r="M34" s="26"/>
      <c r="O34" s="1"/>
      <c r="T34" s="22"/>
    </row>
    <row r="35" spans="1:20" hidden="1">
      <c r="A35" s="8" t="s">
        <v>169</v>
      </c>
      <c r="B35" s="8"/>
      <c r="C35" s="31"/>
      <c r="D35" s="1"/>
      <c r="E35" s="1"/>
      <c r="F35" s="1"/>
      <c r="G35" s="1"/>
      <c r="H35" s="1"/>
      <c r="I35" s="1"/>
      <c r="J35" s="1"/>
      <c r="K35" s="1"/>
      <c r="O35" s="1"/>
    </row>
    <row r="36" spans="1:20" hidden="1">
      <c r="A36" t="s">
        <v>153</v>
      </c>
      <c r="B36" t="s">
        <v>224</v>
      </c>
      <c r="C36" s="1" t="s">
        <v>222</v>
      </c>
      <c r="D36" s="1" t="s">
        <v>149</v>
      </c>
      <c r="E36" s="1"/>
      <c r="F36" s="1"/>
      <c r="G36" s="1"/>
      <c r="H36" s="1"/>
      <c r="I36" s="1" t="s">
        <v>149</v>
      </c>
      <c r="J36" s="1"/>
      <c r="K36" s="1"/>
      <c r="L36" t="s">
        <v>193</v>
      </c>
      <c r="M36" s="1" t="s">
        <v>194</v>
      </c>
      <c r="O36" s="1"/>
    </row>
    <row r="37" spans="1:20" hidden="1">
      <c r="A37" t="s">
        <v>153</v>
      </c>
      <c r="B37" t="s">
        <v>101</v>
      </c>
      <c r="C37" s="1" t="s">
        <v>223</v>
      </c>
      <c r="F37" s="1"/>
      <c r="G37" s="1"/>
      <c r="H37" s="1"/>
      <c r="I37" s="28" t="s">
        <v>150</v>
      </c>
      <c r="J37" s="1"/>
      <c r="K37" s="1"/>
      <c r="L37" t="s">
        <v>207</v>
      </c>
      <c r="M37" s="26">
        <v>38718</v>
      </c>
      <c r="O37" s="1"/>
    </row>
    <row r="38" spans="1:20" hidden="1">
      <c r="A38" t="s">
        <v>153</v>
      </c>
      <c r="B38" t="s">
        <v>7</v>
      </c>
      <c r="C38" s="1" t="s">
        <v>223</v>
      </c>
      <c r="D38" s="28" t="s">
        <v>150</v>
      </c>
      <c r="F38" s="1"/>
      <c r="G38" s="1"/>
      <c r="H38" s="1"/>
      <c r="I38" s="28"/>
      <c r="J38" s="1"/>
      <c r="K38" s="1"/>
      <c r="L38" t="s">
        <v>206</v>
      </c>
      <c r="M38" s="26">
        <v>37741</v>
      </c>
      <c r="O38" s="1"/>
    </row>
    <row r="39" spans="1:20" hidden="1">
      <c r="A39" t="s">
        <v>177</v>
      </c>
      <c r="B39" t="s">
        <v>101</v>
      </c>
      <c r="C39" s="1" t="s">
        <v>222</v>
      </c>
      <c r="D39" s="1"/>
      <c r="E39" s="1"/>
      <c r="F39" s="1"/>
      <c r="G39" s="1"/>
      <c r="H39" s="1"/>
      <c r="I39" s="1" t="s">
        <v>149</v>
      </c>
      <c r="J39" s="1"/>
      <c r="K39" s="1"/>
      <c r="L39" t="s">
        <v>193</v>
      </c>
      <c r="M39" s="1" t="s">
        <v>194</v>
      </c>
      <c r="O39" s="1"/>
    </row>
    <row r="40" spans="1:20" hidden="1">
      <c r="A40" t="s">
        <v>177</v>
      </c>
      <c r="B40" t="s">
        <v>101</v>
      </c>
      <c r="C40" s="1" t="s">
        <v>223</v>
      </c>
      <c r="D40" s="1"/>
      <c r="E40" s="1"/>
      <c r="F40" s="1"/>
      <c r="G40" s="1"/>
      <c r="H40" s="1"/>
      <c r="I40" s="28" t="s">
        <v>150</v>
      </c>
      <c r="J40" s="1"/>
      <c r="K40" s="1"/>
      <c r="L40" t="s">
        <v>208</v>
      </c>
      <c r="M40" s="26">
        <v>38718</v>
      </c>
      <c r="O40" s="1"/>
    </row>
    <row r="41" spans="1:20" hidden="1">
      <c r="A41" t="s">
        <v>177</v>
      </c>
      <c r="B41" t="s">
        <v>101</v>
      </c>
      <c r="C41" s="1" t="s">
        <v>223</v>
      </c>
      <c r="D41" s="1"/>
      <c r="E41" s="1"/>
      <c r="F41" s="1"/>
      <c r="G41" s="1"/>
      <c r="H41" s="1"/>
      <c r="I41" s="28" t="s">
        <v>150</v>
      </c>
      <c r="J41" s="1"/>
      <c r="K41" s="1"/>
      <c r="L41" t="s">
        <v>199</v>
      </c>
      <c r="M41" s="26">
        <v>39417</v>
      </c>
      <c r="O41" s="1"/>
    </row>
    <row r="42" spans="1:20" hidden="1">
      <c r="A42" t="s">
        <v>177</v>
      </c>
      <c r="B42" t="s">
        <v>101</v>
      </c>
      <c r="C42" s="1" t="s">
        <v>223</v>
      </c>
      <c r="D42" s="1"/>
      <c r="E42" s="1"/>
      <c r="F42" s="1"/>
      <c r="G42" s="1"/>
      <c r="H42" s="1"/>
      <c r="I42" s="28" t="s">
        <v>150</v>
      </c>
      <c r="J42" s="1"/>
      <c r="K42" s="1"/>
      <c r="L42" t="s">
        <v>202</v>
      </c>
      <c r="M42" s="26">
        <v>39142</v>
      </c>
      <c r="O42" s="1"/>
    </row>
    <row r="43" spans="1:20" hidden="1">
      <c r="A43" t="s">
        <v>177</v>
      </c>
      <c r="B43" t="s">
        <v>101</v>
      </c>
      <c r="C43" s="1" t="s">
        <v>223</v>
      </c>
      <c r="D43" s="1"/>
      <c r="E43" s="1"/>
      <c r="F43" s="1"/>
      <c r="G43" s="1"/>
      <c r="H43" s="1"/>
      <c r="I43" s="28" t="s">
        <v>150</v>
      </c>
      <c r="J43" s="1"/>
      <c r="K43" s="1"/>
      <c r="L43" t="s">
        <v>203</v>
      </c>
      <c r="M43" s="26">
        <v>39417</v>
      </c>
      <c r="O43" s="1"/>
    </row>
    <row r="44" spans="1:20" hidden="1">
      <c r="A44" t="s">
        <v>177</v>
      </c>
      <c r="B44" t="s">
        <v>101</v>
      </c>
      <c r="C44" s="1" t="s">
        <v>223</v>
      </c>
      <c r="F44" s="1"/>
      <c r="G44" s="1"/>
      <c r="H44" s="1"/>
      <c r="I44" s="28" t="s">
        <v>150</v>
      </c>
      <c r="J44" s="1"/>
      <c r="K44" s="1"/>
      <c r="L44" t="s">
        <v>204</v>
      </c>
      <c r="M44" s="26">
        <v>38718</v>
      </c>
      <c r="O44" s="1"/>
    </row>
    <row r="45" spans="1:20">
      <c r="A45" t="s">
        <v>155</v>
      </c>
      <c r="B45" t="s">
        <v>11</v>
      </c>
      <c r="C45" s="1" t="s">
        <v>222</v>
      </c>
      <c r="D45" s="1"/>
      <c r="E45" s="1"/>
      <c r="F45" s="1"/>
      <c r="G45" s="1" t="s">
        <v>149</v>
      </c>
      <c r="H45" s="1"/>
      <c r="I45" s="1"/>
      <c r="J45" s="1"/>
      <c r="K45" s="1"/>
      <c r="L45" t="s">
        <v>193</v>
      </c>
      <c r="M45" s="1" t="s">
        <v>194</v>
      </c>
    </row>
    <row r="46" spans="1:20">
      <c r="A46" t="s">
        <v>155</v>
      </c>
      <c r="B46" t="s">
        <v>11</v>
      </c>
      <c r="C46" s="1" t="s">
        <v>223</v>
      </c>
      <c r="D46" s="1"/>
      <c r="E46" s="1"/>
      <c r="F46" s="1"/>
      <c r="G46" s="28" t="s">
        <v>150</v>
      </c>
      <c r="H46" s="1"/>
      <c r="J46" s="1"/>
      <c r="K46" s="1"/>
      <c r="L46" t="s">
        <v>200</v>
      </c>
      <c r="M46" s="26">
        <v>39142</v>
      </c>
    </row>
    <row r="47" spans="1:20">
      <c r="A47" t="s">
        <v>155</v>
      </c>
      <c r="B47" t="s">
        <v>11</v>
      </c>
      <c r="C47" s="1" t="s">
        <v>223</v>
      </c>
      <c r="D47" s="1"/>
      <c r="E47" s="1"/>
      <c r="F47" s="1"/>
      <c r="G47" s="28" t="s">
        <v>150</v>
      </c>
      <c r="H47" s="1"/>
      <c r="J47" s="1"/>
      <c r="K47" s="1"/>
      <c r="L47" t="s">
        <v>201</v>
      </c>
      <c r="M47" s="26">
        <v>39142</v>
      </c>
    </row>
    <row r="48" spans="1:20">
      <c r="A48" t="s">
        <v>155</v>
      </c>
      <c r="B48" t="s">
        <v>11</v>
      </c>
      <c r="C48" s="1" t="s">
        <v>222</v>
      </c>
      <c r="F48" s="1"/>
      <c r="G48" s="1" t="s">
        <v>149</v>
      </c>
      <c r="H48" s="1"/>
      <c r="I48" s="28"/>
      <c r="J48" s="1"/>
      <c r="K48" s="1"/>
      <c r="L48" t="s">
        <v>205</v>
      </c>
      <c r="M48" s="26">
        <v>37974</v>
      </c>
    </row>
    <row r="49" spans="1:16" hidden="1">
      <c r="A49" t="s">
        <v>236</v>
      </c>
      <c r="F49" s="1"/>
      <c r="G49" s="1"/>
      <c r="H49" s="1"/>
      <c r="I49" s="28"/>
      <c r="J49" s="1"/>
      <c r="K49" s="1"/>
      <c r="M49" s="26"/>
      <c r="O49" s="1"/>
    </row>
    <row r="50" spans="1:16" hidden="1">
      <c r="A50" s="8" t="s">
        <v>176</v>
      </c>
      <c r="B50" s="8"/>
      <c r="C50" s="31"/>
      <c r="D50" s="1"/>
      <c r="E50" s="1"/>
      <c r="F50" s="1"/>
      <c r="G50" s="1"/>
      <c r="H50" s="1"/>
      <c r="I50" s="1"/>
      <c r="J50" s="1"/>
      <c r="K50" s="1"/>
      <c r="O50" s="1"/>
    </row>
    <row r="51" spans="1:16" hidden="1">
      <c r="A51" s="27" t="s">
        <v>153</v>
      </c>
      <c r="B51" t="s">
        <v>7</v>
      </c>
      <c r="C51" s="1" t="s">
        <v>222</v>
      </c>
      <c r="D51" s="1" t="s">
        <v>149</v>
      </c>
      <c r="E51" s="1"/>
      <c r="F51" s="1"/>
      <c r="G51" s="1"/>
      <c r="H51" s="1"/>
      <c r="I51" s="1"/>
      <c r="J51" s="1"/>
      <c r="K51" s="1"/>
      <c r="L51" t="s">
        <v>178</v>
      </c>
      <c r="M51" s="1" t="s">
        <v>185</v>
      </c>
      <c r="O51" s="1"/>
    </row>
    <row r="52" spans="1:16" hidden="1">
      <c r="A52" s="27" t="s">
        <v>153</v>
      </c>
      <c r="B52" t="s">
        <v>101</v>
      </c>
      <c r="C52" s="1" t="s">
        <v>222</v>
      </c>
      <c r="D52" s="1"/>
      <c r="E52" s="1"/>
      <c r="F52" s="1"/>
      <c r="G52" s="1"/>
      <c r="H52" s="1"/>
      <c r="I52" s="1" t="s">
        <v>149</v>
      </c>
      <c r="J52" s="1"/>
      <c r="K52" s="1"/>
      <c r="L52" t="s">
        <v>178</v>
      </c>
      <c r="M52" s="1">
        <v>2006</v>
      </c>
      <c r="O52" s="1"/>
    </row>
    <row r="53" spans="1:16" hidden="1">
      <c r="A53" s="27" t="s">
        <v>177</v>
      </c>
      <c r="B53" t="s">
        <v>101</v>
      </c>
      <c r="C53" s="1" t="s">
        <v>222</v>
      </c>
      <c r="D53" s="1"/>
      <c r="E53" s="1"/>
      <c r="F53" s="1"/>
      <c r="G53" s="1"/>
      <c r="H53" s="1"/>
      <c r="I53" s="1" t="s">
        <v>149</v>
      </c>
      <c r="J53" s="1"/>
      <c r="K53" s="1"/>
      <c r="L53" t="s">
        <v>178</v>
      </c>
      <c r="M53" s="1">
        <v>2006</v>
      </c>
      <c r="O53" s="1"/>
    </row>
    <row r="54" spans="1:16" hidden="1">
      <c r="A54" t="s">
        <v>236</v>
      </c>
      <c r="B54" s="8"/>
      <c r="C54" s="31"/>
      <c r="D54" s="1"/>
      <c r="E54" s="1"/>
      <c r="F54" s="1"/>
      <c r="G54" s="1"/>
      <c r="H54" s="1"/>
      <c r="I54" s="1"/>
      <c r="J54" s="1"/>
      <c r="K54" s="1"/>
      <c r="O54" s="1"/>
    </row>
    <row r="55" spans="1:16" hidden="1">
      <c r="A55" s="8" t="s">
        <v>160</v>
      </c>
      <c r="B55" s="8"/>
      <c r="C55" s="31"/>
      <c r="D55" s="1"/>
      <c r="E55" s="1"/>
      <c r="F55" s="1"/>
      <c r="G55" s="1"/>
      <c r="H55" s="1"/>
      <c r="I55" s="1"/>
      <c r="J55" s="1"/>
      <c r="K55" s="1"/>
      <c r="O55" s="1"/>
    </row>
    <row r="56" spans="1:16" hidden="1">
      <c r="A56" t="s">
        <v>177</v>
      </c>
      <c r="B56" t="s">
        <v>228</v>
      </c>
      <c r="C56" s="1" t="s">
        <v>222</v>
      </c>
      <c r="D56" s="1" t="s">
        <v>149</v>
      </c>
      <c r="E56" s="1" t="s">
        <v>149</v>
      </c>
      <c r="F56" s="1"/>
      <c r="G56" s="1"/>
      <c r="H56" s="1"/>
      <c r="I56" s="1" t="s">
        <v>149</v>
      </c>
      <c r="J56" s="1" t="s">
        <v>149</v>
      </c>
      <c r="K56" s="1" t="s">
        <v>149</v>
      </c>
      <c r="L56" t="s">
        <v>173</v>
      </c>
      <c r="M56" s="1">
        <v>1991</v>
      </c>
      <c r="N56" s="26">
        <v>39447</v>
      </c>
      <c r="O56" s="26"/>
      <c r="P56" s="29" t="s">
        <v>174</v>
      </c>
    </row>
    <row r="57" spans="1:16" hidden="1">
      <c r="A57" t="s">
        <v>177</v>
      </c>
      <c r="B57" t="s">
        <v>229</v>
      </c>
      <c r="C57" s="1" t="s">
        <v>222</v>
      </c>
      <c r="D57" s="1" t="s">
        <v>149</v>
      </c>
      <c r="E57" s="1" t="s">
        <v>149</v>
      </c>
      <c r="F57" s="1"/>
      <c r="G57" s="1"/>
      <c r="H57" s="1"/>
      <c r="I57" s="1" t="s">
        <v>149</v>
      </c>
      <c r="J57" s="1" t="s">
        <v>149</v>
      </c>
      <c r="K57" s="1" t="s">
        <v>149</v>
      </c>
      <c r="L57" t="s">
        <v>56</v>
      </c>
      <c r="M57" s="1">
        <v>1994</v>
      </c>
      <c r="N57" s="26">
        <v>39447</v>
      </c>
      <c r="O57" s="26"/>
      <c r="P57" s="29" t="s">
        <v>174</v>
      </c>
    </row>
    <row r="58" spans="1:16" hidden="1">
      <c r="A58" t="s">
        <v>177</v>
      </c>
      <c r="B58" t="s">
        <v>219</v>
      </c>
      <c r="C58" s="1" t="s">
        <v>222</v>
      </c>
      <c r="D58" s="1" t="s">
        <v>149</v>
      </c>
      <c r="E58" s="1" t="s">
        <v>149</v>
      </c>
      <c r="F58" s="1"/>
      <c r="G58" s="1"/>
      <c r="H58" s="1"/>
      <c r="I58" s="1" t="s">
        <v>149</v>
      </c>
      <c r="J58" s="1" t="s">
        <v>149</v>
      </c>
      <c r="K58" s="1" t="s">
        <v>149</v>
      </c>
      <c r="L58" t="s">
        <v>175</v>
      </c>
      <c r="M58" s="1" t="s">
        <v>125</v>
      </c>
      <c r="N58" s="26"/>
      <c r="O58" s="26"/>
    </row>
    <row r="59" spans="1:16">
      <c r="A59" t="s">
        <v>155</v>
      </c>
      <c r="B59" t="s">
        <v>230</v>
      </c>
      <c r="C59" s="1" t="s">
        <v>222</v>
      </c>
      <c r="D59" s="1" t="s">
        <v>149</v>
      </c>
      <c r="E59" s="1" t="s">
        <v>149</v>
      </c>
      <c r="F59" s="1"/>
      <c r="G59" s="1" t="s">
        <v>149</v>
      </c>
      <c r="H59" s="1"/>
      <c r="I59" s="1"/>
      <c r="J59" s="1"/>
      <c r="K59" s="1"/>
      <c r="L59" t="s">
        <v>57</v>
      </c>
      <c r="M59" s="1">
        <v>2004</v>
      </c>
    </row>
    <row r="60" spans="1:16" hidden="1">
      <c r="A60" t="s">
        <v>236</v>
      </c>
      <c r="D60" s="1"/>
      <c r="E60" s="1"/>
      <c r="F60" s="1"/>
      <c r="G60" s="1"/>
      <c r="H60" s="1"/>
      <c r="I60" s="1"/>
      <c r="J60" s="1"/>
      <c r="K60" s="1"/>
      <c r="O60" s="1"/>
    </row>
    <row r="61" spans="1:16" hidden="1">
      <c r="A61" s="8" t="s">
        <v>163</v>
      </c>
      <c r="B61" s="8"/>
      <c r="C61" s="31"/>
      <c r="D61" s="1"/>
      <c r="E61" s="1"/>
      <c r="F61" s="1"/>
      <c r="G61" s="1"/>
      <c r="H61" s="1"/>
      <c r="I61" s="1"/>
      <c r="J61" s="1"/>
      <c r="K61" s="1"/>
      <c r="O61" s="1"/>
    </row>
    <row r="62" spans="1:16" hidden="1">
      <c r="A62" s="27" t="s">
        <v>154</v>
      </c>
      <c r="B62" s="27" t="s">
        <v>231</v>
      </c>
      <c r="C62" s="1" t="s">
        <v>222</v>
      </c>
      <c r="D62" s="1"/>
      <c r="E62" s="1"/>
      <c r="F62" s="1"/>
      <c r="G62" s="1"/>
      <c r="H62" s="1"/>
      <c r="I62" s="1" t="s">
        <v>149</v>
      </c>
      <c r="J62" s="1" t="s">
        <v>149</v>
      </c>
      <c r="K62" s="1"/>
      <c r="L62" t="s">
        <v>196</v>
      </c>
      <c r="M62" s="1">
        <v>2007</v>
      </c>
      <c r="O62" s="1"/>
    </row>
    <row r="63" spans="1:16" hidden="1">
      <c r="A63" t="s">
        <v>153</v>
      </c>
      <c r="B63" s="27" t="s">
        <v>7</v>
      </c>
      <c r="C63" s="1" t="s">
        <v>222</v>
      </c>
      <c r="D63" s="1" t="s">
        <v>149</v>
      </c>
      <c r="E63" s="1"/>
      <c r="F63" s="1"/>
      <c r="G63" s="1"/>
      <c r="H63" s="1"/>
      <c r="I63" s="1"/>
      <c r="J63" s="1"/>
      <c r="K63" s="1"/>
      <c r="L63" t="s">
        <v>161</v>
      </c>
      <c r="M63" s="1">
        <v>1983</v>
      </c>
      <c r="O63" s="1"/>
    </row>
    <row r="64" spans="1:16" hidden="1">
      <c r="A64" t="s">
        <v>177</v>
      </c>
      <c r="B64" s="27" t="s">
        <v>7</v>
      </c>
      <c r="C64" s="1" t="s">
        <v>222</v>
      </c>
      <c r="D64" s="1" t="s">
        <v>149</v>
      </c>
      <c r="E64" s="1"/>
      <c r="F64" s="1"/>
      <c r="G64" s="1"/>
      <c r="H64" s="1"/>
      <c r="I64" s="1"/>
      <c r="J64" s="1"/>
      <c r="K64" s="1"/>
      <c r="L64" t="s">
        <v>161</v>
      </c>
      <c r="M64" s="1">
        <v>1983</v>
      </c>
      <c r="O64" s="1"/>
    </row>
    <row r="65" spans="1:15" hidden="1">
      <c r="A65" t="s">
        <v>177</v>
      </c>
      <c r="B65" s="27" t="s">
        <v>232</v>
      </c>
      <c r="C65" s="1" t="s">
        <v>222</v>
      </c>
      <c r="D65" s="1"/>
      <c r="E65" s="1"/>
      <c r="F65" s="1"/>
      <c r="G65" s="1"/>
      <c r="H65" s="1"/>
      <c r="I65" s="1" t="s">
        <v>149</v>
      </c>
      <c r="J65" s="1"/>
      <c r="K65" s="1" t="s">
        <v>149</v>
      </c>
      <c r="L65" t="s">
        <v>182</v>
      </c>
      <c r="M65" s="1">
        <v>2005</v>
      </c>
      <c r="O65" s="1"/>
    </row>
    <row r="66" spans="1:15" hidden="1">
      <c r="A66" t="s">
        <v>236</v>
      </c>
      <c r="D66" s="1"/>
      <c r="E66" s="1"/>
      <c r="F66" s="1"/>
      <c r="G66" s="1"/>
      <c r="H66" s="1"/>
      <c r="I66" s="1"/>
      <c r="J66" s="1"/>
      <c r="K66" s="1"/>
      <c r="O66" s="1"/>
    </row>
    <row r="67" spans="1:15" hidden="1">
      <c r="A67" s="8" t="s">
        <v>164</v>
      </c>
      <c r="B67" s="8"/>
      <c r="C67" s="31"/>
      <c r="D67" s="1"/>
      <c r="E67" s="1"/>
      <c r="F67" s="1"/>
      <c r="G67" s="1"/>
      <c r="H67" s="1"/>
      <c r="I67" s="1"/>
      <c r="J67" s="1"/>
      <c r="K67" s="1"/>
      <c r="O67" s="1"/>
    </row>
    <row r="68" spans="1:15" hidden="1">
      <c r="A68" t="s">
        <v>154</v>
      </c>
      <c r="B68" t="s">
        <v>7</v>
      </c>
      <c r="C68" s="1" t="s">
        <v>223</v>
      </c>
      <c r="D68" s="1" t="s">
        <v>150</v>
      </c>
      <c r="E68" s="1"/>
      <c r="F68" s="1"/>
      <c r="G68" s="1"/>
      <c r="H68" s="1"/>
      <c r="I68" s="1"/>
      <c r="J68" s="1"/>
      <c r="K68" s="1"/>
      <c r="L68" t="s">
        <v>60</v>
      </c>
      <c r="M68" s="1" t="s">
        <v>186</v>
      </c>
      <c r="O68" s="1"/>
    </row>
    <row r="69" spans="1:15" hidden="1">
      <c r="A69" t="s">
        <v>153</v>
      </c>
      <c r="B69" t="s">
        <v>101</v>
      </c>
      <c r="C69" s="1" t="s">
        <v>222</v>
      </c>
      <c r="D69" s="1"/>
      <c r="E69" s="1"/>
      <c r="F69" s="1"/>
      <c r="G69" s="1"/>
      <c r="H69" s="1"/>
      <c r="I69" s="1" t="s">
        <v>149</v>
      </c>
      <c r="J69" s="1"/>
      <c r="K69" s="1"/>
      <c r="L69" t="s">
        <v>179</v>
      </c>
      <c r="M69" s="1" t="s">
        <v>186</v>
      </c>
      <c r="O69" s="1"/>
    </row>
    <row r="70" spans="1:15" hidden="1">
      <c r="A70" t="s">
        <v>153</v>
      </c>
      <c r="B70" t="s">
        <v>233</v>
      </c>
      <c r="C70" s="1" t="s">
        <v>222</v>
      </c>
      <c r="D70" s="1" t="s">
        <v>149</v>
      </c>
      <c r="E70" s="1"/>
      <c r="F70" s="1" t="s">
        <v>149</v>
      </c>
      <c r="G70" s="1"/>
      <c r="H70" s="1"/>
      <c r="I70" s="1"/>
      <c r="J70" s="1"/>
      <c r="K70" s="1"/>
      <c r="L70" t="s">
        <v>180</v>
      </c>
      <c r="M70" s="1" t="s">
        <v>181</v>
      </c>
      <c r="O70" s="1"/>
    </row>
    <row r="71" spans="1:15" hidden="1">
      <c r="A71" t="s">
        <v>153</v>
      </c>
      <c r="B71" t="s">
        <v>7</v>
      </c>
      <c r="C71" s="1" t="s">
        <v>234</v>
      </c>
      <c r="D71" s="1" t="s">
        <v>167</v>
      </c>
      <c r="E71" s="1"/>
      <c r="F71" s="1"/>
      <c r="G71" s="1"/>
      <c r="H71" s="1"/>
      <c r="I71" s="1"/>
      <c r="J71" s="1"/>
      <c r="K71" s="1"/>
      <c r="L71" t="s">
        <v>168</v>
      </c>
      <c r="M71" s="1">
        <v>1987</v>
      </c>
      <c r="O71" s="1"/>
    </row>
    <row r="72" spans="1:15" hidden="1">
      <c r="A72" t="s">
        <v>177</v>
      </c>
      <c r="B72" t="s">
        <v>101</v>
      </c>
      <c r="C72" s="1" t="s">
        <v>222</v>
      </c>
      <c r="D72" s="1"/>
      <c r="E72" s="1"/>
      <c r="F72" s="1"/>
      <c r="G72" s="1"/>
      <c r="H72" s="1"/>
      <c r="I72" s="1" t="s">
        <v>149</v>
      </c>
      <c r="J72" s="1"/>
      <c r="K72" s="1"/>
      <c r="L72" t="s">
        <v>179</v>
      </c>
      <c r="M72" s="1" t="s">
        <v>186</v>
      </c>
      <c r="O72" s="1"/>
    </row>
    <row r="73" spans="1:15" hidden="1">
      <c r="A73" t="s">
        <v>177</v>
      </c>
      <c r="B73" t="s">
        <v>233</v>
      </c>
      <c r="C73" s="1" t="s">
        <v>222</v>
      </c>
      <c r="D73" s="1" t="s">
        <v>149</v>
      </c>
      <c r="E73" s="1"/>
      <c r="F73" s="1"/>
      <c r="G73" s="1"/>
      <c r="H73" s="1" t="s">
        <v>149</v>
      </c>
      <c r="I73" s="1"/>
      <c r="J73" s="1"/>
      <c r="K73" s="1"/>
      <c r="L73" t="s">
        <v>180</v>
      </c>
      <c r="M73" s="1" t="s">
        <v>181</v>
      </c>
      <c r="O73" s="1"/>
    </row>
    <row r="74" spans="1:15" hidden="1">
      <c r="A74" t="s">
        <v>177</v>
      </c>
      <c r="B74" t="s">
        <v>7</v>
      </c>
      <c r="C74" s="1" t="s">
        <v>234</v>
      </c>
      <c r="D74" s="1" t="s">
        <v>167</v>
      </c>
      <c r="E74" s="1"/>
      <c r="F74" s="1"/>
      <c r="G74" s="1"/>
      <c r="H74" s="1"/>
      <c r="I74" s="1"/>
      <c r="J74" s="1"/>
      <c r="K74" s="1"/>
      <c r="L74" t="s">
        <v>168</v>
      </c>
      <c r="M74" s="1">
        <v>1987</v>
      </c>
      <c r="O74" s="1"/>
    </row>
    <row r="75" spans="1:15" hidden="1">
      <c r="A75" t="s">
        <v>155</v>
      </c>
      <c r="B75" t="s">
        <v>228</v>
      </c>
      <c r="C75" s="1" t="s">
        <v>222</v>
      </c>
      <c r="D75" s="1" t="s">
        <v>149</v>
      </c>
      <c r="E75" s="1" t="s">
        <v>149</v>
      </c>
      <c r="F75" s="1"/>
      <c r="G75" s="1" t="s">
        <v>149</v>
      </c>
      <c r="H75" s="1"/>
      <c r="I75" s="1"/>
      <c r="J75" s="1" t="s">
        <v>149</v>
      </c>
      <c r="K75" s="1"/>
      <c r="L75" t="s">
        <v>62</v>
      </c>
      <c r="M75" s="1" t="s">
        <v>186</v>
      </c>
      <c r="O75" s="1"/>
    </row>
    <row r="76" spans="1:15" hidden="1">
      <c r="A76" t="s">
        <v>155</v>
      </c>
      <c r="B76" t="s">
        <v>235</v>
      </c>
      <c r="C76" s="1" t="s">
        <v>222</v>
      </c>
      <c r="D76" s="1"/>
      <c r="E76" s="1" t="s">
        <v>149</v>
      </c>
      <c r="F76" s="1"/>
      <c r="G76" s="1" t="s">
        <v>149</v>
      </c>
      <c r="H76" s="1"/>
      <c r="I76" s="1"/>
      <c r="J76" s="1" t="s">
        <v>149</v>
      </c>
      <c r="K76" s="1" t="s">
        <v>149</v>
      </c>
      <c r="L76" s="9" t="s">
        <v>191</v>
      </c>
      <c r="M76" s="1">
        <v>1999</v>
      </c>
      <c r="O76" s="1"/>
    </row>
    <row r="77" spans="1:15" hidden="1">
      <c r="A77" t="s">
        <v>156</v>
      </c>
      <c r="B77" t="s">
        <v>229</v>
      </c>
      <c r="C77" s="1" t="s">
        <v>222</v>
      </c>
      <c r="D77" s="1"/>
      <c r="E77" s="1" t="s">
        <v>149</v>
      </c>
      <c r="F77" s="1"/>
      <c r="G77" s="1" t="s">
        <v>149</v>
      </c>
      <c r="H77" s="1"/>
      <c r="I77" s="1" t="s">
        <v>149</v>
      </c>
      <c r="J77" s="1"/>
      <c r="K77" s="1" t="s">
        <v>149</v>
      </c>
      <c r="L77" t="s">
        <v>190</v>
      </c>
      <c r="M77" s="1">
        <v>1999</v>
      </c>
      <c r="O77" s="1"/>
    </row>
    <row r="78" spans="1:15" hidden="1">
      <c r="A78" t="s">
        <v>156</v>
      </c>
      <c r="B78" t="s">
        <v>229</v>
      </c>
      <c r="C78" s="1" t="s">
        <v>222</v>
      </c>
      <c r="D78" s="1" t="s">
        <v>149</v>
      </c>
      <c r="E78" s="1" t="s">
        <v>149</v>
      </c>
      <c r="F78" s="1" t="s">
        <v>149</v>
      </c>
      <c r="G78" s="1" t="s">
        <v>149</v>
      </c>
      <c r="H78" s="1" t="s">
        <v>149</v>
      </c>
      <c r="I78" s="1" t="s">
        <v>149</v>
      </c>
      <c r="J78" s="1"/>
      <c r="K78" s="1" t="s">
        <v>149</v>
      </c>
      <c r="L78" t="s">
        <v>61</v>
      </c>
      <c r="M78" s="1">
        <v>1989</v>
      </c>
      <c r="O78" s="1"/>
    </row>
    <row r="79" spans="1:15" hidden="1">
      <c r="A79" t="s">
        <v>156</v>
      </c>
      <c r="B79" t="s">
        <v>229</v>
      </c>
      <c r="C79" s="1" t="s">
        <v>234</v>
      </c>
      <c r="D79" s="1" t="s">
        <v>167</v>
      </c>
      <c r="E79" s="1" t="s">
        <v>167</v>
      </c>
      <c r="F79" s="1" t="s">
        <v>167</v>
      </c>
      <c r="G79" s="1" t="s">
        <v>167</v>
      </c>
      <c r="H79" s="1" t="s">
        <v>167</v>
      </c>
      <c r="I79" s="1" t="s">
        <v>167</v>
      </c>
      <c r="J79" s="1"/>
      <c r="K79" s="1" t="s">
        <v>167</v>
      </c>
      <c r="L79" t="s">
        <v>195</v>
      </c>
      <c r="M79" s="1">
        <v>1989</v>
      </c>
      <c r="O79" s="1"/>
    </row>
    <row r="80" spans="1:15" hidden="1">
      <c r="A80" t="s">
        <v>236</v>
      </c>
      <c r="D80" s="1"/>
      <c r="E80" s="1"/>
      <c r="F80" s="1"/>
      <c r="G80" s="1"/>
      <c r="H80" s="1"/>
      <c r="I80" s="1"/>
      <c r="J80" s="1"/>
      <c r="K80" s="1"/>
      <c r="O80" s="1"/>
    </row>
    <row r="81" spans="1:20" hidden="1">
      <c r="A81" s="8" t="s">
        <v>165</v>
      </c>
      <c r="B81" s="8"/>
      <c r="C81" s="31"/>
      <c r="D81" s="1"/>
      <c r="E81" s="1"/>
      <c r="F81" s="1"/>
      <c r="G81" s="1"/>
      <c r="H81" s="1"/>
      <c r="I81" s="1"/>
      <c r="J81" s="1"/>
      <c r="K81" s="1"/>
      <c r="O81" s="1"/>
    </row>
    <row r="82" spans="1:20" hidden="1">
      <c r="A82" t="s">
        <v>154</v>
      </c>
      <c r="B82" t="s">
        <v>229</v>
      </c>
      <c r="C82" s="1" t="s">
        <v>223</v>
      </c>
      <c r="D82" s="1" t="s">
        <v>150</v>
      </c>
      <c r="E82" s="1" t="s">
        <v>150</v>
      </c>
      <c r="F82" s="1"/>
      <c r="G82" s="1" t="s">
        <v>150</v>
      </c>
      <c r="H82" s="1"/>
      <c r="I82" s="1" t="s">
        <v>150</v>
      </c>
      <c r="J82" s="1" t="s">
        <v>150</v>
      </c>
      <c r="K82" s="1"/>
      <c r="L82" s="9" t="s">
        <v>151</v>
      </c>
      <c r="M82" s="1">
        <v>1990</v>
      </c>
      <c r="O82" s="1"/>
    </row>
    <row r="83" spans="1:20" hidden="1">
      <c r="A83" t="s">
        <v>153</v>
      </c>
      <c r="B83" t="s">
        <v>7</v>
      </c>
      <c r="C83" s="1" t="s">
        <v>223</v>
      </c>
      <c r="D83" s="1" t="s">
        <v>150</v>
      </c>
      <c r="E83" s="1"/>
      <c r="F83" s="1"/>
      <c r="G83" s="1"/>
      <c r="H83" s="1"/>
      <c r="I83" s="1"/>
      <c r="J83" s="1"/>
      <c r="K83" s="1"/>
      <c r="L83" t="s">
        <v>152</v>
      </c>
      <c r="M83" s="1">
        <v>1983</v>
      </c>
      <c r="O83" s="1"/>
    </row>
    <row r="84" spans="1:20" hidden="1">
      <c r="A84" t="s">
        <v>177</v>
      </c>
      <c r="B84" t="s">
        <v>224</v>
      </c>
      <c r="C84" s="1" t="s">
        <v>223</v>
      </c>
      <c r="D84" s="1" t="s">
        <v>150</v>
      </c>
      <c r="E84" s="1"/>
      <c r="F84" s="1"/>
      <c r="G84" s="1"/>
      <c r="H84" s="1"/>
      <c r="I84" s="1"/>
      <c r="J84" s="1" t="s">
        <v>150</v>
      </c>
      <c r="K84" s="1"/>
      <c r="L84" t="s">
        <v>152</v>
      </c>
      <c r="M84" s="1">
        <v>1983</v>
      </c>
      <c r="O84" s="1"/>
    </row>
    <row r="85" spans="1:20">
      <c r="D85" s="1"/>
      <c r="E85" s="1"/>
      <c r="F85" s="1"/>
      <c r="G85" s="1"/>
      <c r="H85" s="1"/>
      <c r="I85" s="1"/>
      <c r="J85" s="1"/>
      <c r="K85" s="1"/>
    </row>
    <row r="86" spans="1:20">
      <c r="D86" s="1"/>
      <c r="E86" s="1"/>
      <c r="F86" s="1"/>
      <c r="G86" s="1"/>
      <c r="H86" s="1"/>
      <c r="I86" s="1"/>
      <c r="J86" s="1"/>
      <c r="K86" s="1"/>
    </row>
    <row r="87" spans="1:20">
      <c r="A87" t="s">
        <v>155</v>
      </c>
      <c r="B87" t="s">
        <v>11</v>
      </c>
      <c r="C87" s="1" t="s">
        <v>222</v>
      </c>
      <c r="D87" s="1"/>
      <c r="E87" s="1"/>
      <c r="F87" s="1"/>
      <c r="G87" s="1"/>
      <c r="H87" s="1"/>
      <c r="I87" s="1"/>
      <c r="J87" s="1"/>
      <c r="K87" s="1"/>
      <c r="L87" t="s">
        <v>263</v>
      </c>
      <c r="Q87" t="s">
        <v>109</v>
      </c>
      <c r="R87" t="s">
        <v>264</v>
      </c>
      <c r="T87" t="s">
        <v>265</v>
      </c>
    </row>
    <row r="88" spans="1:20">
      <c r="A88" t="s">
        <v>155</v>
      </c>
      <c r="B88" t="s">
        <v>11</v>
      </c>
      <c r="C88" s="1" t="s">
        <v>222</v>
      </c>
      <c r="D88" s="1"/>
      <c r="E88" s="1"/>
      <c r="F88" s="1"/>
      <c r="G88" s="1"/>
      <c r="H88" s="1"/>
      <c r="I88" s="1"/>
      <c r="J88" s="1"/>
      <c r="K88" s="1"/>
      <c r="L88" t="s">
        <v>261</v>
      </c>
      <c r="Q88" t="s">
        <v>109</v>
      </c>
      <c r="R88" s="2" t="s">
        <v>262</v>
      </c>
      <c r="T88" s="22">
        <v>1305</v>
      </c>
    </row>
    <row r="89" spans="1:20">
      <c r="D89" s="11" t="s">
        <v>63</v>
      </c>
      <c r="E89" s="12"/>
      <c r="F89" s="12"/>
      <c r="G89" s="12"/>
      <c r="H89" s="12"/>
      <c r="I89" s="12"/>
      <c r="J89" s="12"/>
      <c r="K89" s="13"/>
    </row>
    <row r="90" spans="1:20">
      <c r="D90" s="14" t="s">
        <v>142</v>
      </c>
      <c r="E90" s="15"/>
      <c r="F90" s="15"/>
      <c r="G90" s="15"/>
      <c r="H90" s="15"/>
      <c r="I90" s="15"/>
      <c r="J90" s="15"/>
      <c r="K90" s="16"/>
    </row>
    <row r="91" spans="1:20">
      <c r="D91" s="23" t="s">
        <v>166</v>
      </c>
      <c r="E91" s="15"/>
      <c r="F91" s="15"/>
      <c r="G91" s="15"/>
      <c r="H91" s="15"/>
      <c r="I91" s="15"/>
      <c r="J91" s="15"/>
      <c r="K91" s="16"/>
    </row>
    <row r="92" spans="1:20">
      <c r="D92" s="20" t="s">
        <v>143</v>
      </c>
      <c r="E92" s="15"/>
      <c r="F92" s="15"/>
      <c r="G92" s="15"/>
      <c r="H92" s="15"/>
      <c r="I92" s="15"/>
      <c r="J92" s="15"/>
      <c r="K92" s="16"/>
    </row>
    <row r="93" spans="1:20">
      <c r="D93" s="23" t="s">
        <v>162</v>
      </c>
      <c r="E93" s="15"/>
      <c r="F93" s="15"/>
      <c r="G93" s="15"/>
      <c r="H93" s="15"/>
      <c r="I93" s="15"/>
      <c r="J93" s="15"/>
      <c r="K93" s="16"/>
    </row>
    <row r="94" spans="1:20">
      <c r="D94" s="17"/>
      <c r="E94" s="18"/>
      <c r="F94" s="18"/>
      <c r="G94" s="18"/>
      <c r="H94" s="18"/>
      <c r="I94" s="18"/>
      <c r="J94" s="18"/>
      <c r="K94" s="19"/>
    </row>
    <row r="95" spans="1:20">
      <c r="D95" s="9"/>
      <c r="E95" s="1"/>
      <c r="F95" s="1"/>
      <c r="G95" s="1"/>
      <c r="H95" s="1"/>
      <c r="I95" s="1"/>
      <c r="J95" s="1"/>
      <c r="K95" s="1"/>
    </row>
    <row r="96" spans="1:20">
      <c r="A96" s="8" t="s">
        <v>52</v>
      </c>
      <c r="B96" s="8"/>
      <c r="C96" s="31"/>
    </row>
    <row r="97" spans="1:21" ht="13.5">
      <c r="A97" s="7">
        <v>38700</v>
      </c>
      <c r="B97" s="7"/>
      <c r="C97" s="32"/>
      <c r="D97" s="6" t="s">
        <v>8</v>
      </c>
      <c r="E97" s="37" t="s">
        <v>31</v>
      </c>
      <c r="F97" s="37"/>
      <c r="G97" s="37"/>
      <c r="H97" s="9"/>
      <c r="I97" s="38" t="s">
        <v>50</v>
      </c>
      <c r="J97" s="38"/>
      <c r="K97" s="38"/>
      <c r="L97" s="38"/>
      <c r="M97" s="38"/>
      <c r="N97" s="38"/>
      <c r="O97" s="39"/>
      <c r="P97" s="38"/>
      <c r="Q97" s="38"/>
      <c r="R97" s="38"/>
      <c r="S97" s="38"/>
      <c r="T97" s="38"/>
      <c r="U97" s="38"/>
    </row>
    <row r="98" spans="1:21" ht="13.5">
      <c r="I98" s="38" t="s">
        <v>49</v>
      </c>
      <c r="J98" s="38"/>
      <c r="K98" s="38"/>
      <c r="L98" s="38"/>
      <c r="M98" s="38"/>
      <c r="N98" s="38"/>
      <c r="O98" s="39"/>
      <c r="P98" s="38"/>
      <c r="Q98" s="38"/>
      <c r="R98" s="38"/>
      <c r="S98" s="38"/>
      <c r="T98" s="38"/>
      <c r="U98" s="38"/>
    </row>
  </sheetData>
  <autoFilter ref="A6:U84">
    <filterColumn colId="1">
      <customFilters and="1">
        <customFilter val="*FTC*"/>
      </customFilters>
    </filterColumn>
  </autoFilter>
  <mergeCells count="4">
    <mergeCell ref="E97:G97"/>
    <mergeCell ref="I97:U97"/>
    <mergeCell ref="I98:U98"/>
    <mergeCell ref="Q5:T5"/>
  </mergeCells>
  <phoneticPr fontId="3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outlinePr summaryBelow="0"/>
    <pageSetUpPr fitToPage="1"/>
  </sheetPr>
  <dimension ref="A1:W328"/>
  <sheetViews>
    <sheetView tabSelected="1" zoomScale="85" zoomScaleNormal="100" workbookViewId="0">
      <selection activeCell="P3" sqref="P3:R3"/>
    </sheetView>
  </sheetViews>
  <sheetFormatPr defaultRowHeight="15" outlineLevelRow="1"/>
  <cols>
    <col min="1" max="1" width="3.42578125" style="48" customWidth="1"/>
    <col min="2" max="2" width="5.7109375" style="48" customWidth="1"/>
    <col min="3" max="3" width="5.140625" style="48" customWidth="1"/>
    <col min="4" max="4" width="7" style="48" customWidth="1"/>
    <col min="5" max="5" width="6" style="48" customWidth="1"/>
    <col min="6" max="6" width="6.28515625" style="48" customWidth="1"/>
    <col min="7" max="7" width="4.5703125" style="48" bestFit="1" customWidth="1"/>
    <col min="8" max="8" width="3.5703125" style="48" customWidth="1"/>
    <col min="9" max="9" width="5.5703125" style="48" customWidth="1"/>
    <col min="10" max="10" width="5.42578125" style="48" bestFit="1" customWidth="1"/>
    <col min="11" max="11" width="9" style="48" customWidth="1"/>
    <col min="12" max="12" width="5" style="48" bestFit="1" customWidth="1"/>
    <col min="13" max="13" width="6.28515625" style="48" bestFit="1" customWidth="1"/>
    <col min="14" max="14" width="4.5703125" style="48" bestFit="1" customWidth="1"/>
    <col min="15" max="15" width="1.42578125" style="71" customWidth="1"/>
    <col min="16" max="16" width="16.28515625" style="48" bestFit="1" customWidth="1"/>
    <col min="17" max="17" width="17.140625" style="48" customWidth="1"/>
    <col min="18" max="18" width="17.5703125" style="48" customWidth="1"/>
    <col min="19" max="19" width="5.7109375" style="45" customWidth="1"/>
    <col min="20" max="20" width="14.7109375" style="36" customWidth="1"/>
    <col min="21" max="21" width="28.5703125" style="36" customWidth="1"/>
    <col min="22" max="22" width="9.140625" style="48"/>
    <col min="23" max="23" width="12.140625" style="48" bestFit="1" customWidth="1"/>
    <col min="24" max="16384" width="9.140625" style="48"/>
  </cols>
  <sheetData>
    <row r="1" spans="1:22">
      <c r="A1" s="43" t="s">
        <v>41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4"/>
      <c r="P1" s="43"/>
      <c r="Q1" s="43"/>
      <c r="R1" s="43"/>
      <c r="U1" s="46" t="s">
        <v>323</v>
      </c>
      <c r="V1" s="47"/>
    </row>
    <row r="2" spans="1:22" ht="16.5" thickBot="1">
      <c r="A2" s="49"/>
      <c r="B2" s="49"/>
      <c r="C2" s="50" t="s">
        <v>322</v>
      </c>
      <c r="D2" s="51" t="s">
        <v>326</v>
      </c>
      <c r="E2" s="52"/>
      <c r="F2" s="52"/>
      <c r="G2" s="52"/>
      <c r="H2" s="49"/>
      <c r="I2" s="49"/>
      <c r="J2" s="49"/>
      <c r="K2" s="49"/>
      <c r="L2" s="49"/>
      <c r="M2" s="49"/>
      <c r="N2" s="49"/>
      <c r="O2" s="53"/>
      <c r="P2" s="49"/>
      <c r="Q2" s="49"/>
      <c r="R2" s="49"/>
      <c r="S2" s="54"/>
    </row>
    <row r="3" spans="1:22" ht="15.75" thickBot="1">
      <c r="A3" s="49"/>
      <c r="B3" s="49"/>
      <c r="C3" s="50" t="s">
        <v>321</v>
      </c>
      <c r="D3" s="55" t="s">
        <v>387</v>
      </c>
      <c r="E3" s="50" t="s">
        <v>325</v>
      </c>
      <c r="F3" s="55" t="s">
        <v>391</v>
      </c>
      <c r="G3" s="56"/>
      <c r="H3" s="49"/>
      <c r="I3" s="49"/>
      <c r="J3" s="49"/>
      <c r="K3" s="49"/>
      <c r="L3" s="49"/>
      <c r="M3" s="49"/>
      <c r="N3" s="49"/>
      <c r="O3" s="49"/>
      <c r="P3" s="57" t="s">
        <v>319</v>
      </c>
      <c r="Q3" s="58">
        <v>41795</v>
      </c>
      <c r="R3" s="59">
        <v>41795.649823495369</v>
      </c>
    </row>
    <row r="4" spans="1:22">
      <c r="C4" s="50" t="s">
        <v>320</v>
      </c>
      <c r="D4" s="60" t="str">
        <f>IF(F3&lt;&gt;"00","YTD","")&amp;D3&amp;F3</f>
        <v>YTD201405</v>
      </c>
      <c r="O4" s="61"/>
    </row>
    <row r="5" spans="1:22">
      <c r="B5" s="47"/>
      <c r="C5" s="62" t="s">
        <v>324</v>
      </c>
      <c r="D5" s="63" t="s">
        <v>327</v>
      </c>
      <c r="E5" s="47"/>
      <c r="F5" s="47"/>
      <c r="G5" s="47"/>
      <c r="I5" s="47"/>
      <c r="J5" s="47"/>
      <c r="K5" s="47"/>
      <c r="L5" s="47"/>
      <c r="M5" s="47"/>
      <c r="N5" s="47"/>
      <c r="O5" s="64"/>
      <c r="P5" s="47"/>
      <c r="Q5" s="47"/>
    </row>
    <row r="6" spans="1:22" s="65" customFormat="1" ht="22.5" customHeight="1">
      <c r="B6" s="66" t="s">
        <v>75</v>
      </c>
      <c r="C6" s="66" t="s">
        <v>73</v>
      </c>
      <c r="D6" s="66" t="s">
        <v>74</v>
      </c>
      <c r="E6" s="66" t="s">
        <v>67</v>
      </c>
      <c r="F6" s="66" t="s">
        <v>68</v>
      </c>
      <c r="G6" s="67" t="s">
        <v>69</v>
      </c>
      <c r="I6" s="66" t="s">
        <v>75</v>
      </c>
      <c r="J6" s="66" t="s">
        <v>73</v>
      </c>
      <c r="K6" s="66" t="s">
        <v>74</v>
      </c>
      <c r="L6" s="66" t="s">
        <v>67</v>
      </c>
      <c r="M6" s="66" t="s">
        <v>68</v>
      </c>
      <c r="N6" s="67" t="s">
        <v>69</v>
      </c>
      <c r="O6" s="68"/>
      <c r="P6" s="66" t="s">
        <v>90</v>
      </c>
      <c r="Q6" s="66" t="s">
        <v>91</v>
      </c>
      <c r="R6" s="66" t="s">
        <v>1</v>
      </c>
      <c r="S6" s="69" t="s">
        <v>140</v>
      </c>
      <c r="T6" s="69" t="s">
        <v>75</v>
      </c>
      <c r="U6" s="69" t="s">
        <v>141</v>
      </c>
    </row>
    <row r="7" spans="1:22">
      <c r="A7" s="70" t="s">
        <v>4</v>
      </c>
    </row>
    <row r="8" spans="1:22">
      <c r="A8" s="72" t="s">
        <v>13</v>
      </c>
    </row>
    <row r="9" spans="1:22">
      <c r="B9" s="48" t="s">
        <v>7</v>
      </c>
      <c r="C9" s="48">
        <v>400</v>
      </c>
      <c r="D9" s="48">
        <v>119500</v>
      </c>
      <c r="E9" s="73" t="s">
        <v>66</v>
      </c>
      <c r="F9" s="48" t="s">
        <v>84</v>
      </c>
      <c r="G9" s="73">
        <v>100</v>
      </c>
      <c r="I9" s="48" t="s">
        <v>51</v>
      </c>
      <c r="J9" s="48">
        <v>100</v>
      </c>
      <c r="K9" s="48">
        <v>401500</v>
      </c>
      <c r="L9" s="73" t="s">
        <v>66</v>
      </c>
      <c r="M9" s="48" t="s">
        <v>84</v>
      </c>
      <c r="N9" s="73">
        <v>400</v>
      </c>
      <c r="O9" s="74"/>
      <c r="P9" s="75">
        <v>0</v>
      </c>
      <c r="Q9" s="75">
        <v>0</v>
      </c>
      <c r="R9" s="76">
        <f t="shared" ref="R9:R16" ca="1" si="0">+Q9+P9</f>
        <v>0</v>
      </c>
    </row>
    <row r="10" spans="1:22">
      <c r="B10" s="48" t="s">
        <v>7</v>
      </c>
      <c r="C10" s="48">
        <v>400</v>
      </c>
      <c r="D10" s="48">
        <v>119500</v>
      </c>
      <c r="E10" s="73" t="s">
        <v>66</v>
      </c>
      <c r="F10" s="48" t="s">
        <v>84</v>
      </c>
      <c r="G10" s="48">
        <v>500</v>
      </c>
      <c r="I10" s="48" t="s">
        <v>9</v>
      </c>
      <c r="J10" s="48">
        <v>500</v>
      </c>
      <c r="K10" s="48">
        <v>401500</v>
      </c>
      <c r="L10" s="73" t="s">
        <v>66</v>
      </c>
      <c r="M10" s="48" t="s">
        <v>84</v>
      </c>
      <c r="N10" s="48">
        <v>400</v>
      </c>
      <c r="P10" s="75">
        <v>-74007.33</v>
      </c>
      <c r="Q10" s="75">
        <v>74007.33</v>
      </c>
      <c r="R10" s="76">
        <f t="shared" ca="1" si="0"/>
        <v>0</v>
      </c>
    </row>
    <row r="11" spans="1:22">
      <c r="B11" s="48" t="s">
        <v>7</v>
      </c>
      <c r="C11" s="48">
        <v>400</v>
      </c>
      <c r="D11" s="48">
        <v>119500</v>
      </c>
      <c r="E11" s="73" t="s">
        <v>72</v>
      </c>
      <c r="F11" s="48" t="s">
        <v>84</v>
      </c>
      <c r="G11" s="48">
        <v>500</v>
      </c>
      <c r="I11" s="48" t="s">
        <v>9</v>
      </c>
      <c r="J11" s="48">
        <v>500</v>
      </c>
      <c r="K11" s="48">
        <v>401500</v>
      </c>
      <c r="L11" s="73" t="s">
        <v>72</v>
      </c>
      <c r="M11" s="48" t="s">
        <v>84</v>
      </c>
      <c r="N11" s="48">
        <v>400</v>
      </c>
      <c r="P11" s="75">
        <v>74007.33</v>
      </c>
      <c r="Q11" s="75">
        <v>-74007.33</v>
      </c>
      <c r="R11" s="76">
        <f t="shared" ca="1" si="0"/>
        <v>0</v>
      </c>
    </row>
    <row r="12" spans="1:22">
      <c r="B12" s="48" t="s">
        <v>7</v>
      </c>
      <c r="C12" s="48">
        <v>400</v>
      </c>
      <c r="D12" s="48">
        <v>119500</v>
      </c>
      <c r="E12" s="73" t="s">
        <v>66</v>
      </c>
      <c r="F12" s="48" t="s">
        <v>84</v>
      </c>
      <c r="G12" s="48">
        <v>600</v>
      </c>
      <c r="I12" s="48" t="s">
        <v>11</v>
      </c>
      <c r="J12" s="48">
        <v>600</v>
      </c>
      <c r="K12" s="48">
        <v>401500</v>
      </c>
      <c r="L12" s="73" t="s">
        <v>66</v>
      </c>
      <c r="M12" s="48" t="s">
        <v>84</v>
      </c>
      <c r="N12" s="48">
        <v>400</v>
      </c>
      <c r="P12" s="75">
        <v>-74007.33</v>
      </c>
      <c r="Q12" s="75">
        <v>74007.33</v>
      </c>
      <c r="R12" s="76">
        <f t="shared" ca="1" si="0"/>
        <v>0</v>
      </c>
    </row>
    <row r="13" spans="1:22">
      <c r="B13" s="48" t="s">
        <v>7</v>
      </c>
      <c r="C13" s="48">
        <v>400</v>
      </c>
      <c r="D13" s="48">
        <v>119500</v>
      </c>
      <c r="E13" s="73" t="s">
        <v>72</v>
      </c>
      <c r="F13" s="48" t="s">
        <v>84</v>
      </c>
      <c r="G13" s="48">
        <v>600</v>
      </c>
      <c r="I13" s="48" t="s">
        <v>11</v>
      </c>
      <c r="J13" s="48">
        <v>600</v>
      </c>
      <c r="K13" s="48">
        <v>401500</v>
      </c>
      <c r="L13" s="73" t="s">
        <v>72</v>
      </c>
      <c r="M13" s="48" t="s">
        <v>84</v>
      </c>
      <c r="N13" s="48">
        <v>400</v>
      </c>
      <c r="P13" s="75">
        <v>74007.33</v>
      </c>
      <c r="Q13" s="75">
        <v>-74007.33</v>
      </c>
      <c r="R13" s="76">
        <f t="shared" ca="1" si="0"/>
        <v>0</v>
      </c>
    </row>
    <row r="14" spans="1:22">
      <c r="B14" s="48" t="s">
        <v>7</v>
      </c>
      <c r="C14" s="48">
        <v>400</v>
      </c>
      <c r="D14" s="48">
        <v>119500</v>
      </c>
      <c r="E14" s="73" t="s">
        <v>66</v>
      </c>
      <c r="F14" s="48" t="s">
        <v>84</v>
      </c>
      <c r="G14" s="48">
        <v>800</v>
      </c>
      <c r="I14" s="48" t="s">
        <v>6</v>
      </c>
      <c r="J14" s="48">
        <v>800</v>
      </c>
      <c r="K14" s="48">
        <v>401500</v>
      </c>
      <c r="L14" s="73" t="s">
        <v>66</v>
      </c>
      <c r="M14" s="48" t="s">
        <v>84</v>
      </c>
      <c r="N14" s="48">
        <v>400</v>
      </c>
      <c r="P14" s="75">
        <v>-74007.34</v>
      </c>
      <c r="Q14" s="75">
        <v>74006.34</v>
      </c>
      <c r="R14" s="76">
        <f t="shared" ca="1" si="0"/>
        <v>-1</v>
      </c>
    </row>
    <row r="15" spans="1:22">
      <c r="B15" s="48" t="s">
        <v>7</v>
      </c>
      <c r="C15" s="48">
        <v>400</v>
      </c>
      <c r="D15" s="48">
        <v>119500</v>
      </c>
      <c r="E15" s="73" t="s">
        <v>72</v>
      </c>
      <c r="F15" s="48" t="s">
        <v>84</v>
      </c>
      <c r="G15" s="48">
        <v>800</v>
      </c>
      <c r="I15" s="48" t="s">
        <v>6</v>
      </c>
      <c r="J15" s="48">
        <v>800</v>
      </c>
      <c r="K15" s="48">
        <v>401500</v>
      </c>
      <c r="L15" s="73" t="s">
        <v>72</v>
      </c>
      <c r="M15" s="48" t="s">
        <v>84</v>
      </c>
      <c r="N15" s="48">
        <v>400</v>
      </c>
      <c r="P15" s="75">
        <v>74007.34</v>
      </c>
      <c r="Q15" s="75">
        <v>-74007.33</v>
      </c>
      <c r="R15" s="76">
        <f t="shared" ca="1" si="0"/>
        <v>9.9999999947613105E-3</v>
      </c>
    </row>
    <row r="16" spans="1:22">
      <c r="B16" s="48" t="s">
        <v>7</v>
      </c>
      <c r="C16" s="48">
        <v>400</v>
      </c>
      <c r="D16" s="48">
        <v>119500</v>
      </c>
      <c r="E16" s="73" t="s">
        <v>66</v>
      </c>
      <c r="F16" s="48" t="s">
        <v>84</v>
      </c>
      <c r="G16" s="48">
        <v>700</v>
      </c>
      <c r="I16" s="48" t="s">
        <v>12</v>
      </c>
      <c r="J16" s="48">
        <v>700</v>
      </c>
      <c r="K16" s="48">
        <v>401500</v>
      </c>
      <c r="L16" s="73" t="s">
        <v>66</v>
      </c>
      <c r="M16" s="48" t="s">
        <v>84</v>
      </c>
      <c r="N16" s="48">
        <v>400</v>
      </c>
      <c r="P16" s="75">
        <v>0</v>
      </c>
      <c r="Q16" s="75">
        <v>0</v>
      </c>
      <c r="R16" s="76">
        <f t="shared" ca="1" si="0"/>
        <v>0</v>
      </c>
    </row>
    <row r="17" spans="1:21">
      <c r="N17" s="48" t="s">
        <v>356</v>
      </c>
      <c r="R17" s="77">
        <f ca="1">SUM(R9:R16)</f>
        <v>-0.99000000000523869</v>
      </c>
    </row>
    <row r="18" spans="1:21">
      <c r="A18" s="72" t="s">
        <v>3</v>
      </c>
      <c r="S18" s="78"/>
    </row>
    <row r="19" spans="1:21">
      <c r="B19" s="48" t="s">
        <v>51</v>
      </c>
      <c r="C19" s="48">
        <v>100</v>
      </c>
      <c r="D19" s="48">
        <v>119500</v>
      </c>
      <c r="E19" s="48" t="s">
        <v>83</v>
      </c>
      <c r="F19" s="48" t="s">
        <v>84</v>
      </c>
      <c r="G19" s="48">
        <v>400</v>
      </c>
      <c r="I19" s="48" t="s">
        <v>7</v>
      </c>
      <c r="J19" s="48">
        <v>400</v>
      </c>
      <c r="K19" s="48">
        <v>401500</v>
      </c>
      <c r="L19" s="48" t="s">
        <v>83</v>
      </c>
      <c r="M19" s="48" t="s">
        <v>84</v>
      </c>
      <c r="N19" s="73">
        <v>100</v>
      </c>
      <c r="O19" s="74"/>
      <c r="P19" s="75">
        <v>0</v>
      </c>
      <c r="Q19" s="75">
        <v>0</v>
      </c>
      <c r="R19" s="76">
        <f ca="1">+Q19+P19</f>
        <v>0</v>
      </c>
    </row>
    <row r="20" spans="1:21">
      <c r="B20" s="48" t="s">
        <v>51</v>
      </c>
      <c r="C20" s="48">
        <v>100</v>
      </c>
      <c r="D20" s="48">
        <v>119500</v>
      </c>
      <c r="E20" s="48" t="s">
        <v>83</v>
      </c>
      <c r="F20" s="48" t="s">
        <v>84</v>
      </c>
      <c r="G20" s="48">
        <v>500</v>
      </c>
      <c r="I20" s="48" t="s">
        <v>9</v>
      </c>
      <c r="J20" s="48">
        <v>500</v>
      </c>
      <c r="K20" s="48">
        <v>401500</v>
      </c>
      <c r="L20" s="48" t="s">
        <v>83</v>
      </c>
      <c r="M20" s="48" t="s">
        <v>84</v>
      </c>
      <c r="N20" s="73">
        <v>100</v>
      </c>
      <c r="O20" s="74"/>
      <c r="P20" s="75">
        <v>0</v>
      </c>
      <c r="Q20" s="75">
        <v>0</v>
      </c>
      <c r="R20" s="76">
        <f ca="1">+Q20+P20</f>
        <v>0</v>
      </c>
      <c r="S20" s="79"/>
    </row>
    <row r="21" spans="1:21">
      <c r="B21" s="48" t="s">
        <v>51</v>
      </c>
      <c r="C21" s="48">
        <v>100</v>
      </c>
      <c r="D21" s="48">
        <v>119500</v>
      </c>
      <c r="E21" s="48" t="s">
        <v>83</v>
      </c>
      <c r="F21" s="48" t="s">
        <v>84</v>
      </c>
      <c r="G21" s="48">
        <v>600</v>
      </c>
      <c r="I21" s="48" t="s">
        <v>11</v>
      </c>
      <c r="J21" s="48">
        <v>600</v>
      </c>
      <c r="K21" s="48">
        <v>401500</v>
      </c>
      <c r="L21" s="48" t="s">
        <v>83</v>
      </c>
      <c r="M21" s="48" t="s">
        <v>84</v>
      </c>
      <c r="N21" s="73">
        <v>100</v>
      </c>
      <c r="O21" s="74"/>
      <c r="P21" s="75">
        <v>0</v>
      </c>
      <c r="Q21" s="75">
        <v>0</v>
      </c>
      <c r="R21" s="76">
        <f ca="1">+Q21+P21</f>
        <v>0</v>
      </c>
    </row>
    <row r="22" spans="1:21">
      <c r="B22" s="48" t="s">
        <v>51</v>
      </c>
      <c r="C22" s="48">
        <v>100</v>
      </c>
      <c r="D22" s="48">
        <v>119500</v>
      </c>
      <c r="E22" s="48" t="s">
        <v>83</v>
      </c>
      <c r="F22" s="48" t="s">
        <v>84</v>
      </c>
      <c r="G22" s="48">
        <v>800</v>
      </c>
      <c r="I22" s="48" t="s">
        <v>6</v>
      </c>
      <c r="J22" s="48">
        <v>800</v>
      </c>
      <c r="K22" s="48">
        <v>401500</v>
      </c>
      <c r="L22" s="48" t="s">
        <v>83</v>
      </c>
      <c r="M22" s="48" t="s">
        <v>84</v>
      </c>
      <c r="N22" s="73">
        <v>100</v>
      </c>
      <c r="O22" s="74"/>
      <c r="P22" s="75">
        <v>107476.51</v>
      </c>
      <c r="Q22" s="75">
        <v>-102432.99</v>
      </c>
      <c r="R22" s="76">
        <f ca="1">+Q22+P22</f>
        <v>5043.5199999999895</v>
      </c>
      <c r="U22" s="36" t="s">
        <v>381</v>
      </c>
    </row>
    <row r="23" spans="1:21">
      <c r="B23" s="48" t="s">
        <v>51</v>
      </c>
      <c r="C23" s="48">
        <v>100</v>
      </c>
      <c r="D23" s="48">
        <v>119500</v>
      </c>
      <c r="E23" s="48" t="s">
        <v>83</v>
      </c>
      <c r="F23" s="48" t="s">
        <v>84</v>
      </c>
      <c r="G23" s="48">
        <v>700</v>
      </c>
      <c r="I23" s="48" t="s">
        <v>12</v>
      </c>
      <c r="J23" s="48">
        <v>700</v>
      </c>
      <c r="K23" s="48">
        <v>401500</v>
      </c>
      <c r="L23" s="48" t="s">
        <v>83</v>
      </c>
      <c r="M23" s="48" t="s">
        <v>84</v>
      </c>
      <c r="N23" s="73">
        <v>100</v>
      </c>
      <c r="O23" s="74"/>
      <c r="P23" s="75">
        <v>161011.77000000005</v>
      </c>
      <c r="Q23" s="75">
        <v>-178940.20999999996</v>
      </c>
      <c r="R23" s="76">
        <f ca="1">+Q23+P23</f>
        <v>-17928.439999999915</v>
      </c>
    </row>
    <row r="24" spans="1:21">
      <c r="N24" s="48" t="s">
        <v>356</v>
      </c>
      <c r="R24" s="77">
        <f ca="1">SUM(R19:R23)</f>
        <v>-12884.919999999925</v>
      </c>
    </row>
    <row r="25" spans="1:21">
      <c r="A25" s="72" t="s">
        <v>14</v>
      </c>
    </row>
    <row r="26" spans="1:21">
      <c r="B26" s="48" t="s">
        <v>9</v>
      </c>
      <c r="C26" s="48">
        <v>500</v>
      </c>
      <c r="D26" s="48">
        <v>119500</v>
      </c>
      <c r="E26" s="48" t="s">
        <v>83</v>
      </c>
      <c r="F26" s="48" t="s">
        <v>84</v>
      </c>
      <c r="G26" s="48">
        <v>100</v>
      </c>
      <c r="I26" s="48" t="s">
        <v>51</v>
      </c>
      <c r="J26" s="48">
        <v>100</v>
      </c>
      <c r="K26" s="48">
        <v>401500</v>
      </c>
      <c r="L26" s="48" t="s">
        <v>83</v>
      </c>
      <c r="M26" s="48" t="s">
        <v>84</v>
      </c>
      <c r="N26" s="73">
        <v>500</v>
      </c>
      <c r="O26" s="74"/>
      <c r="P26" s="75">
        <v>6093.07</v>
      </c>
      <c r="Q26" s="75">
        <v>-6094.07</v>
      </c>
      <c r="R26" s="76">
        <f ca="1">+Q26+P26</f>
        <v>-1</v>
      </c>
    </row>
    <row r="27" spans="1:21">
      <c r="B27" s="48" t="s">
        <v>9</v>
      </c>
      <c r="C27" s="48">
        <v>500</v>
      </c>
      <c r="D27" s="48">
        <v>119500</v>
      </c>
      <c r="E27" s="48" t="s">
        <v>83</v>
      </c>
      <c r="F27" s="48" t="s">
        <v>84</v>
      </c>
      <c r="G27" s="48">
        <v>400</v>
      </c>
      <c r="I27" s="48" t="s">
        <v>7</v>
      </c>
      <c r="J27" s="48">
        <v>400</v>
      </c>
      <c r="K27" s="48">
        <v>401500</v>
      </c>
      <c r="L27" s="48" t="s">
        <v>83</v>
      </c>
      <c r="M27" s="48" t="s">
        <v>84</v>
      </c>
      <c r="N27" s="73">
        <v>500</v>
      </c>
      <c r="O27" s="74"/>
      <c r="P27" s="75">
        <v>1300.9500000000094</v>
      </c>
      <c r="Q27" s="75">
        <v>-1140.4500000000094</v>
      </c>
      <c r="R27" s="76">
        <f ca="1">+Q27+P27</f>
        <v>160.5</v>
      </c>
    </row>
    <row r="28" spans="1:21">
      <c r="B28" s="48" t="s">
        <v>9</v>
      </c>
      <c r="C28" s="48">
        <v>500</v>
      </c>
      <c r="D28" s="48">
        <v>119500</v>
      </c>
      <c r="E28" s="48" t="s">
        <v>83</v>
      </c>
      <c r="F28" s="48" t="s">
        <v>84</v>
      </c>
      <c r="G28" s="48">
        <v>600</v>
      </c>
      <c r="I28" s="48" t="s">
        <v>11</v>
      </c>
      <c r="J28" s="48">
        <v>600</v>
      </c>
      <c r="K28" s="48">
        <v>401500</v>
      </c>
      <c r="L28" s="48" t="s">
        <v>83</v>
      </c>
      <c r="M28" s="48" t="s">
        <v>84</v>
      </c>
      <c r="N28" s="73">
        <v>500</v>
      </c>
      <c r="O28" s="74"/>
      <c r="P28" s="75">
        <v>6771.51</v>
      </c>
      <c r="Q28" s="75">
        <v>-6771.52</v>
      </c>
      <c r="R28" s="76">
        <f ca="1">+Q28+P28</f>
        <v>-1.0000000000218279E-2</v>
      </c>
    </row>
    <row r="29" spans="1:21">
      <c r="B29" s="48" t="s">
        <v>9</v>
      </c>
      <c r="C29" s="48">
        <v>500</v>
      </c>
      <c r="D29" s="48">
        <v>119500</v>
      </c>
      <c r="E29" s="48" t="s">
        <v>83</v>
      </c>
      <c r="F29" s="48" t="s">
        <v>84</v>
      </c>
      <c r="G29" s="48">
        <v>800</v>
      </c>
      <c r="I29" s="48" t="s">
        <v>6</v>
      </c>
      <c r="J29" s="48">
        <v>800</v>
      </c>
      <c r="K29" s="48">
        <v>401500</v>
      </c>
      <c r="L29" s="48" t="s">
        <v>83</v>
      </c>
      <c r="M29" s="48" t="s">
        <v>84</v>
      </c>
      <c r="N29" s="73">
        <v>500</v>
      </c>
      <c r="O29" s="74"/>
      <c r="P29" s="75">
        <v>0</v>
      </c>
      <c r="Q29" s="75">
        <v>0</v>
      </c>
      <c r="R29" s="76">
        <f ca="1">+Q29+P29</f>
        <v>0</v>
      </c>
    </row>
    <row r="30" spans="1:21">
      <c r="B30" s="48" t="s">
        <v>9</v>
      </c>
      <c r="C30" s="48">
        <v>500</v>
      </c>
      <c r="D30" s="48">
        <v>119500</v>
      </c>
      <c r="E30" s="48" t="s">
        <v>83</v>
      </c>
      <c r="F30" s="48" t="s">
        <v>84</v>
      </c>
      <c r="G30" s="48">
        <v>700</v>
      </c>
      <c r="I30" s="48" t="s">
        <v>12</v>
      </c>
      <c r="J30" s="48">
        <v>700</v>
      </c>
      <c r="K30" s="48">
        <v>401500</v>
      </c>
      <c r="L30" s="48" t="s">
        <v>83</v>
      </c>
      <c r="M30" s="48" t="s">
        <v>84</v>
      </c>
      <c r="N30" s="73">
        <v>500</v>
      </c>
      <c r="O30" s="74"/>
      <c r="P30" s="75">
        <v>9274.09</v>
      </c>
      <c r="Q30" s="75">
        <v>-9273.07</v>
      </c>
      <c r="R30" s="76">
        <f ca="1">+Q30+P30</f>
        <v>1.0200000000004366</v>
      </c>
    </row>
    <row r="31" spans="1:21">
      <c r="N31" s="48" t="s">
        <v>356</v>
      </c>
      <c r="R31" s="77">
        <f ca="1">SUM(R26:R30)</f>
        <v>160.51000000000022</v>
      </c>
    </row>
    <row r="32" spans="1:21">
      <c r="A32" s="72" t="s">
        <v>18</v>
      </c>
    </row>
    <row r="33" spans="1:23">
      <c r="B33" s="48" t="s">
        <v>10</v>
      </c>
      <c r="C33" s="48">
        <v>504</v>
      </c>
      <c r="D33" s="48">
        <v>119500</v>
      </c>
      <c r="E33" s="48" t="s">
        <v>83</v>
      </c>
      <c r="F33" s="48" t="s">
        <v>84</v>
      </c>
      <c r="G33" s="48">
        <v>800</v>
      </c>
      <c r="I33" s="48" t="s">
        <v>6</v>
      </c>
      <c r="J33" s="48">
        <v>800</v>
      </c>
      <c r="K33" s="48">
        <v>401500</v>
      </c>
      <c r="L33" s="48" t="s">
        <v>83</v>
      </c>
      <c r="M33" s="48" t="s">
        <v>84</v>
      </c>
      <c r="N33" s="73">
        <v>504</v>
      </c>
      <c r="O33" s="74"/>
      <c r="P33" s="75">
        <v>55341.95</v>
      </c>
      <c r="Q33" s="75">
        <v>-55341.95</v>
      </c>
      <c r="R33" s="76">
        <f ca="1">+Q33+P33</f>
        <v>0</v>
      </c>
    </row>
    <row r="34" spans="1:23">
      <c r="N34" s="48" t="s">
        <v>356</v>
      </c>
      <c r="R34" s="77">
        <f ca="1">SUM(R33:R33)</f>
        <v>0</v>
      </c>
    </row>
    <row r="35" spans="1:23">
      <c r="A35" s="72" t="s">
        <v>15</v>
      </c>
    </row>
    <row r="36" spans="1:23">
      <c r="B36" s="48" t="s">
        <v>11</v>
      </c>
      <c r="C36" s="48">
        <v>600</v>
      </c>
      <c r="D36" s="48">
        <v>119500</v>
      </c>
      <c r="E36" s="48" t="s">
        <v>83</v>
      </c>
      <c r="F36" s="48" t="s">
        <v>84</v>
      </c>
      <c r="G36" s="48">
        <v>400</v>
      </c>
      <c r="I36" s="48" t="s">
        <v>7</v>
      </c>
      <c r="J36" s="48">
        <v>400</v>
      </c>
      <c r="K36" s="48">
        <v>401500</v>
      </c>
      <c r="L36" s="48" t="s">
        <v>83</v>
      </c>
      <c r="M36" s="48" t="s">
        <v>84</v>
      </c>
      <c r="N36" s="73">
        <v>600</v>
      </c>
      <c r="O36" s="74"/>
      <c r="P36" s="75">
        <v>0</v>
      </c>
      <c r="Q36" s="75">
        <v>2.9103830456733704E-11</v>
      </c>
      <c r="R36" s="76">
        <f ca="1">+Q36+P36</f>
        <v>2.9103830456733704E-11</v>
      </c>
      <c r="W36" s="80"/>
    </row>
    <row r="37" spans="1:23">
      <c r="B37" s="48" t="s">
        <v>11</v>
      </c>
      <c r="C37" s="48">
        <v>600</v>
      </c>
      <c r="D37" s="48">
        <v>119500</v>
      </c>
      <c r="E37" s="48" t="s">
        <v>83</v>
      </c>
      <c r="F37" s="48" t="s">
        <v>84</v>
      </c>
      <c r="G37" s="48">
        <v>100</v>
      </c>
      <c r="I37" s="48" t="s">
        <v>51</v>
      </c>
      <c r="J37" s="48">
        <v>100</v>
      </c>
      <c r="K37" s="48">
        <v>401500</v>
      </c>
      <c r="L37" s="48" t="s">
        <v>83</v>
      </c>
      <c r="M37" s="48" t="s">
        <v>84</v>
      </c>
      <c r="N37" s="73">
        <v>600</v>
      </c>
      <c r="O37" s="74"/>
      <c r="P37" s="75">
        <v>1242.1999999999998</v>
      </c>
      <c r="Q37" s="75">
        <v>-1242.1999999999998</v>
      </c>
      <c r="R37" s="76">
        <f ca="1">+Q37+P37</f>
        <v>0</v>
      </c>
      <c r="W37" s="80"/>
    </row>
    <row r="38" spans="1:23">
      <c r="B38" s="48" t="s">
        <v>11</v>
      </c>
      <c r="C38" s="48">
        <v>600</v>
      </c>
      <c r="D38" s="48">
        <v>119500</v>
      </c>
      <c r="E38" s="48" t="s">
        <v>83</v>
      </c>
      <c r="F38" s="48" t="s">
        <v>84</v>
      </c>
      <c r="G38" s="48">
        <v>500</v>
      </c>
      <c r="I38" s="48" t="s">
        <v>9</v>
      </c>
      <c r="J38" s="48">
        <v>500</v>
      </c>
      <c r="K38" s="48">
        <v>401500</v>
      </c>
      <c r="L38" s="48" t="s">
        <v>83</v>
      </c>
      <c r="M38" s="48" t="s">
        <v>84</v>
      </c>
      <c r="N38" s="73">
        <v>600</v>
      </c>
      <c r="O38" s="74"/>
      <c r="P38" s="75">
        <v>0.96000000000276486</v>
      </c>
      <c r="Q38" s="75">
        <v>-0.95000000000254659</v>
      </c>
      <c r="R38" s="76">
        <f ca="1">+Q38+P38</f>
        <v>1.0000000000218279E-2</v>
      </c>
    </row>
    <row r="39" spans="1:23">
      <c r="B39" s="48" t="s">
        <v>11</v>
      </c>
      <c r="C39" s="48">
        <v>600</v>
      </c>
      <c r="D39" s="48">
        <v>119500</v>
      </c>
      <c r="E39" s="48" t="s">
        <v>83</v>
      </c>
      <c r="F39" s="48" t="s">
        <v>84</v>
      </c>
      <c r="G39" s="48">
        <v>800</v>
      </c>
      <c r="I39" s="48" t="s">
        <v>6</v>
      </c>
      <c r="J39" s="48">
        <v>800</v>
      </c>
      <c r="K39" s="48">
        <v>401500</v>
      </c>
      <c r="L39" s="48" t="s">
        <v>83</v>
      </c>
      <c r="M39" s="48" t="s">
        <v>84</v>
      </c>
      <c r="N39" s="73">
        <v>600</v>
      </c>
      <c r="O39" s="74"/>
      <c r="P39" s="75">
        <v>525</v>
      </c>
      <c r="Q39" s="75">
        <v>-525</v>
      </c>
      <c r="R39" s="76">
        <f ca="1">+Q39+P39</f>
        <v>0</v>
      </c>
    </row>
    <row r="40" spans="1:23">
      <c r="B40" s="48" t="s">
        <v>11</v>
      </c>
      <c r="C40" s="48">
        <v>600</v>
      </c>
      <c r="D40" s="48">
        <v>119500</v>
      </c>
      <c r="E40" s="48" t="s">
        <v>83</v>
      </c>
      <c r="F40" s="48" t="s">
        <v>84</v>
      </c>
      <c r="G40" s="48">
        <v>700</v>
      </c>
      <c r="I40" s="48" t="s">
        <v>12</v>
      </c>
      <c r="J40" s="48">
        <v>700</v>
      </c>
      <c r="K40" s="48">
        <v>401500</v>
      </c>
      <c r="L40" s="48" t="s">
        <v>83</v>
      </c>
      <c r="M40" s="48" t="s">
        <v>84</v>
      </c>
      <c r="N40" s="73">
        <v>600</v>
      </c>
      <c r="O40" s="74"/>
      <c r="P40" s="75">
        <v>2379.4899999999907</v>
      </c>
      <c r="Q40" s="75">
        <v>-2379.4899999999834</v>
      </c>
      <c r="R40" s="76">
        <f ca="1">+Q40+P40</f>
        <v>7.2759576141834259E-12</v>
      </c>
    </row>
    <row r="41" spans="1:23">
      <c r="N41" s="48" t="s">
        <v>356</v>
      </c>
      <c r="R41" s="77">
        <f ca="1">SUM(R36:R40)</f>
        <v>1.0000000036598067E-2</v>
      </c>
    </row>
    <row r="42" spans="1:23">
      <c r="A42" s="72" t="s">
        <v>16</v>
      </c>
    </row>
    <row r="43" spans="1:23">
      <c r="B43" s="48" t="s">
        <v>12</v>
      </c>
      <c r="C43" s="48">
        <v>700</v>
      </c>
      <c r="D43" s="48">
        <v>119500</v>
      </c>
      <c r="E43" s="48" t="s">
        <v>83</v>
      </c>
      <c r="F43" s="48" t="s">
        <v>84</v>
      </c>
      <c r="G43" s="48">
        <v>400</v>
      </c>
      <c r="I43" s="48" t="s">
        <v>7</v>
      </c>
      <c r="J43" s="48">
        <v>400</v>
      </c>
      <c r="K43" s="48">
        <v>401500</v>
      </c>
      <c r="L43" s="48" t="s">
        <v>83</v>
      </c>
      <c r="M43" s="48" t="s">
        <v>84</v>
      </c>
      <c r="N43" s="73">
        <v>700</v>
      </c>
      <c r="O43" s="74"/>
      <c r="P43" s="75">
        <v>0</v>
      </c>
      <c r="Q43" s="75">
        <v>0</v>
      </c>
      <c r="R43" s="76">
        <f ca="1">+Q43+P43</f>
        <v>0</v>
      </c>
    </row>
    <row r="44" spans="1:23">
      <c r="B44" s="48" t="s">
        <v>12</v>
      </c>
      <c r="C44" s="48">
        <v>700</v>
      </c>
      <c r="D44" s="48">
        <v>119500</v>
      </c>
      <c r="E44" s="48" t="s">
        <v>83</v>
      </c>
      <c r="F44" s="48" t="s">
        <v>84</v>
      </c>
      <c r="G44" s="48">
        <v>100</v>
      </c>
      <c r="I44" s="48" t="s">
        <v>51</v>
      </c>
      <c r="J44" s="48">
        <v>100</v>
      </c>
      <c r="K44" s="48">
        <v>401500</v>
      </c>
      <c r="L44" s="48" t="s">
        <v>83</v>
      </c>
      <c r="M44" s="48" t="s">
        <v>84</v>
      </c>
      <c r="N44" s="73">
        <v>700</v>
      </c>
      <c r="O44" s="74"/>
      <c r="P44" s="75">
        <v>-3335.4999999999272</v>
      </c>
      <c r="Q44" s="75">
        <v>202.38000000081956</v>
      </c>
      <c r="R44" s="76">
        <f ca="1">+Q44+P44</f>
        <v>-3133.1199999991077</v>
      </c>
    </row>
    <row r="45" spans="1:23">
      <c r="B45" s="48" t="s">
        <v>12</v>
      </c>
      <c r="C45" s="48">
        <v>700</v>
      </c>
      <c r="D45" s="48">
        <v>119500</v>
      </c>
      <c r="E45" s="48" t="s">
        <v>83</v>
      </c>
      <c r="F45" s="48" t="s">
        <v>84</v>
      </c>
      <c r="G45" s="48">
        <v>500</v>
      </c>
      <c r="I45" s="48" t="s">
        <v>9</v>
      </c>
      <c r="J45" s="48">
        <v>500</v>
      </c>
      <c r="K45" s="48">
        <v>401500</v>
      </c>
      <c r="L45" s="48" t="s">
        <v>83</v>
      </c>
      <c r="M45" s="48" t="s">
        <v>84</v>
      </c>
      <c r="N45" s="73">
        <v>700</v>
      </c>
      <c r="O45" s="74"/>
      <c r="P45" s="75">
        <v>2410.4800000000009</v>
      </c>
      <c r="Q45" s="75">
        <v>-2410.4800000000005</v>
      </c>
      <c r="R45" s="76">
        <f ca="1">+Q45+P45</f>
        <v>0</v>
      </c>
    </row>
    <row r="46" spans="1:23">
      <c r="B46" s="48" t="s">
        <v>12</v>
      </c>
      <c r="C46" s="48">
        <v>700</v>
      </c>
      <c r="D46" s="48">
        <v>119500</v>
      </c>
      <c r="E46" s="48" t="s">
        <v>83</v>
      </c>
      <c r="F46" s="48" t="s">
        <v>84</v>
      </c>
      <c r="G46" s="48">
        <v>800</v>
      </c>
      <c r="I46" s="48" t="s">
        <v>6</v>
      </c>
      <c r="J46" s="48">
        <v>800</v>
      </c>
      <c r="K46" s="48">
        <v>401500</v>
      </c>
      <c r="L46" s="48" t="s">
        <v>83</v>
      </c>
      <c r="M46" s="48" t="s">
        <v>84</v>
      </c>
      <c r="N46" s="73">
        <v>700</v>
      </c>
      <c r="O46" s="74"/>
      <c r="P46" s="75">
        <v>-210.74</v>
      </c>
      <c r="Q46" s="75">
        <v>0</v>
      </c>
      <c r="R46" s="76">
        <f ca="1">+Q46+P46</f>
        <v>-210.74</v>
      </c>
    </row>
    <row r="47" spans="1:23">
      <c r="B47" s="48" t="s">
        <v>12</v>
      </c>
      <c r="C47" s="48">
        <v>700</v>
      </c>
      <c r="D47" s="48">
        <v>119500</v>
      </c>
      <c r="E47" s="48" t="s">
        <v>83</v>
      </c>
      <c r="F47" s="48" t="s">
        <v>84</v>
      </c>
      <c r="G47" s="48">
        <v>600</v>
      </c>
      <c r="I47" s="48" t="s">
        <v>11</v>
      </c>
      <c r="J47" s="48">
        <v>600</v>
      </c>
      <c r="K47" s="48">
        <v>401500</v>
      </c>
      <c r="L47" s="48" t="s">
        <v>83</v>
      </c>
      <c r="M47" s="48" t="s">
        <v>84</v>
      </c>
      <c r="N47" s="73">
        <v>700</v>
      </c>
      <c r="O47" s="74"/>
      <c r="P47" s="75">
        <v>6118.7699999999995</v>
      </c>
      <c r="Q47" s="75">
        <v>-6118.71</v>
      </c>
      <c r="R47" s="76">
        <f ca="1">+Q47+P47</f>
        <v>5.9999999999490683E-2</v>
      </c>
    </row>
    <row r="48" spans="1:23">
      <c r="N48" s="48" t="s">
        <v>356</v>
      </c>
      <c r="R48" s="77">
        <f ca="1">SUM(R43:R47)</f>
        <v>-3343.799999999108</v>
      </c>
    </row>
    <row r="49" spans="1:21">
      <c r="A49" s="72" t="s">
        <v>17</v>
      </c>
    </row>
    <row r="50" spans="1:21">
      <c r="B50" s="48" t="s">
        <v>6</v>
      </c>
      <c r="C50" s="48">
        <v>800</v>
      </c>
      <c r="D50" s="48">
        <v>119500</v>
      </c>
      <c r="E50" s="48" t="s">
        <v>83</v>
      </c>
      <c r="F50" s="48" t="s">
        <v>84</v>
      </c>
      <c r="G50" s="48">
        <v>400</v>
      </c>
      <c r="I50" s="48" t="s">
        <v>7</v>
      </c>
      <c r="J50" s="48">
        <v>400</v>
      </c>
      <c r="K50" s="48">
        <v>401500</v>
      </c>
      <c r="L50" s="48" t="s">
        <v>83</v>
      </c>
      <c r="M50" s="48" t="s">
        <v>84</v>
      </c>
      <c r="N50" s="73">
        <v>800</v>
      </c>
      <c r="O50" s="74"/>
      <c r="P50" s="75">
        <v>955.58000000000027</v>
      </c>
      <c r="Q50" s="75">
        <v>-955.54999999999984</v>
      </c>
      <c r="R50" s="76">
        <f t="shared" ref="R50:R56" ca="1" si="1">+Q50+P50</f>
        <v>3.0000000000427463E-2</v>
      </c>
    </row>
    <row r="51" spans="1:21">
      <c r="B51" s="48" t="s">
        <v>6</v>
      </c>
      <c r="C51" s="48">
        <v>800</v>
      </c>
      <c r="D51" s="48">
        <v>119500</v>
      </c>
      <c r="E51" s="48" t="s">
        <v>83</v>
      </c>
      <c r="F51" s="48" t="s">
        <v>84</v>
      </c>
      <c r="G51" s="48">
        <v>100</v>
      </c>
      <c r="I51" s="48" t="s">
        <v>51</v>
      </c>
      <c r="J51" s="48">
        <v>100</v>
      </c>
      <c r="K51" s="48">
        <v>401500</v>
      </c>
      <c r="L51" s="48" t="s">
        <v>83</v>
      </c>
      <c r="M51" s="48" t="s">
        <v>84</v>
      </c>
      <c r="N51" s="73">
        <v>800</v>
      </c>
      <c r="O51" s="74"/>
      <c r="P51" s="75">
        <v>469744.69</v>
      </c>
      <c r="Q51" s="75">
        <v>-469744.63999999996</v>
      </c>
      <c r="R51" s="76">
        <f t="shared" ca="1" si="1"/>
        <v>5.0000000046566129E-2</v>
      </c>
    </row>
    <row r="52" spans="1:21">
      <c r="B52" s="48" t="s">
        <v>6</v>
      </c>
      <c r="C52" s="48">
        <v>800</v>
      </c>
      <c r="D52" s="48">
        <v>119500</v>
      </c>
      <c r="E52" s="48" t="s">
        <v>83</v>
      </c>
      <c r="F52" s="48" t="s">
        <v>84</v>
      </c>
      <c r="G52" s="48">
        <v>500</v>
      </c>
      <c r="I52" s="48" t="s">
        <v>9</v>
      </c>
      <c r="J52" s="48">
        <v>500</v>
      </c>
      <c r="K52" s="48">
        <v>401500</v>
      </c>
      <c r="L52" s="48" t="s">
        <v>83</v>
      </c>
      <c r="M52" s="48" t="s">
        <v>84</v>
      </c>
      <c r="N52" s="73">
        <v>800</v>
      </c>
      <c r="O52" s="74"/>
      <c r="P52" s="75">
        <v>81459.31</v>
      </c>
      <c r="Q52" s="75">
        <v>-81459.31</v>
      </c>
      <c r="R52" s="76">
        <f t="shared" ca="1" si="1"/>
        <v>0</v>
      </c>
    </row>
    <row r="53" spans="1:21">
      <c r="B53" s="48" t="s">
        <v>6</v>
      </c>
      <c r="C53" s="48">
        <v>800</v>
      </c>
      <c r="D53" s="48">
        <v>119500</v>
      </c>
      <c r="E53" s="48" t="s">
        <v>83</v>
      </c>
      <c r="F53" s="48" t="s">
        <v>84</v>
      </c>
      <c r="G53" s="48">
        <v>504</v>
      </c>
      <c r="I53" s="48" t="s">
        <v>10</v>
      </c>
      <c r="J53" s="48">
        <v>504</v>
      </c>
      <c r="K53" s="48">
        <v>401500</v>
      </c>
      <c r="L53" s="48" t="s">
        <v>83</v>
      </c>
      <c r="M53" s="48" t="s">
        <v>84</v>
      </c>
      <c r="N53" s="73">
        <v>800</v>
      </c>
      <c r="O53" s="74"/>
      <c r="P53" s="75">
        <v>15579.41</v>
      </c>
      <c r="Q53" s="75">
        <v>-15579.41</v>
      </c>
      <c r="R53" s="76">
        <f t="shared" ref="R53" ca="1" si="2">+Q53+P53</f>
        <v>0</v>
      </c>
    </row>
    <row r="54" spans="1:21">
      <c r="B54" s="48" t="s">
        <v>6</v>
      </c>
      <c r="C54" s="48">
        <v>800</v>
      </c>
      <c r="D54" s="48">
        <v>119500</v>
      </c>
      <c r="E54" s="48" t="s">
        <v>83</v>
      </c>
      <c r="F54" s="48" t="s">
        <v>84</v>
      </c>
      <c r="G54" s="48">
        <v>800</v>
      </c>
      <c r="I54" s="48" t="s">
        <v>6</v>
      </c>
      <c r="J54" s="48">
        <v>800</v>
      </c>
      <c r="K54" s="48">
        <v>401500</v>
      </c>
      <c r="L54" s="48" t="s">
        <v>83</v>
      </c>
      <c r="M54" s="48" t="s">
        <v>84</v>
      </c>
      <c r="N54" s="73">
        <v>800</v>
      </c>
      <c r="O54" s="74"/>
      <c r="P54" s="75">
        <v>0</v>
      </c>
      <c r="Q54" s="75">
        <v>0</v>
      </c>
      <c r="R54" s="76">
        <f t="shared" ca="1" si="1"/>
        <v>0</v>
      </c>
    </row>
    <row r="55" spans="1:21">
      <c r="B55" s="48" t="s">
        <v>6</v>
      </c>
      <c r="C55" s="48">
        <v>800</v>
      </c>
      <c r="D55" s="48">
        <v>119500</v>
      </c>
      <c r="E55" s="48" t="s">
        <v>83</v>
      </c>
      <c r="F55" s="48" t="s">
        <v>84</v>
      </c>
      <c r="G55" s="48">
        <v>600</v>
      </c>
      <c r="I55" s="48" t="s">
        <v>11</v>
      </c>
      <c r="J55" s="48">
        <v>600</v>
      </c>
      <c r="K55" s="48">
        <v>401500</v>
      </c>
      <c r="L55" s="48" t="s">
        <v>83</v>
      </c>
      <c r="M55" s="48" t="s">
        <v>84</v>
      </c>
      <c r="N55" s="73">
        <v>800</v>
      </c>
      <c r="O55" s="74"/>
      <c r="P55" s="75">
        <v>142299.03</v>
      </c>
      <c r="Q55" s="75">
        <v>-142299.02000000002</v>
      </c>
      <c r="R55" s="76">
        <f t="shared" ca="1" si="1"/>
        <v>9.9999999802093953E-3</v>
      </c>
    </row>
    <row r="56" spans="1:21">
      <c r="B56" s="48" t="s">
        <v>6</v>
      </c>
      <c r="C56" s="48">
        <v>800</v>
      </c>
      <c r="D56" s="48">
        <v>119500</v>
      </c>
      <c r="E56" s="48" t="s">
        <v>83</v>
      </c>
      <c r="F56" s="48" t="s">
        <v>84</v>
      </c>
      <c r="G56" s="48">
        <v>700</v>
      </c>
      <c r="I56" s="48" t="s">
        <v>12</v>
      </c>
      <c r="J56" s="48">
        <v>700</v>
      </c>
      <c r="K56" s="48">
        <v>401500</v>
      </c>
      <c r="L56" s="48" t="s">
        <v>83</v>
      </c>
      <c r="M56" s="48" t="s">
        <v>84</v>
      </c>
      <c r="N56" s="73">
        <v>800</v>
      </c>
      <c r="O56" s="74"/>
      <c r="P56" s="75">
        <v>166802.38</v>
      </c>
      <c r="Q56" s="75">
        <v>-3886501.64</v>
      </c>
      <c r="R56" s="76">
        <f t="shared" ca="1" si="1"/>
        <v>-3719699.2600000002</v>
      </c>
    </row>
    <row r="57" spans="1:21">
      <c r="N57" s="48" t="s">
        <v>356</v>
      </c>
      <c r="P57" s="81"/>
      <c r="R57" s="77">
        <f ca="1">SUM(R50:R56)</f>
        <v>-3719699.1700000004</v>
      </c>
    </row>
    <row r="58" spans="1:21">
      <c r="A58" s="72" t="s">
        <v>328</v>
      </c>
      <c r="P58" s="81"/>
      <c r="R58" s="82"/>
    </row>
    <row r="59" spans="1:21">
      <c r="B59" s="48" t="s">
        <v>6</v>
      </c>
      <c r="C59" s="48">
        <v>800</v>
      </c>
      <c r="D59" s="48">
        <v>119550</v>
      </c>
      <c r="E59" s="48" t="s">
        <v>83</v>
      </c>
      <c r="F59" s="48" t="s">
        <v>84</v>
      </c>
      <c r="G59" s="48">
        <v>400</v>
      </c>
      <c r="I59" s="48" t="s">
        <v>7</v>
      </c>
      <c r="J59" s="48">
        <v>400</v>
      </c>
      <c r="K59" s="48">
        <v>401550</v>
      </c>
      <c r="L59" s="48" t="s">
        <v>83</v>
      </c>
      <c r="M59" s="48" t="s">
        <v>84</v>
      </c>
      <c r="N59" s="73">
        <v>800</v>
      </c>
      <c r="P59" s="75">
        <v>1199.96</v>
      </c>
      <c r="Q59" s="75">
        <v>-1200</v>
      </c>
      <c r="R59" s="76">
        <f ca="1">+Q59+P59</f>
        <v>-3.999999999996362E-2</v>
      </c>
    </row>
    <row r="60" spans="1:21">
      <c r="B60" s="48" t="s">
        <v>6</v>
      </c>
      <c r="C60" s="48">
        <v>800</v>
      </c>
      <c r="D60" s="48">
        <v>119550</v>
      </c>
      <c r="E60" s="48" t="s">
        <v>83</v>
      </c>
      <c r="F60" s="48" t="s">
        <v>84</v>
      </c>
      <c r="G60" s="48">
        <v>500</v>
      </c>
      <c r="I60" s="48" t="s">
        <v>9</v>
      </c>
      <c r="J60" s="48">
        <v>500</v>
      </c>
      <c r="K60" s="48">
        <v>401550</v>
      </c>
      <c r="L60" s="48" t="s">
        <v>83</v>
      </c>
      <c r="M60" s="48" t="s">
        <v>84</v>
      </c>
      <c r="N60" s="73">
        <v>800</v>
      </c>
      <c r="P60" s="75">
        <v>27024.930000000004</v>
      </c>
      <c r="Q60" s="75">
        <v>-27200</v>
      </c>
      <c r="R60" s="76">
        <f ca="1">+Q60+P60</f>
        <v>-175.06999999999607</v>
      </c>
    </row>
    <row r="61" spans="1:21">
      <c r="B61" s="48" t="s">
        <v>6</v>
      </c>
      <c r="C61" s="48">
        <v>800</v>
      </c>
      <c r="D61" s="48">
        <v>119550</v>
      </c>
      <c r="E61" s="48" t="s">
        <v>83</v>
      </c>
      <c r="F61" s="48" t="s">
        <v>84</v>
      </c>
      <c r="G61" s="48">
        <v>600</v>
      </c>
      <c r="I61" s="48" t="s">
        <v>11</v>
      </c>
      <c r="J61" s="48">
        <v>600</v>
      </c>
      <c r="K61" s="48">
        <v>401550</v>
      </c>
      <c r="L61" s="48" t="s">
        <v>83</v>
      </c>
      <c r="M61" s="48" t="s">
        <v>84</v>
      </c>
      <c r="N61" s="73">
        <v>800</v>
      </c>
      <c r="P61" s="75">
        <v>49000.05</v>
      </c>
      <c r="Q61" s="75">
        <v>-49000</v>
      </c>
      <c r="R61" s="76">
        <f ca="1">+Q61+P61</f>
        <v>5.0000000002910383E-2</v>
      </c>
    </row>
    <row r="62" spans="1:21">
      <c r="B62" s="48" t="s">
        <v>6</v>
      </c>
      <c r="C62" s="48">
        <v>800</v>
      </c>
      <c r="D62" s="48">
        <v>119550</v>
      </c>
      <c r="E62" s="48" t="s">
        <v>83</v>
      </c>
      <c r="F62" s="48" t="s">
        <v>84</v>
      </c>
      <c r="G62" s="48">
        <v>700</v>
      </c>
      <c r="I62" s="48" t="s">
        <v>12</v>
      </c>
      <c r="J62" s="48">
        <v>700</v>
      </c>
      <c r="K62" s="48">
        <v>401550</v>
      </c>
      <c r="L62" s="48" t="s">
        <v>83</v>
      </c>
      <c r="M62" s="48" t="s">
        <v>84</v>
      </c>
      <c r="N62" s="73">
        <v>800</v>
      </c>
      <c r="P62" s="75">
        <v>52144.890000000007</v>
      </c>
      <c r="Q62" s="75">
        <v>0</v>
      </c>
      <c r="R62" s="76">
        <f ca="1">+Q62+P62</f>
        <v>52144.890000000007</v>
      </c>
      <c r="U62" s="36" t="s">
        <v>389</v>
      </c>
    </row>
    <row r="63" spans="1:21">
      <c r="P63" s="81"/>
      <c r="R63" s="82">
        <f ca="1">SUM(R59:R62)</f>
        <v>51969.830000000016</v>
      </c>
    </row>
    <row r="64" spans="1:21">
      <c r="A64" s="72" t="s">
        <v>19</v>
      </c>
      <c r="S64" s="83"/>
      <c r="T64" s="84"/>
      <c r="U64" s="84"/>
    </row>
    <row r="65" spans="1:21">
      <c r="B65" s="48" t="s">
        <v>6</v>
      </c>
      <c r="C65" s="48">
        <v>800</v>
      </c>
      <c r="D65" s="48">
        <v>119545</v>
      </c>
      <c r="E65" s="48" t="s">
        <v>83</v>
      </c>
      <c r="F65" s="48" t="s">
        <v>84</v>
      </c>
      <c r="G65" s="48">
        <v>400</v>
      </c>
      <c r="I65" s="48" t="s">
        <v>7</v>
      </c>
      <c r="J65" s="48">
        <v>400</v>
      </c>
      <c r="K65" s="48">
        <v>412045</v>
      </c>
      <c r="L65" s="48" t="s">
        <v>83</v>
      </c>
      <c r="M65" s="48" t="s">
        <v>84</v>
      </c>
      <c r="N65" s="85" t="s">
        <v>71</v>
      </c>
      <c r="O65" s="74"/>
      <c r="P65" s="75">
        <v>-376.21</v>
      </c>
      <c r="Q65" s="75">
        <v>289.20999999999998</v>
      </c>
      <c r="R65" s="76">
        <f t="shared" ref="R65:R72" ca="1" si="3">+Q65+P65</f>
        <v>-87</v>
      </c>
      <c r="S65" s="83"/>
      <c r="T65" s="84"/>
      <c r="U65" s="84"/>
    </row>
    <row r="66" spans="1:21">
      <c r="B66" s="48" t="s">
        <v>6</v>
      </c>
      <c r="C66" s="48">
        <v>800</v>
      </c>
      <c r="D66" s="48">
        <v>119545</v>
      </c>
      <c r="E66" s="48" t="s">
        <v>83</v>
      </c>
      <c r="F66" s="48" t="s">
        <v>84</v>
      </c>
      <c r="G66" s="73" t="s">
        <v>78</v>
      </c>
      <c r="I66" s="48" t="s">
        <v>51</v>
      </c>
      <c r="J66" s="48">
        <v>100</v>
      </c>
      <c r="K66" s="48">
        <v>412045</v>
      </c>
      <c r="L66" s="48" t="s">
        <v>83</v>
      </c>
      <c r="M66" s="48" t="s">
        <v>84</v>
      </c>
      <c r="N66" s="85" t="s">
        <v>71</v>
      </c>
      <c r="O66" s="74"/>
      <c r="P66" s="75">
        <v>-91105</v>
      </c>
      <c r="Q66" s="75">
        <v>-27973</v>
      </c>
      <c r="R66" s="76"/>
    </row>
    <row r="67" spans="1:21">
      <c r="G67" s="73"/>
      <c r="I67" s="48" t="s">
        <v>379</v>
      </c>
      <c r="J67" s="48">
        <v>115</v>
      </c>
      <c r="K67" s="48">
        <v>412045</v>
      </c>
      <c r="L67" s="48" t="s">
        <v>83</v>
      </c>
      <c r="M67" s="48" t="s">
        <v>84</v>
      </c>
      <c r="N67" s="85" t="s">
        <v>71</v>
      </c>
      <c r="O67" s="74"/>
      <c r="P67" s="86"/>
      <c r="Q67" s="86">
        <v>0</v>
      </c>
      <c r="R67" s="87"/>
    </row>
    <row r="68" spans="1:21">
      <c r="G68" s="73"/>
      <c r="N68" s="85"/>
      <c r="O68" s="74"/>
      <c r="P68" s="75">
        <f ca="1">SUM(P66:P67)</f>
        <v>-91105</v>
      </c>
      <c r="Q68" s="75">
        <f ca="1">SUM(Q66:Q67)</f>
        <v>-27973</v>
      </c>
      <c r="R68" s="76">
        <f ca="1">+Q68+P68</f>
        <v>-119078</v>
      </c>
      <c r="U68" s="36" t="s">
        <v>380</v>
      </c>
    </row>
    <row r="69" spans="1:21">
      <c r="B69" s="48" t="s">
        <v>6</v>
      </c>
      <c r="C69" s="48">
        <v>800</v>
      </c>
      <c r="D69" s="48">
        <v>119545</v>
      </c>
      <c r="E69" s="48" t="s">
        <v>83</v>
      </c>
      <c r="F69" s="48" t="s">
        <v>84</v>
      </c>
      <c r="G69" s="48">
        <v>500</v>
      </c>
      <c r="I69" s="48" t="s">
        <v>9</v>
      </c>
      <c r="J69" s="48">
        <v>500</v>
      </c>
      <c r="K69" s="48">
        <v>412045</v>
      </c>
      <c r="L69" s="48" t="s">
        <v>83</v>
      </c>
      <c r="M69" s="48" t="s">
        <v>84</v>
      </c>
      <c r="N69" s="85" t="s">
        <v>71</v>
      </c>
      <c r="O69" s="74"/>
      <c r="P69" s="75">
        <v>-7.12</v>
      </c>
      <c r="Q69" s="75">
        <v>-11.2</v>
      </c>
      <c r="R69" s="76">
        <f t="shared" ca="1" si="3"/>
        <v>-18.32</v>
      </c>
    </row>
    <row r="70" spans="1:21">
      <c r="B70" s="48" t="s">
        <v>6</v>
      </c>
      <c r="C70" s="48">
        <v>800</v>
      </c>
      <c r="D70" s="48">
        <v>119545</v>
      </c>
      <c r="E70" s="48" t="s">
        <v>83</v>
      </c>
      <c r="F70" s="48" t="s">
        <v>84</v>
      </c>
      <c r="G70" s="48">
        <v>600</v>
      </c>
      <c r="I70" s="48" t="s">
        <v>11</v>
      </c>
      <c r="J70" s="48">
        <v>600</v>
      </c>
      <c r="K70" s="48">
        <v>412045</v>
      </c>
      <c r="L70" s="48" t="s">
        <v>83</v>
      </c>
      <c r="M70" s="48" t="s">
        <v>84</v>
      </c>
      <c r="N70" s="85" t="s">
        <v>71</v>
      </c>
      <c r="O70" s="74"/>
      <c r="P70" s="75">
        <v>4.16</v>
      </c>
      <c r="Q70" s="75">
        <v>-4.16</v>
      </c>
      <c r="R70" s="76">
        <f t="shared" ca="1" si="3"/>
        <v>0</v>
      </c>
    </row>
    <row r="71" spans="1:21">
      <c r="B71" s="48" t="s">
        <v>6</v>
      </c>
      <c r="C71" s="48">
        <v>800</v>
      </c>
      <c r="D71" s="48">
        <v>119545</v>
      </c>
      <c r="E71" s="48" t="s">
        <v>83</v>
      </c>
      <c r="F71" s="48" t="s">
        <v>84</v>
      </c>
      <c r="G71" s="48">
        <v>700</v>
      </c>
      <c r="I71" s="48" t="s">
        <v>12</v>
      </c>
      <c r="J71" s="48">
        <v>700</v>
      </c>
      <c r="K71" s="48">
        <v>412045</v>
      </c>
      <c r="L71" s="48" t="s">
        <v>83</v>
      </c>
      <c r="M71" s="48" t="s">
        <v>84</v>
      </c>
      <c r="N71" s="85" t="s">
        <v>71</v>
      </c>
      <c r="O71" s="74"/>
      <c r="P71" s="75">
        <v>97786</v>
      </c>
      <c r="Q71" s="75">
        <v>-97787.95</v>
      </c>
      <c r="R71" s="76">
        <f t="shared" ca="1" si="3"/>
        <v>-1.9499999999970896</v>
      </c>
      <c r="T71" s="84"/>
      <c r="U71" s="84"/>
    </row>
    <row r="72" spans="1:21">
      <c r="B72" s="48" t="s">
        <v>6</v>
      </c>
      <c r="C72" s="48">
        <v>800</v>
      </c>
      <c r="D72" s="48">
        <v>119545</v>
      </c>
      <c r="E72" s="48" t="s">
        <v>83</v>
      </c>
      <c r="F72" s="48" t="s">
        <v>84</v>
      </c>
      <c r="G72" s="48">
        <v>800</v>
      </c>
      <c r="I72" s="48" t="s">
        <v>6</v>
      </c>
      <c r="J72" s="48">
        <v>800</v>
      </c>
      <c r="K72" s="48">
        <v>412045</v>
      </c>
      <c r="L72" s="48" t="s">
        <v>83</v>
      </c>
      <c r="M72" s="48" t="s">
        <v>84</v>
      </c>
      <c r="N72" s="85" t="s">
        <v>71</v>
      </c>
      <c r="O72" s="74"/>
      <c r="P72" s="75">
        <v>0</v>
      </c>
      <c r="Q72" s="75">
        <v>-3909</v>
      </c>
      <c r="R72" s="76">
        <f t="shared" ca="1" si="3"/>
        <v>-3909</v>
      </c>
      <c r="T72" s="84"/>
      <c r="U72" s="84"/>
    </row>
    <row r="73" spans="1:21">
      <c r="N73" s="48" t="s">
        <v>356</v>
      </c>
      <c r="P73" s="88"/>
      <c r="Q73" s="88"/>
      <c r="R73" s="77">
        <f ca="1">SUM(R65:R72)</f>
        <v>-123094.27</v>
      </c>
      <c r="T73" s="84"/>
      <c r="U73" s="84"/>
    </row>
    <row r="74" spans="1:21">
      <c r="P74" s="88"/>
      <c r="Q74" s="88"/>
      <c r="R74" s="82"/>
      <c r="T74" s="84"/>
      <c r="U74" s="84"/>
    </row>
    <row r="75" spans="1:21">
      <c r="A75" s="89" t="s">
        <v>358</v>
      </c>
      <c r="B75" s="88"/>
      <c r="C75" s="88"/>
      <c r="D75" s="88"/>
      <c r="E75" s="88"/>
      <c r="F75" s="88"/>
      <c r="G75" s="88"/>
      <c r="H75" s="88"/>
      <c r="I75" s="88"/>
      <c r="J75" s="88"/>
      <c r="K75" s="88"/>
      <c r="L75" s="88"/>
      <c r="M75" s="88"/>
      <c r="N75" s="88"/>
      <c r="P75" s="88"/>
      <c r="Q75" s="88"/>
      <c r="S75" s="48"/>
    </row>
    <row r="76" spans="1:21">
      <c r="A76" s="61"/>
      <c r="B76" s="61" t="s">
        <v>7</v>
      </c>
      <c r="C76" s="90">
        <v>400</v>
      </c>
      <c r="D76" s="90">
        <v>119500</v>
      </c>
      <c r="E76" s="91" t="s">
        <v>66</v>
      </c>
      <c r="F76" s="91" t="s">
        <v>70</v>
      </c>
      <c r="G76" s="91" t="s">
        <v>71</v>
      </c>
      <c r="H76" s="90" t="s">
        <v>22</v>
      </c>
      <c r="I76" s="90" t="s">
        <v>7</v>
      </c>
      <c r="J76" s="90" t="s">
        <v>76</v>
      </c>
      <c r="K76" s="90" t="s">
        <v>77</v>
      </c>
      <c r="L76" s="90" t="s">
        <v>66</v>
      </c>
      <c r="M76" s="90" t="s">
        <v>70</v>
      </c>
      <c r="N76" s="90" t="s">
        <v>71</v>
      </c>
      <c r="P76" s="92">
        <v>0</v>
      </c>
      <c r="Q76" s="92">
        <v>0</v>
      </c>
      <c r="R76" s="76">
        <f t="shared" ref="R76:R80" ca="1" si="4">+Q76+P76</f>
        <v>0</v>
      </c>
      <c r="S76" s="48"/>
    </row>
    <row r="77" spans="1:21">
      <c r="A77" s="61"/>
      <c r="B77" s="61" t="s">
        <v>9</v>
      </c>
      <c r="C77" s="90">
        <v>500</v>
      </c>
      <c r="D77" s="90">
        <v>119500</v>
      </c>
      <c r="E77" s="91" t="s">
        <v>66</v>
      </c>
      <c r="F77" s="91" t="s">
        <v>70</v>
      </c>
      <c r="G77" s="91" t="s">
        <v>71</v>
      </c>
      <c r="H77" s="90" t="s">
        <v>22</v>
      </c>
      <c r="I77" s="90" t="s">
        <v>9</v>
      </c>
      <c r="J77" s="90" t="s">
        <v>79</v>
      </c>
      <c r="K77" s="90" t="s">
        <v>77</v>
      </c>
      <c r="L77" s="90" t="s">
        <v>66</v>
      </c>
      <c r="M77" s="90" t="s">
        <v>70</v>
      </c>
      <c r="N77" s="90" t="s">
        <v>71</v>
      </c>
      <c r="P77" s="92">
        <v>0</v>
      </c>
      <c r="Q77" s="92">
        <v>0</v>
      </c>
      <c r="R77" s="76">
        <f t="shared" ca="1" si="4"/>
        <v>0</v>
      </c>
      <c r="S77" s="48"/>
    </row>
    <row r="78" spans="1:21">
      <c r="A78" s="61"/>
      <c r="B78" s="61" t="s">
        <v>11</v>
      </c>
      <c r="C78" s="90">
        <v>600</v>
      </c>
      <c r="D78" s="90">
        <v>119500</v>
      </c>
      <c r="E78" s="91" t="s">
        <v>66</v>
      </c>
      <c r="F78" s="91" t="s">
        <v>70</v>
      </c>
      <c r="G78" s="91" t="s">
        <v>71</v>
      </c>
      <c r="H78" s="90" t="s">
        <v>22</v>
      </c>
      <c r="I78" s="90" t="s">
        <v>11</v>
      </c>
      <c r="J78" s="90" t="s">
        <v>80</v>
      </c>
      <c r="K78" s="90" t="s">
        <v>77</v>
      </c>
      <c r="L78" s="90" t="s">
        <v>66</v>
      </c>
      <c r="M78" s="90" t="s">
        <v>70</v>
      </c>
      <c r="N78" s="90" t="s">
        <v>71</v>
      </c>
      <c r="P78" s="92">
        <v>0</v>
      </c>
      <c r="Q78" s="92">
        <v>0</v>
      </c>
      <c r="R78" s="76">
        <f t="shared" ca="1" si="4"/>
        <v>0</v>
      </c>
      <c r="S78" s="48"/>
    </row>
    <row r="79" spans="1:21">
      <c r="A79" s="61"/>
      <c r="B79" s="61" t="s">
        <v>12</v>
      </c>
      <c r="C79" s="90">
        <v>700</v>
      </c>
      <c r="D79" s="90">
        <v>119500</v>
      </c>
      <c r="E79" s="91" t="s">
        <v>66</v>
      </c>
      <c r="F79" s="91" t="s">
        <v>70</v>
      </c>
      <c r="G79" s="91" t="s">
        <v>71</v>
      </c>
      <c r="H79" s="90" t="s">
        <v>22</v>
      </c>
      <c r="I79" s="90" t="s">
        <v>12</v>
      </c>
      <c r="J79" s="90" t="s">
        <v>81</v>
      </c>
      <c r="K79" s="90" t="s">
        <v>77</v>
      </c>
      <c r="L79" s="90" t="s">
        <v>66</v>
      </c>
      <c r="M79" s="90" t="s">
        <v>70</v>
      </c>
      <c r="N79" s="90" t="s">
        <v>71</v>
      </c>
      <c r="P79" s="92">
        <v>0</v>
      </c>
      <c r="Q79" s="92">
        <v>0</v>
      </c>
      <c r="R79" s="76">
        <f t="shared" ca="1" si="4"/>
        <v>0</v>
      </c>
      <c r="S79" s="48"/>
    </row>
    <row r="80" spans="1:21">
      <c r="A80" s="61"/>
      <c r="B80" s="61" t="s">
        <v>6</v>
      </c>
      <c r="C80" s="90">
        <v>800</v>
      </c>
      <c r="D80" s="90">
        <v>119500</v>
      </c>
      <c r="E80" s="91" t="s">
        <v>66</v>
      </c>
      <c r="F80" s="91" t="s">
        <v>70</v>
      </c>
      <c r="G80" s="91" t="s">
        <v>71</v>
      </c>
      <c r="H80" s="90" t="s">
        <v>22</v>
      </c>
      <c r="I80" s="90" t="s">
        <v>6</v>
      </c>
      <c r="J80" s="90" t="s">
        <v>82</v>
      </c>
      <c r="K80" s="90" t="s">
        <v>77</v>
      </c>
      <c r="L80" s="90" t="s">
        <v>66</v>
      </c>
      <c r="M80" s="90" t="s">
        <v>70</v>
      </c>
      <c r="N80" s="90" t="s">
        <v>71</v>
      </c>
      <c r="P80" s="92">
        <v>0</v>
      </c>
      <c r="Q80" s="92">
        <v>0</v>
      </c>
      <c r="R80" s="76">
        <f t="shared" ca="1" si="4"/>
        <v>0</v>
      </c>
      <c r="S80" s="48"/>
    </row>
    <row r="81" spans="1:21">
      <c r="N81" s="48" t="s">
        <v>356</v>
      </c>
      <c r="P81" s="88"/>
      <c r="Q81" s="88"/>
      <c r="R81" s="77">
        <f ca="1">SUM(R75:R80)</f>
        <v>0</v>
      </c>
      <c r="T81" s="84"/>
      <c r="U81" s="84"/>
    </row>
    <row r="82" spans="1:21">
      <c r="P82" s="88"/>
      <c r="Q82" s="88"/>
      <c r="R82" s="82"/>
      <c r="T82" s="84"/>
      <c r="U82" s="84"/>
    </row>
    <row r="83" spans="1:21" s="70" customFormat="1">
      <c r="D83" s="79" t="s">
        <v>355</v>
      </c>
      <c r="E83" s="93"/>
      <c r="F83" s="93"/>
      <c r="G83" s="93"/>
      <c r="O83" s="94"/>
      <c r="P83" s="95">
        <f ca="1">SUM(P8:P82)</f>
        <v>1277807.5699999998</v>
      </c>
      <c r="Q83" s="95">
        <f ca="1">SUM(Q8:Q82)</f>
        <v>-5203778.37</v>
      </c>
      <c r="R83" s="96">
        <f ca="1">+SUMIF(N1:N82,"sum:",R1:R82)</f>
        <v>-3858862.6299999994</v>
      </c>
      <c r="S83" s="45"/>
      <c r="T83" s="36"/>
      <c r="U83" s="36"/>
    </row>
    <row r="84" spans="1:21">
      <c r="N84" s="85"/>
      <c r="O84" s="74"/>
      <c r="P84" s="75"/>
      <c r="Q84" s="75"/>
      <c r="R84" s="76"/>
      <c r="T84" s="84"/>
      <c r="U84" s="84"/>
    </row>
    <row r="85" spans="1:21">
      <c r="N85" s="85"/>
      <c r="O85" s="74"/>
      <c r="P85" s="75"/>
      <c r="Q85" s="75"/>
      <c r="R85" s="76"/>
      <c r="T85" s="84"/>
      <c r="U85" s="84"/>
    </row>
    <row r="86" spans="1:21">
      <c r="A86" s="97" t="s">
        <v>3</v>
      </c>
      <c r="S86" s="78"/>
    </row>
    <row r="87" spans="1:21">
      <c r="I87" s="48" t="s">
        <v>51</v>
      </c>
      <c r="J87" s="48">
        <v>100</v>
      </c>
      <c r="K87" s="48">
        <v>401510</v>
      </c>
      <c r="L87" s="48" t="s">
        <v>83</v>
      </c>
      <c r="M87" s="48" t="s">
        <v>84</v>
      </c>
      <c r="N87" s="48" t="s">
        <v>329</v>
      </c>
      <c r="O87" s="74"/>
      <c r="Q87" s="75">
        <v>0</v>
      </c>
    </row>
    <row r="88" spans="1:21">
      <c r="I88" s="88" t="s">
        <v>331</v>
      </c>
      <c r="J88" s="48">
        <v>115</v>
      </c>
      <c r="K88" s="48">
        <v>401510</v>
      </c>
      <c r="L88" s="48" t="s">
        <v>83</v>
      </c>
      <c r="M88" s="48" t="s">
        <v>84</v>
      </c>
      <c r="N88" s="48" t="s">
        <v>329</v>
      </c>
      <c r="O88" s="74"/>
      <c r="Q88" s="75">
        <v>0</v>
      </c>
      <c r="R88" s="75"/>
    </row>
    <row r="89" spans="1:21">
      <c r="I89" s="88" t="s">
        <v>384</v>
      </c>
      <c r="J89" s="48">
        <v>120</v>
      </c>
      <c r="K89" s="48">
        <v>401510</v>
      </c>
      <c r="L89" s="48" t="s">
        <v>83</v>
      </c>
      <c r="M89" s="48" t="s">
        <v>84</v>
      </c>
      <c r="N89" s="48" t="s">
        <v>329</v>
      </c>
      <c r="O89" s="74"/>
      <c r="Q89" s="75">
        <v>0</v>
      </c>
      <c r="R89" s="75"/>
    </row>
    <row r="90" spans="1:21">
      <c r="I90" s="61" t="s">
        <v>385</v>
      </c>
      <c r="J90" s="48">
        <v>125</v>
      </c>
      <c r="K90" s="48">
        <v>401510</v>
      </c>
      <c r="L90" s="48" t="s">
        <v>83</v>
      </c>
      <c r="M90" s="48" t="s">
        <v>84</v>
      </c>
      <c r="N90" s="48" t="s">
        <v>329</v>
      </c>
      <c r="O90" s="74"/>
      <c r="Q90" s="75">
        <v>0</v>
      </c>
      <c r="R90" s="75"/>
    </row>
    <row r="91" spans="1:21">
      <c r="I91" s="61" t="s">
        <v>386</v>
      </c>
      <c r="J91" s="48">
        <v>130</v>
      </c>
      <c r="K91" s="48">
        <v>401510</v>
      </c>
      <c r="L91" s="48" t="s">
        <v>83</v>
      </c>
      <c r="M91" s="48" t="s">
        <v>84</v>
      </c>
      <c r="N91" s="48" t="s">
        <v>329</v>
      </c>
      <c r="O91" s="74"/>
      <c r="Q91" s="75">
        <v>0</v>
      </c>
      <c r="R91" s="75"/>
    </row>
    <row r="92" spans="1:21">
      <c r="I92" s="88" t="s">
        <v>94</v>
      </c>
      <c r="J92" s="48">
        <v>200</v>
      </c>
      <c r="K92" s="48">
        <v>401510</v>
      </c>
      <c r="L92" s="48" t="s">
        <v>83</v>
      </c>
      <c r="M92" s="48" t="s">
        <v>84</v>
      </c>
      <c r="N92" s="48" t="s">
        <v>329</v>
      </c>
      <c r="O92" s="74"/>
      <c r="Q92" s="75">
        <v>0</v>
      </c>
    </row>
    <row r="93" spans="1:21">
      <c r="I93" s="88" t="s">
        <v>95</v>
      </c>
      <c r="J93" s="48">
        <v>210</v>
      </c>
      <c r="K93" s="48">
        <v>401510</v>
      </c>
      <c r="L93" s="48" t="s">
        <v>83</v>
      </c>
      <c r="M93" s="48" t="s">
        <v>84</v>
      </c>
      <c r="N93" s="48" t="s">
        <v>329</v>
      </c>
      <c r="O93" s="74"/>
      <c r="Q93" s="75">
        <v>0</v>
      </c>
      <c r="R93" s="75"/>
    </row>
    <row r="94" spans="1:21">
      <c r="I94" s="88" t="s">
        <v>96</v>
      </c>
      <c r="J94" s="48">
        <v>240</v>
      </c>
      <c r="K94" s="48">
        <v>401510</v>
      </c>
      <c r="L94" s="48" t="s">
        <v>83</v>
      </c>
      <c r="M94" s="48" t="s">
        <v>84</v>
      </c>
      <c r="N94" s="48" t="s">
        <v>329</v>
      </c>
      <c r="O94" s="74"/>
      <c r="Q94" s="75">
        <v>0</v>
      </c>
      <c r="R94" s="75"/>
    </row>
    <row r="95" spans="1:21">
      <c r="I95" s="88" t="s">
        <v>97</v>
      </c>
      <c r="J95" s="48">
        <v>250</v>
      </c>
      <c r="K95" s="48">
        <v>401510</v>
      </c>
      <c r="L95" s="48" t="s">
        <v>83</v>
      </c>
      <c r="M95" s="48" t="s">
        <v>84</v>
      </c>
      <c r="N95" s="48" t="s">
        <v>329</v>
      </c>
      <c r="O95" s="74"/>
      <c r="Q95" s="75">
        <v>0</v>
      </c>
      <c r="R95" s="75"/>
    </row>
    <row r="96" spans="1:21">
      <c r="I96" s="88" t="s">
        <v>98</v>
      </c>
      <c r="J96" s="48">
        <v>270</v>
      </c>
      <c r="K96" s="48">
        <v>401510</v>
      </c>
      <c r="L96" s="48" t="s">
        <v>83</v>
      </c>
      <c r="M96" s="48" t="s">
        <v>84</v>
      </c>
      <c r="N96" s="48" t="s">
        <v>329</v>
      </c>
      <c r="O96" s="74"/>
      <c r="Q96" s="75">
        <v>0</v>
      </c>
      <c r="R96" s="75"/>
    </row>
    <row r="97" spans="2:20">
      <c r="I97" s="88" t="s">
        <v>340</v>
      </c>
      <c r="J97" s="48">
        <v>273</v>
      </c>
      <c r="K97" s="48">
        <v>401510</v>
      </c>
      <c r="L97" s="48" t="s">
        <v>83</v>
      </c>
      <c r="M97" s="48" t="s">
        <v>84</v>
      </c>
      <c r="N97" s="48" t="s">
        <v>329</v>
      </c>
      <c r="O97" s="74"/>
      <c r="Q97" s="75">
        <v>0</v>
      </c>
      <c r="R97" s="75"/>
    </row>
    <row r="98" spans="2:20">
      <c r="I98" s="61" t="s">
        <v>364</v>
      </c>
      <c r="J98" s="48">
        <v>275</v>
      </c>
      <c r="K98" s="48">
        <v>401510</v>
      </c>
      <c r="L98" s="48" t="s">
        <v>83</v>
      </c>
      <c r="M98" s="48" t="s">
        <v>84</v>
      </c>
      <c r="N98" s="48" t="s">
        <v>329</v>
      </c>
      <c r="O98" s="74"/>
      <c r="Q98" s="75">
        <v>0</v>
      </c>
      <c r="R98" s="75"/>
    </row>
    <row r="99" spans="2:20">
      <c r="I99" s="61" t="s">
        <v>365</v>
      </c>
      <c r="J99" s="48">
        <v>299</v>
      </c>
      <c r="K99" s="48">
        <v>401510</v>
      </c>
      <c r="L99" s="48" t="s">
        <v>83</v>
      </c>
      <c r="M99" s="48" t="s">
        <v>84</v>
      </c>
      <c r="N99" s="48" t="s">
        <v>329</v>
      </c>
      <c r="O99" s="74"/>
      <c r="Q99" s="75">
        <v>0</v>
      </c>
      <c r="R99" s="75"/>
    </row>
    <row r="100" spans="2:20">
      <c r="N100" s="48" t="s">
        <v>356</v>
      </c>
      <c r="O100" s="74"/>
      <c r="Q100" s="98">
        <f ca="1">SUM(Q87:Q99)</f>
        <v>0</v>
      </c>
      <c r="R100" s="76">
        <f ca="1">+Q100+P100</f>
        <v>0</v>
      </c>
      <c r="T100" s="99"/>
    </row>
    <row r="101" spans="2:20">
      <c r="N101" s="73"/>
      <c r="O101" s="74"/>
      <c r="P101" s="92"/>
      <c r="Q101" s="75"/>
      <c r="R101" s="76"/>
    </row>
    <row r="102" spans="2:20">
      <c r="B102" s="48" t="s">
        <v>51</v>
      </c>
      <c r="C102" s="48">
        <v>100</v>
      </c>
      <c r="D102" s="48">
        <v>119500</v>
      </c>
      <c r="E102" s="48" t="s">
        <v>83</v>
      </c>
      <c r="F102" s="48" t="s">
        <v>84</v>
      </c>
      <c r="G102" s="48">
        <f>+C104</f>
        <v>115</v>
      </c>
      <c r="I102" s="48" t="s">
        <v>51</v>
      </c>
      <c r="J102" s="48">
        <v>100</v>
      </c>
      <c r="K102" s="48">
        <v>401500</v>
      </c>
      <c r="L102" s="48" t="s">
        <v>83</v>
      </c>
      <c r="M102" s="48" t="s">
        <v>84</v>
      </c>
      <c r="N102" s="48">
        <f>+G102</f>
        <v>115</v>
      </c>
      <c r="O102" s="74"/>
      <c r="P102" s="75">
        <v>1650232.18</v>
      </c>
      <c r="Q102" s="75">
        <v>227262.75000000006</v>
      </c>
    </row>
    <row r="103" spans="2:20">
      <c r="B103" s="48" t="s">
        <v>51</v>
      </c>
      <c r="C103" s="48">
        <v>100</v>
      </c>
      <c r="D103" s="48">
        <v>119500</v>
      </c>
      <c r="E103" s="48" t="s">
        <v>83</v>
      </c>
      <c r="F103" s="48" t="s">
        <v>84</v>
      </c>
      <c r="G103" s="48">
        <v>100</v>
      </c>
      <c r="I103" s="48" t="s">
        <v>51</v>
      </c>
      <c r="J103" s="48">
        <v>100</v>
      </c>
      <c r="K103" s="48">
        <v>401500</v>
      </c>
      <c r="L103" s="48" t="s">
        <v>83</v>
      </c>
      <c r="M103" s="48" t="s">
        <v>84</v>
      </c>
      <c r="N103" s="48">
        <v>100</v>
      </c>
      <c r="O103" s="74"/>
      <c r="P103" s="75">
        <v>1669.2</v>
      </c>
      <c r="Q103" s="75">
        <v>-52112438.939999998</v>
      </c>
    </row>
    <row r="104" spans="2:20">
      <c r="B104" s="48" t="s">
        <v>331</v>
      </c>
      <c r="C104" s="48">
        <v>115</v>
      </c>
      <c r="D104" s="48">
        <v>119500</v>
      </c>
      <c r="E104" s="48" t="s">
        <v>83</v>
      </c>
      <c r="F104" s="48" t="s">
        <v>84</v>
      </c>
      <c r="G104" s="73">
        <v>100</v>
      </c>
      <c r="I104" s="48" t="str">
        <f>+B104</f>
        <v>CWC</v>
      </c>
      <c r="J104" s="48">
        <f>+C104</f>
        <v>115</v>
      </c>
      <c r="K104" s="48">
        <v>401500</v>
      </c>
      <c r="L104" s="48" t="s">
        <v>83</v>
      </c>
      <c r="M104" s="48" t="s">
        <v>84</v>
      </c>
      <c r="N104" s="73">
        <v>100</v>
      </c>
      <c r="O104" s="74"/>
      <c r="P104" s="75">
        <v>1971.98</v>
      </c>
      <c r="Q104" s="75">
        <v>-1879466.91</v>
      </c>
      <c r="R104" s="75"/>
    </row>
    <row r="105" spans="2:20">
      <c r="N105" s="48" t="s">
        <v>356</v>
      </c>
      <c r="O105" s="74"/>
      <c r="P105" s="98">
        <f ca="1">SUM(P102:P104)</f>
        <v>1653873.3599999999</v>
      </c>
      <c r="Q105" s="98">
        <f ca="1">SUM(Q102:Q104)</f>
        <v>-53764643.099999994</v>
      </c>
      <c r="R105" s="76">
        <f ca="1">+Q105+P105</f>
        <v>-52110769.739999995</v>
      </c>
      <c r="T105" s="99"/>
    </row>
    <row r="106" spans="2:20">
      <c r="N106" s="73"/>
      <c r="O106" s="74"/>
      <c r="P106" s="92"/>
      <c r="Q106" s="75"/>
      <c r="R106" s="76"/>
    </row>
    <row r="107" spans="2:20">
      <c r="B107" s="48" t="s">
        <v>51</v>
      </c>
      <c r="C107" s="48">
        <v>100</v>
      </c>
      <c r="D107" s="48">
        <v>119500</v>
      </c>
      <c r="E107" s="48" t="s">
        <v>83</v>
      </c>
      <c r="F107" s="48" t="s">
        <v>84</v>
      </c>
      <c r="G107" s="48">
        <f>+C108</f>
        <v>200</v>
      </c>
      <c r="I107" s="48" t="s">
        <v>51</v>
      </c>
      <c r="J107" s="48">
        <v>100</v>
      </c>
      <c r="K107" s="48">
        <v>401500</v>
      </c>
      <c r="L107" s="48" t="s">
        <v>83</v>
      </c>
      <c r="M107" s="48" t="s">
        <v>84</v>
      </c>
      <c r="N107" s="48">
        <f>+G107</f>
        <v>200</v>
      </c>
      <c r="O107" s="74"/>
      <c r="P107" s="75">
        <v>0</v>
      </c>
      <c r="Q107" s="75">
        <v>-6282741.0199999996</v>
      </c>
      <c r="R107" s="76"/>
    </row>
    <row r="108" spans="2:20">
      <c r="B108" s="48" t="s">
        <v>94</v>
      </c>
      <c r="C108" s="48">
        <v>200</v>
      </c>
      <c r="D108" s="48">
        <v>119500</v>
      </c>
      <c r="E108" s="48" t="s">
        <v>83</v>
      </c>
      <c r="F108" s="48" t="s">
        <v>84</v>
      </c>
      <c r="G108" s="73">
        <v>100</v>
      </c>
      <c r="I108" s="48" t="str">
        <f>+B108</f>
        <v>CSR</v>
      </c>
      <c r="J108" s="48">
        <f>+C108</f>
        <v>200</v>
      </c>
      <c r="K108" s="48">
        <v>401500</v>
      </c>
      <c r="L108" s="48" t="s">
        <v>83</v>
      </c>
      <c r="M108" s="48" t="s">
        <v>84</v>
      </c>
      <c r="N108" s="73">
        <v>100</v>
      </c>
      <c r="O108" s="74"/>
      <c r="P108" s="75">
        <v>0</v>
      </c>
      <c r="Q108" s="75">
        <v>6551490.4199999999</v>
      </c>
      <c r="R108" s="75"/>
    </row>
    <row r="109" spans="2:20">
      <c r="N109" s="48" t="s">
        <v>356</v>
      </c>
      <c r="O109" s="74"/>
      <c r="P109" s="98">
        <f ca="1">SUM(P107:P108)</f>
        <v>0</v>
      </c>
      <c r="Q109" s="98">
        <f ca="1">SUM(Q107:Q108)</f>
        <v>268749.40000000037</v>
      </c>
      <c r="R109" s="76">
        <f ca="1">+Q109+P109</f>
        <v>268749.40000000037</v>
      </c>
      <c r="T109" s="99"/>
    </row>
    <row r="110" spans="2:20">
      <c r="N110" s="73"/>
      <c r="O110" s="74"/>
      <c r="P110" s="75"/>
      <c r="Q110" s="75"/>
      <c r="R110" s="76"/>
    </row>
    <row r="111" spans="2:20">
      <c r="B111" s="48" t="s">
        <v>51</v>
      </c>
      <c r="C111" s="48">
        <v>100</v>
      </c>
      <c r="D111" s="48">
        <v>119500</v>
      </c>
      <c r="E111" s="48" t="s">
        <v>83</v>
      </c>
      <c r="F111" s="48" t="s">
        <v>84</v>
      </c>
      <c r="G111" s="48">
        <f>+C112</f>
        <v>210</v>
      </c>
      <c r="I111" s="48" t="s">
        <v>51</v>
      </c>
      <c r="J111" s="48">
        <v>100</v>
      </c>
      <c r="K111" s="48">
        <v>401500</v>
      </c>
      <c r="L111" s="48" t="s">
        <v>83</v>
      </c>
      <c r="M111" s="48" t="s">
        <v>84</v>
      </c>
      <c r="N111" s="48">
        <f>+G111</f>
        <v>210</v>
      </c>
      <c r="O111" s="74"/>
      <c r="P111" s="75">
        <v>10398.790000000001</v>
      </c>
      <c r="Q111" s="75">
        <v>-17335723.400000002</v>
      </c>
      <c r="R111" s="76"/>
    </row>
    <row r="112" spans="2:20">
      <c r="B112" s="48" t="s">
        <v>95</v>
      </c>
      <c r="C112" s="48">
        <v>210</v>
      </c>
      <c r="D112" s="48">
        <v>119500</v>
      </c>
      <c r="E112" s="48" t="s">
        <v>83</v>
      </c>
      <c r="F112" s="48" t="s">
        <v>84</v>
      </c>
      <c r="G112" s="73">
        <v>100</v>
      </c>
      <c r="I112" s="48" t="str">
        <f>+B112</f>
        <v>CSL</v>
      </c>
      <c r="J112" s="48">
        <f>+C112</f>
        <v>210</v>
      </c>
      <c r="K112" s="48">
        <v>401500</v>
      </c>
      <c r="L112" s="48" t="s">
        <v>83</v>
      </c>
      <c r="M112" s="48" t="s">
        <v>84</v>
      </c>
      <c r="N112" s="73">
        <v>100</v>
      </c>
      <c r="O112" s="74"/>
      <c r="P112" s="75">
        <v>8247736.2699999996</v>
      </c>
      <c r="Q112" s="75">
        <v>-899393.60000000009</v>
      </c>
      <c r="R112" s="75"/>
    </row>
    <row r="113" spans="2:21">
      <c r="N113" s="48" t="s">
        <v>356</v>
      </c>
      <c r="O113" s="74"/>
      <c r="P113" s="98">
        <f ca="1">SUM(P111:P112)</f>
        <v>8258135.0599999996</v>
      </c>
      <c r="Q113" s="98">
        <f ca="1">SUM(Q111:Q112)</f>
        <v>-18235117.000000004</v>
      </c>
      <c r="R113" s="76">
        <f ca="1">+Q113+P113</f>
        <v>-9976981.9400000051</v>
      </c>
      <c r="T113" s="99"/>
    </row>
    <row r="114" spans="2:21">
      <c r="N114" s="73"/>
      <c r="O114" s="74"/>
      <c r="P114" s="92"/>
      <c r="Q114" s="92"/>
      <c r="R114" s="76"/>
    </row>
    <row r="115" spans="2:21">
      <c r="B115" s="48" t="s">
        <v>51</v>
      </c>
      <c r="C115" s="48">
        <v>100</v>
      </c>
      <c r="D115" s="48">
        <v>119500</v>
      </c>
      <c r="E115" s="48" t="s">
        <v>83</v>
      </c>
      <c r="F115" s="48" t="s">
        <v>84</v>
      </c>
      <c r="G115" s="48">
        <f>+C116</f>
        <v>240</v>
      </c>
      <c r="I115" s="48" t="s">
        <v>51</v>
      </c>
      <c r="J115" s="48">
        <v>100</v>
      </c>
      <c r="K115" s="48">
        <v>401500</v>
      </c>
      <c r="L115" s="48" t="s">
        <v>83</v>
      </c>
      <c r="M115" s="48" t="s">
        <v>84</v>
      </c>
      <c r="N115" s="48">
        <f>+G115</f>
        <v>240</v>
      </c>
      <c r="O115" s="74"/>
      <c r="P115" s="75">
        <v>0</v>
      </c>
      <c r="Q115" s="75">
        <v>-83429703.180000007</v>
      </c>
      <c r="R115" s="76"/>
    </row>
    <row r="116" spans="2:21">
      <c r="B116" s="48" t="s">
        <v>96</v>
      </c>
      <c r="C116" s="48">
        <v>240</v>
      </c>
      <c r="D116" s="48">
        <v>119500</v>
      </c>
      <c r="E116" s="48" t="s">
        <v>83</v>
      </c>
      <c r="F116" s="48" t="s">
        <v>84</v>
      </c>
      <c r="G116" s="73">
        <v>100</v>
      </c>
      <c r="I116" s="48" t="str">
        <f>+B116</f>
        <v>CLI</v>
      </c>
      <c r="J116" s="48">
        <f>+C116</f>
        <v>240</v>
      </c>
      <c r="K116" s="48">
        <v>401500</v>
      </c>
      <c r="L116" s="48" t="s">
        <v>83</v>
      </c>
      <c r="M116" s="48" t="s">
        <v>84</v>
      </c>
      <c r="N116" s="73">
        <v>100</v>
      </c>
      <c r="O116" s="74"/>
      <c r="P116" s="75">
        <v>0</v>
      </c>
      <c r="Q116" s="75">
        <v>144946778.84</v>
      </c>
      <c r="R116" s="75"/>
      <c r="T116" s="99"/>
    </row>
    <row r="117" spans="2:21">
      <c r="N117" s="48" t="s">
        <v>356</v>
      </c>
      <c r="O117" s="74"/>
      <c r="P117" s="98">
        <f ca="1">SUM(P115:P116)</f>
        <v>0</v>
      </c>
      <c r="Q117" s="98">
        <f ca="1">SUM(Q115:Q116)</f>
        <v>61517075.659999996</v>
      </c>
      <c r="R117" s="76">
        <f ca="1">+Q117+P117</f>
        <v>61517075.659999996</v>
      </c>
    </row>
    <row r="118" spans="2:21">
      <c r="N118" s="73"/>
      <c r="O118" s="74"/>
      <c r="P118" s="75"/>
      <c r="Q118" s="75"/>
      <c r="R118" s="76"/>
    </row>
    <row r="119" spans="2:21">
      <c r="B119" s="48" t="s">
        <v>51</v>
      </c>
      <c r="C119" s="48">
        <v>100</v>
      </c>
      <c r="D119" s="48">
        <v>119500</v>
      </c>
      <c r="E119" s="48" t="s">
        <v>83</v>
      </c>
      <c r="F119" s="48" t="s">
        <v>84</v>
      </c>
      <c r="G119" s="48">
        <f>+C120</f>
        <v>250</v>
      </c>
      <c r="I119" s="48" t="s">
        <v>51</v>
      </c>
      <c r="J119" s="48">
        <v>100</v>
      </c>
      <c r="K119" s="48">
        <v>401500</v>
      </c>
      <c r="L119" s="48" t="s">
        <v>83</v>
      </c>
      <c r="M119" s="48" t="s">
        <v>84</v>
      </c>
      <c r="N119" s="48">
        <f>+G119</f>
        <v>250</v>
      </c>
      <c r="O119" s="74"/>
      <c r="P119" s="75">
        <v>0</v>
      </c>
      <c r="Q119" s="75">
        <v>-211894.25</v>
      </c>
      <c r="R119" s="76"/>
    </row>
    <row r="120" spans="2:21">
      <c r="B120" s="48" t="s">
        <v>97</v>
      </c>
      <c r="C120" s="48">
        <v>250</v>
      </c>
      <c r="D120" s="48">
        <v>119500</v>
      </c>
      <c r="E120" s="48" t="s">
        <v>83</v>
      </c>
      <c r="F120" s="48" t="s">
        <v>84</v>
      </c>
      <c r="G120" s="73">
        <v>100</v>
      </c>
      <c r="I120" s="48" t="str">
        <f>+B120</f>
        <v>CSP</v>
      </c>
      <c r="J120" s="48">
        <f>+C120</f>
        <v>250</v>
      </c>
      <c r="K120" s="48">
        <v>401500</v>
      </c>
      <c r="L120" s="48" t="s">
        <v>83</v>
      </c>
      <c r="M120" s="48" t="s">
        <v>84</v>
      </c>
      <c r="N120" s="73">
        <v>100</v>
      </c>
      <c r="O120" s="74"/>
      <c r="P120" s="75">
        <v>0</v>
      </c>
      <c r="Q120" s="75">
        <v>251654.83</v>
      </c>
      <c r="R120" s="75"/>
      <c r="T120" s="99"/>
    </row>
    <row r="121" spans="2:21">
      <c r="N121" s="48" t="s">
        <v>356</v>
      </c>
      <c r="O121" s="74"/>
      <c r="P121" s="98">
        <f ca="1">SUM(P119:P120)</f>
        <v>0</v>
      </c>
      <c r="Q121" s="98">
        <f ca="1">SUM(Q119:Q120)</f>
        <v>39760.579999999987</v>
      </c>
      <c r="R121" s="76">
        <f ca="1">+Q121+P121</f>
        <v>39760.579999999987</v>
      </c>
    </row>
    <row r="122" spans="2:21">
      <c r="N122" s="73"/>
      <c r="O122" s="74"/>
      <c r="P122" s="75"/>
      <c r="Q122" s="75"/>
      <c r="R122" s="76"/>
    </row>
    <row r="123" spans="2:21">
      <c r="B123" s="48" t="s">
        <v>51</v>
      </c>
      <c r="C123" s="48">
        <v>100</v>
      </c>
      <c r="D123" s="48">
        <v>119500</v>
      </c>
      <c r="E123" s="48" t="s">
        <v>83</v>
      </c>
      <c r="F123" s="48" t="s">
        <v>84</v>
      </c>
      <c r="G123" s="48">
        <f>+C126</f>
        <v>270</v>
      </c>
      <c r="I123" s="48" t="str">
        <f>+B123</f>
        <v>CSI</v>
      </c>
      <c r="J123" s="48">
        <f>+C123</f>
        <v>100</v>
      </c>
      <c r="K123" s="48">
        <v>401500</v>
      </c>
      <c r="L123" s="48" t="s">
        <v>83</v>
      </c>
      <c r="M123" s="48" t="s">
        <v>84</v>
      </c>
      <c r="N123" s="48">
        <f>+G123</f>
        <v>270</v>
      </c>
      <c r="O123" s="74"/>
      <c r="P123" s="75">
        <v>0</v>
      </c>
      <c r="Q123" s="75">
        <v>298494.24</v>
      </c>
      <c r="R123" s="76"/>
      <c r="T123" s="48"/>
    </row>
    <row r="124" spans="2:21">
      <c r="I124" s="48" t="s">
        <v>51</v>
      </c>
      <c r="J124" s="48">
        <v>100</v>
      </c>
      <c r="K124" s="48">
        <v>401510</v>
      </c>
      <c r="L124" s="48" t="s">
        <v>83</v>
      </c>
      <c r="M124" s="48" t="s">
        <v>84</v>
      </c>
      <c r="N124" s="48">
        <v>270</v>
      </c>
      <c r="O124" s="74"/>
      <c r="P124" s="75"/>
      <c r="Q124" s="75">
        <v>0</v>
      </c>
      <c r="R124" s="76"/>
      <c r="T124" s="48"/>
    </row>
    <row r="125" spans="2:21">
      <c r="I125" s="48" t="s">
        <v>98</v>
      </c>
      <c r="J125" s="48">
        <v>270</v>
      </c>
      <c r="K125" s="48">
        <v>401510</v>
      </c>
      <c r="L125" s="48" t="s">
        <v>83</v>
      </c>
      <c r="M125" s="48" t="s">
        <v>84</v>
      </c>
      <c r="N125" s="48">
        <v>100</v>
      </c>
      <c r="O125" s="74"/>
      <c r="P125" s="75"/>
      <c r="Q125" s="75">
        <v>0</v>
      </c>
      <c r="R125" s="76"/>
      <c r="T125" s="48"/>
    </row>
    <row r="126" spans="2:21">
      <c r="B126" s="48" t="s">
        <v>98</v>
      </c>
      <c r="C126" s="48">
        <v>270</v>
      </c>
      <c r="D126" s="48">
        <v>119500</v>
      </c>
      <c r="E126" s="48" t="s">
        <v>83</v>
      </c>
      <c r="F126" s="48" t="s">
        <v>84</v>
      </c>
      <c r="G126" s="73">
        <f>+C123</f>
        <v>100</v>
      </c>
      <c r="I126" s="48" t="str">
        <f>+B126</f>
        <v>CAH</v>
      </c>
      <c r="J126" s="48">
        <f>+C126</f>
        <v>270</v>
      </c>
      <c r="K126" s="48">
        <v>401500</v>
      </c>
      <c r="L126" s="48" t="s">
        <v>83</v>
      </c>
      <c r="M126" s="48" t="s">
        <v>84</v>
      </c>
      <c r="N126" s="48">
        <f>+G126</f>
        <v>100</v>
      </c>
      <c r="O126" s="74"/>
      <c r="P126" s="75">
        <v>0</v>
      </c>
      <c r="Q126" s="75">
        <v>-34659.000000000007</v>
      </c>
      <c r="R126" s="76"/>
      <c r="T126" s="99"/>
    </row>
    <row r="127" spans="2:21">
      <c r="N127" s="48" t="s">
        <v>356</v>
      </c>
      <c r="P127" s="98">
        <f ca="1">SUM(P123:P126)</f>
        <v>0</v>
      </c>
      <c r="Q127" s="98">
        <f ca="1">SUM(Q123:Q126)</f>
        <v>263835.24</v>
      </c>
      <c r="R127" s="76">
        <f ca="1">+Q127+P127</f>
        <v>263835.24</v>
      </c>
      <c r="S127" s="48"/>
      <c r="T127" s="48"/>
    </row>
    <row r="128" spans="2:21">
      <c r="N128" s="85"/>
      <c r="O128" s="74"/>
      <c r="P128" s="75"/>
      <c r="Q128" s="75"/>
      <c r="R128" s="76"/>
      <c r="T128" s="84"/>
      <c r="U128" s="84"/>
    </row>
    <row r="129" spans="2:21">
      <c r="B129" s="48" t="s">
        <v>51</v>
      </c>
      <c r="C129" s="48">
        <v>100</v>
      </c>
      <c r="D129" s="48">
        <v>119500</v>
      </c>
      <c r="E129" s="48" t="s">
        <v>83</v>
      </c>
      <c r="F129" s="48" t="s">
        <v>84</v>
      </c>
      <c r="G129" s="48">
        <v>273</v>
      </c>
      <c r="I129" s="48" t="str">
        <f>+B129</f>
        <v>CSI</v>
      </c>
      <c r="J129" s="48">
        <f>+C129</f>
        <v>100</v>
      </c>
      <c r="K129" s="48">
        <v>401500</v>
      </c>
      <c r="L129" s="48" t="s">
        <v>83</v>
      </c>
      <c r="M129" s="48" t="s">
        <v>84</v>
      </c>
      <c r="N129" s="48">
        <v>273</v>
      </c>
      <c r="O129" s="74"/>
      <c r="P129" s="75">
        <v>0</v>
      </c>
      <c r="Q129" s="75">
        <v>47417.58</v>
      </c>
      <c r="R129" s="76"/>
      <c r="T129" s="48"/>
      <c r="U129" s="84"/>
    </row>
    <row r="130" spans="2:21">
      <c r="B130" s="48" t="s">
        <v>366</v>
      </c>
      <c r="C130" s="48">
        <v>273</v>
      </c>
      <c r="D130" s="48">
        <v>119500</v>
      </c>
      <c r="E130" s="48" t="s">
        <v>83</v>
      </c>
      <c r="F130" s="48" t="s">
        <v>84</v>
      </c>
      <c r="G130" s="73">
        <f>+C129</f>
        <v>100</v>
      </c>
      <c r="I130" s="48" t="s">
        <v>366</v>
      </c>
      <c r="J130" s="48">
        <v>273</v>
      </c>
      <c r="K130" s="48">
        <v>401500</v>
      </c>
      <c r="L130" s="48" t="s">
        <v>83</v>
      </c>
      <c r="M130" s="48" t="s">
        <v>84</v>
      </c>
      <c r="N130" s="48">
        <f>+G130</f>
        <v>100</v>
      </c>
      <c r="O130" s="74"/>
      <c r="P130" s="75">
        <v>0</v>
      </c>
      <c r="Q130" s="75">
        <v>-47417.58</v>
      </c>
      <c r="R130" s="76"/>
      <c r="T130" s="99"/>
      <c r="U130" s="84"/>
    </row>
    <row r="131" spans="2:21">
      <c r="N131" s="48" t="s">
        <v>356</v>
      </c>
      <c r="P131" s="98">
        <f ca="1">SUM(P129:P130)</f>
        <v>0</v>
      </c>
      <c r="Q131" s="98">
        <f ca="1">SUM(Q129:Q130)</f>
        <v>0</v>
      </c>
      <c r="R131" s="76">
        <f ca="1">+Q131+P131</f>
        <v>0</v>
      </c>
      <c r="S131" s="48"/>
      <c r="T131" s="48"/>
      <c r="U131" s="84"/>
    </row>
    <row r="132" spans="2:21">
      <c r="N132" s="85"/>
      <c r="O132" s="74"/>
      <c r="P132" s="75"/>
      <c r="Q132" s="75"/>
      <c r="R132" s="76"/>
      <c r="T132" s="84"/>
      <c r="U132" s="84"/>
    </row>
    <row r="133" spans="2:21">
      <c r="B133" s="48" t="s">
        <v>94</v>
      </c>
      <c r="C133" s="48">
        <v>200</v>
      </c>
      <c r="D133" s="48">
        <v>119500</v>
      </c>
      <c r="E133" s="48" t="s">
        <v>83</v>
      </c>
      <c r="F133" s="48" t="s">
        <v>84</v>
      </c>
      <c r="G133" s="48">
        <f>+C134</f>
        <v>210</v>
      </c>
      <c r="I133" s="48" t="str">
        <f>+B133</f>
        <v>CSR</v>
      </c>
      <c r="J133" s="48">
        <f>+C133</f>
        <v>200</v>
      </c>
      <c r="K133" s="48">
        <v>401500</v>
      </c>
      <c r="L133" s="48" t="s">
        <v>83</v>
      </c>
      <c r="M133" s="48" t="s">
        <v>84</v>
      </c>
      <c r="N133" s="48">
        <f>+G133</f>
        <v>210</v>
      </c>
      <c r="O133" s="74"/>
      <c r="P133" s="75">
        <v>280844.09999999998</v>
      </c>
      <c r="Q133" s="75">
        <v>1126197.81</v>
      </c>
      <c r="R133" s="76"/>
      <c r="T133" s="48"/>
    </row>
    <row r="134" spans="2:21">
      <c r="B134" s="48" t="s">
        <v>95</v>
      </c>
      <c r="C134" s="48">
        <v>210</v>
      </c>
      <c r="D134" s="48">
        <v>119500</v>
      </c>
      <c r="E134" s="48" t="s">
        <v>83</v>
      </c>
      <c r="F134" s="48" t="s">
        <v>84</v>
      </c>
      <c r="G134" s="73">
        <f>+C133</f>
        <v>200</v>
      </c>
      <c r="I134" s="48" t="str">
        <f>+B134</f>
        <v>CSL</v>
      </c>
      <c r="J134" s="48">
        <f>+C134</f>
        <v>210</v>
      </c>
      <c r="K134" s="48">
        <v>401500</v>
      </c>
      <c r="L134" s="48" t="s">
        <v>83</v>
      </c>
      <c r="M134" s="48" t="s">
        <v>84</v>
      </c>
      <c r="N134" s="48">
        <f>+G134</f>
        <v>200</v>
      </c>
      <c r="O134" s="74"/>
      <c r="P134" s="75">
        <v>285040.46999999997</v>
      </c>
      <c r="Q134" s="75">
        <v>-1692082.3800000001</v>
      </c>
      <c r="R134" s="76"/>
      <c r="T134" s="84"/>
      <c r="U134" s="84"/>
    </row>
    <row r="135" spans="2:21">
      <c r="N135" s="48" t="s">
        <v>356</v>
      </c>
      <c r="O135" s="74"/>
      <c r="P135" s="98">
        <f ca="1">SUM(P133:P134)</f>
        <v>565884.56999999995</v>
      </c>
      <c r="Q135" s="98">
        <f ca="1">SUM(Q133:Q134)</f>
        <v>-565884.57000000007</v>
      </c>
      <c r="R135" s="76">
        <f ca="1">+Q135+P135</f>
        <v>0</v>
      </c>
      <c r="T135" s="99"/>
    </row>
    <row r="136" spans="2:21">
      <c r="N136" s="85"/>
      <c r="O136" s="74"/>
      <c r="P136" s="75"/>
      <c r="Q136" s="75"/>
      <c r="R136" s="76"/>
      <c r="T136" s="84"/>
      <c r="U136" s="84"/>
    </row>
    <row r="137" spans="2:21">
      <c r="B137" s="48" t="s">
        <v>96</v>
      </c>
      <c r="C137" s="48">
        <v>240</v>
      </c>
      <c r="D137" s="48">
        <v>119500</v>
      </c>
      <c r="E137" s="48" t="s">
        <v>83</v>
      </c>
      <c r="F137" s="48" t="s">
        <v>84</v>
      </c>
      <c r="G137" s="48">
        <f>+C138</f>
        <v>210</v>
      </c>
      <c r="I137" s="48" t="str">
        <f>+B137</f>
        <v>CLI</v>
      </c>
      <c r="J137" s="48">
        <f>+C137</f>
        <v>240</v>
      </c>
      <c r="K137" s="48">
        <v>401500</v>
      </c>
      <c r="L137" s="48" t="s">
        <v>83</v>
      </c>
      <c r="M137" s="48" t="s">
        <v>84</v>
      </c>
      <c r="N137" s="48">
        <f>+G137</f>
        <v>210</v>
      </c>
      <c r="O137" s="74"/>
      <c r="P137" s="75">
        <v>0</v>
      </c>
      <c r="Q137" s="75">
        <v>-136232</v>
      </c>
      <c r="R137" s="76"/>
      <c r="T137" s="99"/>
    </row>
    <row r="138" spans="2:21">
      <c r="B138" s="48" t="s">
        <v>95</v>
      </c>
      <c r="C138" s="48">
        <v>210</v>
      </c>
      <c r="D138" s="48">
        <v>119500</v>
      </c>
      <c r="E138" s="48" t="s">
        <v>83</v>
      </c>
      <c r="F138" s="48" t="s">
        <v>84</v>
      </c>
      <c r="G138" s="73">
        <f>+C137</f>
        <v>240</v>
      </c>
      <c r="I138" s="48" t="str">
        <f>+B138</f>
        <v>CSL</v>
      </c>
      <c r="J138" s="48">
        <f>+C138</f>
        <v>210</v>
      </c>
      <c r="K138" s="48">
        <v>401500</v>
      </c>
      <c r="L138" s="48" t="s">
        <v>83</v>
      </c>
      <c r="M138" s="48" t="s">
        <v>84</v>
      </c>
      <c r="N138" s="48">
        <f>+G138</f>
        <v>240</v>
      </c>
      <c r="O138" s="74"/>
      <c r="P138" s="75">
        <v>0</v>
      </c>
      <c r="Q138" s="75">
        <v>136232</v>
      </c>
      <c r="R138" s="76"/>
      <c r="T138" s="84"/>
      <c r="U138" s="84"/>
    </row>
    <row r="139" spans="2:21">
      <c r="N139" s="48" t="s">
        <v>356</v>
      </c>
      <c r="O139" s="74"/>
      <c r="P139" s="98">
        <f ca="1">SUM(P137:P138)</f>
        <v>0</v>
      </c>
      <c r="Q139" s="98">
        <f ca="1">SUM(Q137:Q138)</f>
        <v>0</v>
      </c>
      <c r="R139" s="76">
        <f ca="1">+Q139+P139</f>
        <v>0</v>
      </c>
    </row>
    <row r="140" spans="2:21">
      <c r="N140" s="85"/>
      <c r="O140" s="74"/>
      <c r="P140" s="75"/>
      <c r="Q140" s="75"/>
      <c r="R140" s="76"/>
      <c r="T140" s="84"/>
      <c r="U140" s="84"/>
    </row>
    <row r="141" spans="2:21">
      <c r="B141" s="48" t="s">
        <v>97</v>
      </c>
      <c r="C141" s="48">
        <v>250</v>
      </c>
      <c r="D141" s="48">
        <v>119500</v>
      </c>
      <c r="E141" s="48" t="s">
        <v>83</v>
      </c>
      <c r="F141" s="48" t="s">
        <v>84</v>
      </c>
      <c r="G141" s="48">
        <f>+C142</f>
        <v>210</v>
      </c>
      <c r="I141" s="48" t="str">
        <f>+B141</f>
        <v>CSP</v>
      </c>
      <c r="J141" s="48">
        <f>+C141</f>
        <v>250</v>
      </c>
      <c r="K141" s="48">
        <v>401500</v>
      </c>
      <c r="L141" s="48" t="s">
        <v>83</v>
      </c>
      <c r="M141" s="48" t="s">
        <v>84</v>
      </c>
      <c r="N141" s="48">
        <f>+G141</f>
        <v>210</v>
      </c>
      <c r="O141" s="74"/>
      <c r="P141" s="75">
        <v>0</v>
      </c>
      <c r="Q141" s="75">
        <v>25</v>
      </c>
      <c r="R141" s="76"/>
      <c r="T141" s="99"/>
    </row>
    <row r="142" spans="2:21">
      <c r="B142" s="48" t="s">
        <v>95</v>
      </c>
      <c r="C142" s="48">
        <v>210</v>
      </c>
      <c r="D142" s="48">
        <v>119500</v>
      </c>
      <c r="E142" s="48" t="s">
        <v>83</v>
      </c>
      <c r="F142" s="48" t="s">
        <v>84</v>
      </c>
      <c r="G142" s="73">
        <f>+C141</f>
        <v>250</v>
      </c>
      <c r="I142" s="48" t="str">
        <f>+B142</f>
        <v>CSL</v>
      </c>
      <c r="J142" s="48">
        <f>+C142</f>
        <v>210</v>
      </c>
      <c r="K142" s="48">
        <v>401500</v>
      </c>
      <c r="L142" s="48" t="s">
        <v>83</v>
      </c>
      <c r="M142" s="48" t="s">
        <v>84</v>
      </c>
      <c r="N142" s="48">
        <f>+G142</f>
        <v>250</v>
      </c>
      <c r="O142" s="74"/>
      <c r="P142" s="75">
        <v>0</v>
      </c>
      <c r="Q142" s="75">
        <v>-25</v>
      </c>
      <c r="R142" s="76"/>
      <c r="T142" s="84"/>
      <c r="U142" s="84"/>
    </row>
    <row r="143" spans="2:21">
      <c r="N143" s="48" t="s">
        <v>356</v>
      </c>
      <c r="O143" s="74"/>
      <c r="P143" s="98">
        <f ca="1">SUM(P141:P142)</f>
        <v>0</v>
      </c>
      <c r="Q143" s="98">
        <f ca="1">SUM(Q141:Q142)</f>
        <v>0</v>
      </c>
      <c r="R143" s="76">
        <f ca="1">+Q143+P143</f>
        <v>0</v>
      </c>
      <c r="T143" s="48"/>
    </row>
    <row r="144" spans="2:21">
      <c r="N144" s="85"/>
      <c r="O144" s="74"/>
      <c r="P144" s="75"/>
      <c r="Q144" s="75"/>
      <c r="R144" s="76"/>
      <c r="T144" s="84"/>
      <c r="U144" s="84"/>
    </row>
    <row r="145" spans="1:21">
      <c r="B145" s="48" t="s">
        <v>98</v>
      </c>
      <c r="C145" s="48">
        <v>270</v>
      </c>
      <c r="D145" s="48">
        <v>119500</v>
      </c>
      <c r="E145" s="48" t="s">
        <v>83</v>
      </c>
      <c r="F145" s="48" t="s">
        <v>84</v>
      </c>
      <c r="G145" s="48">
        <f>+C146</f>
        <v>210</v>
      </c>
      <c r="I145" s="48" t="str">
        <f>+B145</f>
        <v>CAH</v>
      </c>
      <c r="J145" s="48">
        <f>+C145</f>
        <v>270</v>
      </c>
      <c r="K145" s="48">
        <v>401500</v>
      </c>
      <c r="L145" s="48" t="s">
        <v>83</v>
      </c>
      <c r="M145" s="48" t="s">
        <v>84</v>
      </c>
      <c r="N145" s="48">
        <f>+G145</f>
        <v>210</v>
      </c>
      <c r="O145" s="74"/>
      <c r="P145" s="75">
        <v>0</v>
      </c>
      <c r="Q145" s="75">
        <v>0</v>
      </c>
      <c r="R145" s="76"/>
      <c r="T145" s="99"/>
    </row>
    <row r="146" spans="1:21">
      <c r="B146" s="48" t="s">
        <v>95</v>
      </c>
      <c r="C146" s="48">
        <v>210</v>
      </c>
      <c r="D146" s="48">
        <v>119500</v>
      </c>
      <c r="E146" s="48" t="s">
        <v>83</v>
      </c>
      <c r="F146" s="48" t="s">
        <v>84</v>
      </c>
      <c r="G146" s="73">
        <f>+C145</f>
        <v>270</v>
      </c>
      <c r="I146" s="48" t="str">
        <f>+B146</f>
        <v>CSL</v>
      </c>
      <c r="J146" s="48">
        <f>+C146</f>
        <v>210</v>
      </c>
      <c r="K146" s="48">
        <v>401500</v>
      </c>
      <c r="L146" s="48" t="s">
        <v>83</v>
      </c>
      <c r="M146" s="48" t="s">
        <v>84</v>
      </c>
      <c r="N146" s="48">
        <f>+G146</f>
        <v>270</v>
      </c>
      <c r="O146" s="74"/>
      <c r="P146" s="75">
        <v>0</v>
      </c>
      <c r="Q146" s="75">
        <v>0</v>
      </c>
      <c r="R146" s="76"/>
      <c r="T146" s="84"/>
      <c r="U146" s="84"/>
    </row>
    <row r="147" spans="1:21">
      <c r="N147" s="48" t="s">
        <v>356</v>
      </c>
      <c r="O147" s="74"/>
      <c r="P147" s="98">
        <f ca="1">SUM(P145:P146)</f>
        <v>0</v>
      </c>
      <c r="Q147" s="98">
        <f ca="1">SUM(Q145:Q146)</f>
        <v>0</v>
      </c>
      <c r="R147" s="76">
        <f ca="1">+Q147+P147</f>
        <v>0</v>
      </c>
    </row>
    <row r="148" spans="1:21">
      <c r="N148" s="85"/>
      <c r="O148" s="74"/>
      <c r="P148" s="75"/>
      <c r="Q148" s="75"/>
      <c r="R148" s="76">
        <f ca="1">SUM(R87:R147)</f>
        <v>1669.1999999951804</v>
      </c>
      <c r="T148" s="84" t="s">
        <v>390</v>
      </c>
      <c r="U148" s="84"/>
    </row>
    <row r="149" spans="1:21">
      <c r="A149" s="89" t="s">
        <v>358</v>
      </c>
      <c r="B149" s="88"/>
      <c r="C149" s="88"/>
      <c r="D149" s="88"/>
      <c r="E149" s="88"/>
      <c r="F149" s="88"/>
      <c r="G149" s="88"/>
      <c r="H149" s="88"/>
      <c r="I149" s="88"/>
      <c r="J149" s="88"/>
      <c r="K149" s="88"/>
      <c r="L149" s="88"/>
      <c r="M149" s="88"/>
      <c r="N149" s="88"/>
      <c r="P149" s="88"/>
      <c r="Q149" s="88"/>
      <c r="S149" s="48"/>
    </row>
    <row r="150" spans="1:21">
      <c r="A150" s="88"/>
      <c r="B150" s="88" t="s">
        <v>51</v>
      </c>
      <c r="C150" s="100">
        <v>100</v>
      </c>
      <c r="D150" s="100">
        <v>119500</v>
      </c>
      <c r="E150" s="101" t="s">
        <v>66</v>
      </c>
      <c r="F150" s="101" t="s">
        <v>70</v>
      </c>
      <c r="G150" s="101" t="s">
        <v>71</v>
      </c>
      <c r="H150" s="100" t="s">
        <v>22</v>
      </c>
      <c r="I150" s="100" t="s">
        <v>51</v>
      </c>
      <c r="J150" s="100" t="s">
        <v>78</v>
      </c>
      <c r="K150" s="100" t="s">
        <v>77</v>
      </c>
      <c r="L150" s="100" t="s">
        <v>66</v>
      </c>
      <c r="M150" s="100" t="s">
        <v>70</v>
      </c>
      <c r="N150" s="100" t="s">
        <v>71</v>
      </c>
      <c r="O150" s="102"/>
      <c r="P150" s="92">
        <v>181362.2</v>
      </c>
      <c r="Q150" s="92">
        <v>1242626.02</v>
      </c>
      <c r="S150" s="48"/>
      <c r="T150" s="103"/>
    </row>
    <row r="151" spans="1:21">
      <c r="A151" s="88"/>
      <c r="B151" s="88" t="s">
        <v>51</v>
      </c>
      <c r="C151" s="100">
        <v>100</v>
      </c>
      <c r="D151" s="100">
        <v>119500</v>
      </c>
      <c r="E151" s="101" t="s">
        <v>66</v>
      </c>
      <c r="F151" s="101" t="s">
        <v>70</v>
      </c>
      <c r="G151" s="100">
        <f>+C151</f>
        <v>100</v>
      </c>
      <c r="H151" s="100" t="s">
        <v>22</v>
      </c>
      <c r="I151" s="104" t="str">
        <f>+B151</f>
        <v>CSI</v>
      </c>
      <c r="J151" s="100">
        <f>+C151</f>
        <v>100</v>
      </c>
      <c r="K151" s="100" t="s">
        <v>77</v>
      </c>
      <c r="L151" s="100" t="s">
        <v>66</v>
      </c>
      <c r="M151" s="100" t="s">
        <v>70</v>
      </c>
      <c r="N151" s="100">
        <f>+J151</f>
        <v>100</v>
      </c>
      <c r="O151" s="102"/>
      <c r="P151" s="92">
        <v>1669.2</v>
      </c>
      <c r="Q151" s="92">
        <v>-52112438.939999998</v>
      </c>
      <c r="S151" s="48"/>
      <c r="T151" s="103"/>
    </row>
    <row r="152" spans="1:21">
      <c r="A152" s="88"/>
      <c r="B152" s="88" t="s">
        <v>94</v>
      </c>
      <c r="C152" s="100" t="s">
        <v>334</v>
      </c>
      <c r="D152" s="100">
        <v>119500</v>
      </c>
      <c r="E152" s="101" t="s">
        <v>66</v>
      </c>
      <c r="F152" s="101" t="s">
        <v>70</v>
      </c>
      <c r="G152" s="101" t="s">
        <v>71</v>
      </c>
      <c r="H152" s="100" t="s">
        <v>22</v>
      </c>
      <c r="I152" s="88" t="s">
        <v>94</v>
      </c>
      <c r="J152" s="100" t="s">
        <v>334</v>
      </c>
      <c r="K152" s="100" t="s">
        <v>77</v>
      </c>
      <c r="L152" s="100" t="s">
        <v>66</v>
      </c>
      <c r="M152" s="100" t="s">
        <v>70</v>
      </c>
      <c r="N152" s="100" t="s">
        <v>71</v>
      </c>
      <c r="O152" s="102"/>
      <c r="P152" s="92">
        <v>0</v>
      </c>
      <c r="Q152" s="92">
        <v>-2478816.8600000003</v>
      </c>
      <c r="S152" s="48"/>
      <c r="T152" s="103"/>
    </row>
    <row r="153" spans="1:21">
      <c r="A153" s="88"/>
      <c r="B153" s="88" t="s">
        <v>94</v>
      </c>
      <c r="C153" s="100" t="s">
        <v>334</v>
      </c>
      <c r="D153" s="100">
        <v>119500</v>
      </c>
      <c r="E153" s="101" t="s">
        <v>66</v>
      </c>
      <c r="F153" s="101" t="s">
        <v>70</v>
      </c>
      <c r="G153" s="100" t="str">
        <f>+C153</f>
        <v>200</v>
      </c>
      <c r="H153" s="100" t="s">
        <v>22</v>
      </c>
      <c r="I153" s="104" t="str">
        <f>+B153</f>
        <v>CSR</v>
      </c>
      <c r="J153" s="100" t="str">
        <f>+C153</f>
        <v>200</v>
      </c>
      <c r="K153" s="100" t="s">
        <v>77</v>
      </c>
      <c r="L153" s="100" t="s">
        <v>66</v>
      </c>
      <c r="M153" s="100" t="s">
        <v>70</v>
      </c>
      <c r="N153" s="100" t="str">
        <f>+J153</f>
        <v>200</v>
      </c>
      <c r="O153" s="102"/>
      <c r="P153" s="92">
        <v>0</v>
      </c>
      <c r="Q153" s="92">
        <v>0</v>
      </c>
      <c r="S153" s="48"/>
      <c r="T153" s="103"/>
    </row>
    <row r="154" spans="1:21">
      <c r="A154" s="88"/>
      <c r="B154" s="88" t="s">
        <v>95</v>
      </c>
      <c r="C154" s="100" t="s">
        <v>335</v>
      </c>
      <c r="D154" s="100">
        <v>119500</v>
      </c>
      <c r="E154" s="101" t="s">
        <v>66</v>
      </c>
      <c r="F154" s="101" t="s">
        <v>70</v>
      </c>
      <c r="G154" s="101" t="s">
        <v>71</v>
      </c>
      <c r="H154" s="100" t="s">
        <v>22</v>
      </c>
      <c r="I154" s="88" t="s">
        <v>95</v>
      </c>
      <c r="J154" s="100" t="s">
        <v>335</v>
      </c>
      <c r="K154" s="100" t="s">
        <v>77</v>
      </c>
      <c r="L154" s="100" t="s">
        <v>66</v>
      </c>
      <c r="M154" s="100" t="s">
        <v>70</v>
      </c>
      <c r="N154" s="100" t="s">
        <v>71</v>
      </c>
      <c r="O154" s="102"/>
      <c r="P154" s="92">
        <v>1447115.5999999999</v>
      </c>
      <c r="Q154" s="92">
        <v>549433.32000000007</v>
      </c>
      <c r="S154" s="48"/>
      <c r="T154" s="103"/>
    </row>
    <row r="155" spans="1:21">
      <c r="A155" s="88"/>
      <c r="B155" s="88" t="s">
        <v>95</v>
      </c>
      <c r="C155" s="100" t="s">
        <v>335</v>
      </c>
      <c r="D155" s="100">
        <v>119500</v>
      </c>
      <c r="E155" s="101" t="s">
        <v>66</v>
      </c>
      <c r="F155" s="101" t="s">
        <v>70</v>
      </c>
      <c r="G155" s="100" t="str">
        <f>+C155</f>
        <v>210</v>
      </c>
      <c r="H155" s="100" t="s">
        <v>22</v>
      </c>
      <c r="I155" s="104" t="str">
        <f>+B155</f>
        <v>CSL</v>
      </c>
      <c r="J155" s="100" t="str">
        <f>+C155</f>
        <v>210</v>
      </c>
      <c r="K155" s="100" t="s">
        <v>77</v>
      </c>
      <c r="L155" s="100" t="s">
        <v>66</v>
      </c>
      <c r="M155" s="100" t="s">
        <v>70</v>
      </c>
      <c r="N155" s="100" t="str">
        <f>+J155</f>
        <v>210</v>
      </c>
      <c r="O155" s="102"/>
      <c r="P155" s="92">
        <v>0</v>
      </c>
      <c r="Q155" s="92">
        <v>0</v>
      </c>
      <c r="S155" s="48"/>
      <c r="T155" s="99"/>
    </row>
    <row r="156" spans="1:21">
      <c r="A156" s="88"/>
      <c r="B156" s="88" t="s">
        <v>96</v>
      </c>
      <c r="C156" s="100" t="s">
        <v>336</v>
      </c>
      <c r="D156" s="100">
        <v>119500</v>
      </c>
      <c r="E156" s="101" t="s">
        <v>66</v>
      </c>
      <c r="F156" s="101" t="s">
        <v>70</v>
      </c>
      <c r="G156" s="101" t="s">
        <v>71</v>
      </c>
      <c r="H156" s="100" t="s">
        <v>22</v>
      </c>
      <c r="I156" s="88" t="s">
        <v>96</v>
      </c>
      <c r="J156" s="100" t="s">
        <v>336</v>
      </c>
      <c r="K156" s="100" t="s">
        <v>77</v>
      </c>
      <c r="L156" s="100" t="s">
        <v>66</v>
      </c>
      <c r="M156" s="100" t="s">
        <v>70</v>
      </c>
      <c r="N156" s="100" t="s">
        <v>71</v>
      </c>
      <c r="O156" s="102"/>
      <c r="P156" s="92">
        <v>0</v>
      </c>
      <c r="Q156" s="92">
        <v>366999</v>
      </c>
      <c r="S156" s="48"/>
      <c r="T156" s="103"/>
    </row>
    <row r="157" spans="1:21">
      <c r="A157" s="88"/>
      <c r="B157" s="88" t="s">
        <v>96</v>
      </c>
      <c r="C157" s="100" t="s">
        <v>336</v>
      </c>
      <c r="D157" s="100">
        <v>119500</v>
      </c>
      <c r="E157" s="101" t="s">
        <v>66</v>
      </c>
      <c r="F157" s="101" t="s">
        <v>70</v>
      </c>
      <c r="G157" s="100" t="str">
        <f>+C157</f>
        <v>240</v>
      </c>
      <c r="H157" s="100" t="s">
        <v>22</v>
      </c>
      <c r="I157" s="104" t="str">
        <f>+B157</f>
        <v>CLI</v>
      </c>
      <c r="J157" s="100" t="str">
        <f>+C157</f>
        <v>240</v>
      </c>
      <c r="K157" s="100" t="s">
        <v>77</v>
      </c>
      <c r="L157" s="100" t="s">
        <v>66</v>
      </c>
      <c r="M157" s="100" t="s">
        <v>70</v>
      </c>
      <c r="N157" s="100" t="str">
        <f>+J157</f>
        <v>240</v>
      </c>
      <c r="O157" s="102"/>
      <c r="P157" s="92">
        <v>0</v>
      </c>
      <c r="Q157" s="92">
        <v>0</v>
      </c>
      <c r="S157" s="48"/>
      <c r="T157" s="103"/>
    </row>
    <row r="158" spans="1:21">
      <c r="A158" s="88"/>
      <c r="B158" s="88" t="s">
        <v>97</v>
      </c>
      <c r="C158" s="100" t="s">
        <v>337</v>
      </c>
      <c r="D158" s="100">
        <v>119500</v>
      </c>
      <c r="E158" s="101" t="s">
        <v>66</v>
      </c>
      <c r="F158" s="101" t="s">
        <v>70</v>
      </c>
      <c r="G158" s="101" t="s">
        <v>71</v>
      </c>
      <c r="H158" s="100" t="s">
        <v>22</v>
      </c>
      <c r="I158" s="88" t="s">
        <v>97</v>
      </c>
      <c r="J158" s="100" t="s">
        <v>337</v>
      </c>
      <c r="K158" s="100" t="s">
        <v>77</v>
      </c>
      <c r="L158" s="100" t="s">
        <v>66</v>
      </c>
      <c r="M158" s="100" t="s">
        <v>70</v>
      </c>
      <c r="N158" s="100" t="s">
        <v>71</v>
      </c>
      <c r="O158" s="102"/>
      <c r="P158" s="92">
        <v>0</v>
      </c>
      <c r="Q158" s="92">
        <v>67797.56</v>
      </c>
      <c r="S158" s="48"/>
      <c r="T158" s="103"/>
    </row>
    <row r="159" spans="1:21">
      <c r="A159" s="88"/>
      <c r="B159" s="88" t="s">
        <v>97</v>
      </c>
      <c r="C159" s="100" t="s">
        <v>337</v>
      </c>
      <c r="D159" s="100">
        <v>119500</v>
      </c>
      <c r="E159" s="101" t="s">
        <v>66</v>
      </c>
      <c r="F159" s="101" t="s">
        <v>70</v>
      </c>
      <c r="G159" s="100" t="str">
        <f>+C159</f>
        <v>250</v>
      </c>
      <c r="H159" s="100" t="s">
        <v>22</v>
      </c>
      <c r="I159" s="104" t="str">
        <f>+B159</f>
        <v>CSP</v>
      </c>
      <c r="J159" s="100" t="str">
        <f>+C159</f>
        <v>250</v>
      </c>
      <c r="K159" s="100" t="s">
        <v>77</v>
      </c>
      <c r="L159" s="100" t="s">
        <v>66</v>
      </c>
      <c r="M159" s="100" t="s">
        <v>70</v>
      </c>
      <c r="N159" s="100" t="str">
        <f>+J159</f>
        <v>250</v>
      </c>
      <c r="O159" s="102"/>
      <c r="P159" s="92">
        <v>0</v>
      </c>
      <c r="Q159" s="92">
        <v>0</v>
      </c>
      <c r="S159" s="48"/>
      <c r="T159" s="103"/>
    </row>
    <row r="160" spans="1:21">
      <c r="A160" s="88"/>
      <c r="B160" s="88" t="s">
        <v>331</v>
      </c>
      <c r="C160" s="100" t="s">
        <v>338</v>
      </c>
      <c r="D160" s="100">
        <v>119500</v>
      </c>
      <c r="E160" s="101" t="s">
        <v>66</v>
      </c>
      <c r="F160" s="101" t="s">
        <v>70</v>
      </c>
      <c r="G160" s="101" t="s">
        <v>71</v>
      </c>
      <c r="H160" s="100" t="s">
        <v>22</v>
      </c>
      <c r="I160" s="88" t="s">
        <v>331</v>
      </c>
      <c r="J160" s="100" t="s">
        <v>338</v>
      </c>
      <c r="K160" s="100" t="s">
        <v>77</v>
      </c>
      <c r="L160" s="100" t="s">
        <v>66</v>
      </c>
      <c r="M160" s="100" t="s">
        <v>70</v>
      </c>
      <c r="N160" s="100" t="s">
        <v>71</v>
      </c>
      <c r="O160" s="102"/>
      <c r="P160" s="92">
        <v>-1971.98</v>
      </c>
      <c r="Q160" s="92">
        <v>-484600.02</v>
      </c>
      <c r="S160" s="48"/>
      <c r="T160" s="103"/>
    </row>
    <row r="161" spans="1:21">
      <c r="A161" s="88"/>
      <c r="B161" s="88" t="s">
        <v>331</v>
      </c>
      <c r="C161" s="100" t="s">
        <v>338</v>
      </c>
      <c r="D161" s="100">
        <v>119500</v>
      </c>
      <c r="E161" s="101" t="s">
        <v>66</v>
      </c>
      <c r="F161" s="101" t="s">
        <v>70</v>
      </c>
      <c r="G161" s="100" t="str">
        <f>+C161</f>
        <v>115</v>
      </c>
      <c r="H161" s="100" t="s">
        <v>22</v>
      </c>
      <c r="I161" s="104" t="str">
        <f>+B161</f>
        <v>CWC</v>
      </c>
      <c r="J161" s="100" t="str">
        <f>+C161</f>
        <v>115</v>
      </c>
      <c r="K161" s="100" t="s">
        <v>77</v>
      </c>
      <c r="L161" s="100" t="s">
        <v>66</v>
      </c>
      <c r="M161" s="100" t="s">
        <v>70</v>
      </c>
      <c r="N161" s="100" t="str">
        <f>+J161</f>
        <v>115</v>
      </c>
      <c r="O161" s="102"/>
      <c r="P161" s="92">
        <v>0</v>
      </c>
      <c r="Q161" s="92">
        <v>0</v>
      </c>
      <c r="S161" s="48"/>
      <c r="T161" s="103"/>
    </row>
    <row r="162" spans="1:21">
      <c r="A162" s="88"/>
      <c r="B162" s="88" t="s">
        <v>98</v>
      </c>
      <c r="C162" s="100" t="s">
        <v>339</v>
      </c>
      <c r="D162" s="100">
        <v>119500</v>
      </c>
      <c r="E162" s="101" t="s">
        <v>66</v>
      </c>
      <c r="F162" s="101" t="s">
        <v>70</v>
      </c>
      <c r="G162" s="101" t="s">
        <v>71</v>
      </c>
      <c r="H162" s="100" t="s">
        <v>22</v>
      </c>
      <c r="I162" s="88" t="s">
        <v>98</v>
      </c>
      <c r="J162" s="100" t="s">
        <v>339</v>
      </c>
      <c r="K162" s="100" t="s">
        <v>77</v>
      </c>
      <c r="L162" s="100" t="s">
        <v>66</v>
      </c>
      <c r="M162" s="100" t="s">
        <v>70</v>
      </c>
      <c r="N162" s="100" t="s">
        <v>71</v>
      </c>
      <c r="O162" s="102"/>
      <c r="P162" s="92">
        <v>0</v>
      </c>
      <c r="Q162" s="92">
        <v>-210973.74</v>
      </c>
      <c r="S162" s="48"/>
      <c r="T162" s="103"/>
    </row>
    <row r="163" spans="1:21">
      <c r="A163" s="88"/>
      <c r="B163" s="88" t="s">
        <v>98</v>
      </c>
      <c r="C163" s="100" t="s">
        <v>339</v>
      </c>
      <c r="D163" s="100">
        <v>119500</v>
      </c>
      <c r="E163" s="101" t="s">
        <v>66</v>
      </c>
      <c r="F163" s="101" t="s">
        <v>70</v>
      </c>
      <c r="G163" s="100" t="str">
        <f>+C163</f>
        <v>270</v>
      </c>
      <c r="H163" s="100" t="s">
        <v>22</v>
      </c>
      <c r="I163" s="104" t="str">
        <f>+B163</f>
        <v>CAH</v>
      </c>
      <c r="J163" s="100" t="str">
        <f>+C163</f>
        <v>270</v>
      </c>
      <c r="K163" s="100" t="s">
        <v>77</v>
      </c>
      <c r="L163" s="100" t="s">
        <v>66</v>
      </c>
      <c r="M163" s="100" t="s">
        <v>70</v>
      </c>
      <c r="N163" s="100" t="str">
        <f>+J163</f>
        <v>270</v>
      </c>
      <c r="O163" s="102"/>
      <c r="P163" s="92">
        <v>0</v>
      </c>
      <c r="Q163" s="92">
        <v>0</v>
      </c>
      <c r="S163" s="48"/>
      <c r="T163" s="103"/>
    </row>
    <row r="164" spans="1:21">
      <c r="A164" s="88"/>
      <c r="B164" s="88" t="s">
        <v>340</v>
      </c>
      <c r="C164" s="100" t="s">
        <v>341</v>
      </c>
      <c r="D164" s="100">
        <v>119500</v>
      </c>
      <c r="E164" s="101" t="s">
        <v>66</v>
      </c>
      <c r="F164" s="101" t="s">
        <v>70</v>
      </c>
      <c r="G164" s="101" t="s">
        <v>71</v>
      </c>
      <c r="H164" s="100" t="s">
        <v>22</v>
      </c>
      <c r="I164" s="88" t="s">
        <v>340</v>
      </c>
      <c r="J164" s="100" t="s">
        <v>341</v>
      </c>
      <c r="K164" s="100" t="s">
        <v>77</v>
      </c>
      <c r="L164" s="100" t="s">
        <v>66</v>
      </c>
      <c r="M164" s="100" t="s">
        <v>70</v>
      </c>
      <c r="N164" s="100" t="s">
        <v>71</v>
      </c>
      <c r="O164" s="102"/>
      <c r="P164" s="92">
        <v>0</v>
      </c>
      <c r="Q164" s="92">
        <v>-76.78</v>
      </c>
      <c r="S164" s="48"/>
      <c r="T164" s="103"/>
    </row>
    <row r="165" spans="1:21">
      <c r="A165" s="88"/>
      <c r="B165" s="88"/>
      <c r="C165" s="100"/>
      <c r="D165" s="100"/>
      <c r="E165" s="101"/>
      <c r="F165" s="101"/>
      <c r="G165" s="101"/>
      <c r="H165" s="100"/>
      <c r="I165" s="88"/>
      <c r="J165" s="100"/>
      <c r="K165" s="100"/>
      <c r="L165" s="100"/>
      <c r="M165" s="100"/>
      <c r="N165" s="48" t="s">
        <v>356</v>
      </c>
      <c r="O165" s="74"/>
      <c r="P165" s="98">
        <f ca="1">SUM(P150:P164)</f>
        <v>1628175.02</v>
      </c>
      <c r="Q165" s="98">
        <f ca="1">SUM(Q150:Q164)</f>
        <v>-53060050.439999998</v>
      </c>
      <c r="R165" s="76">
        <f ca="1">+Q165+P165</f>
        <v>-51431875.419999994</v>
      </c>
      <c r="S165" s="48"/>
      <c r="T165" s="103"/>
    </row>
    <row r="166" spans="1:21">
      <c r="A166" s="88"/>
      <c r="B166" s="88"/>
      <c r="C166" s="100"/>
      <c r="D166" s="100"/>
      <c r="E166" s="101"/>
      <c r="F166" s="101"/>
      <c r="G166" s="101"/>
      <c r="H166" s="100"/>
      <c r="I166" s="88"/>
      <c r="J166" s="100"/>
      <c r="K166" s="100"/>
      <c r="L166" s="100"/>
      <c r="M166" s="100"/>
      <c r="N166" s="100"/>
      <c r="O166" s="102"/>
      <c r="P166" s="92"/>
      <c r="Q166" s="92"/>
      <c r="S166" s="48"/>
      <c r="T166" s="103"/>
    </row>
    <row r="167" spans="1:21" s="70" customFormat="1">
      <c r="D167" s="79" t="s">
        <v>357</v>
      </c>
      <c r="E167" s="93"/>
      <c r="F167" s="93"/>
      <c r="G167" s="93"/>
      <c r="O167" s="94"/>
      <c r="P167" s="96">
        <f ca="1">+SUMIF($N$86:$N166,"sum:",P$86:P166)</f>
        <v>12106068.01</v>
      </c>
      <c r="Q167" s="96">
        <f ca="1">+SUMIF($N$86:$N166,"sum:",Q$86:Q166)</f>
        <v>-63536274.230000004</v>
      </c>
      <c r="R167" s="96">
        <f ca="1">+SUMIF($N$86:$N166,"sum:",R$86:R166)</f>
        <v>-51430206.219999999</v>
      </c>
      <c r="S167" s="45"/>
      <c r="T167" s="105"/>
    </row>
    <row r="168" spans="1:21">
      <c r="N168" s="85"/>
      <c r="O168" s="74"/>
      <c r="P168" s="75"/>
      <c r="Q168" s="75"/>
      <c r="R168" s="76"/>
      <c r="T168" s="48"/>
      <c r="U168" s="84"/>
    </row>
    <row r="170" spans="1:21" s="70" customFormat="1" ht="15.75" thickBot="1">
      <c r="D170" s="79" t="s">
        <v>354</v>
      </c>
      <c r="E170" s="93"/>
      <c r="F170" s="93"/>
      <c r="G170" s="93"/>
      <c r="O170" s="94"/>
      <c r="P170" s="106">
        <f ca="1">+P167+P83</f>
        <v>13383875.58</v>
      </c>
      <c r="Q170" s="106">
        <f ca="1">+Q167+Q83</f>
        <v>-68740052.600000009</v>
      </c>
      <c r="R170" s="106">
        <f ca="1">+R167+R83</f>
        <v>-55289068.850000001</v>
      </c>
      <c r="S170" s="45"/>
      <c r="T170" s="36"/>
      <c r="U170" s="36"/>
    </row>
    <row r="171" spans="1:21" ht="15.75" thickTop="1">
      <c r="R171" s="82"/>
    </row>
    <row r="173" spans="1:21">
      <c r="A173" s="70" t="s">
        <v>5</v>
      </c>
    </row>
    <row r="174" spans="1:21">
      <c r="A174" s="70" t="s">
        <v>20</v>
      </c>
    </row>
    <row r="175" spans="1:21">
      <c r="A175" s="72" t="s">
        <v>14</v>
      </c>
    </row>
    <row r="176" spans="1:21">
      <c r="B176" s="48" t="s">
        <v>9</v>
      </c>
      <c r="C176" s="48">
        <v>500</v>
      </c>
      <c r="D176" s="48">
        <v>141500</v>
      </c>
      <c r="E176" s="73" t="s">
        <v>66</v>
      </c>
      <c r="F176" s="48" t="s">
        <v>84</v>
      </c>
      <c r="G176" s="48">
        <v>400</v>
      </c>
      <c r="I176" s="48" t="s">
        <v>7</v>
      </c>
      <c r="J176" s="48">
        <v>400</v>
      </c>
      <c r="K176" s="48">
        <v>426500</v>
      </c>
      <c r="L176" s="73" t="s">
        <v>66</v>
      </c>
      <c r="M176" s="48" t="s">
        <v>84</v>
      </c>
      <c r="N176" s="48">
        <v>500</v>
      </c>
      <c r="P176" s="75">
        <v>-33810.839999999997</v>
      </c>
      <c r="Q176" s="75">
        <v>33810.839999999997</v>
      </c>
      <c r="R176" s="76">
        <f t="shared" ref="R176:R181" ca="1" si="5">+Q176+P176</f>
        <v>0</v>
      </c>
    </row>
    <row r="177" spans="1:21">
      <c r="B177" s="48" t="s">
        <v>9</v>
      </c>
      <c r="C177" s="48">
        <v>500</v>
      </c>
      <c r="D177" s="48">
        <v>141500</v>
      </c>
      <c r="E177" s="73" t="s">
        <v>139</v>
      </c>
      <c r="F177" s="48" t="s">
        <v>84</v>
      </c>
      <c r="G177" s="48">
        <v>400</v>
      </c>
      <c r="I177" s="48" t="s">
        <v>7</v>
      </c>
      <c r="J177" s="48">
        <v>400</v>
      </c>
      <c r="K177" s="48">
        <v>426500</v>
      </c>
      <c r="L177" s="73" t="s">
        <v>139</v>
      </c>
      <c r="M177" s="48" t="s">
        <v>84</v>
      </c>
      <c r="N177" s="48">
        <v>500</v>
      </c>
      <c r="P177" s="75">
        <v>33810.839999999997</v>
      </c>
      <c r="Q177" s="75">
        <v>-33810.839999999997</v>
      </c>
      <c r="R177" s="76">
        <f t="shared" ca="1" si="5"/>
        <v>0</v>
      </c>
    </row>
    <row r="178" spans="1:21">
      <c r="B178" s="48" t="s">
        <v>9</v>
      </c>
      <c r="C178" s="48">
        <v>500</v>
      </c>
      <c r="D178" s="48">
        <v>141510</v>
      </c>
      <c r="E178" s="48" t="s">
        <v>83</v>
      </c>
      <c r="F178" s="48" t="s">
        <v>84</v>
      </c>
      <c r="G178" s="48">
        <v>400</v>
      </c>
      <c r="I178" s="48" t="s">
        <v>7</v>
      </c>
      <c r="J178" s="48">
        <v>400</v>
      </c>
      <c r="K178" s="48">
        <v>426510</v>
      </c>
      <c r="L178" s="48" t="s">
        <v>83</v>
      </c>
      <c r="M178" s="48" t="s">
        <v>84</v>
      </c>
      <c r="N178" s="48">
        <v>500</v>
      </c>
      <c r="P178" s="75">
        <v>0</v>
      </c>
      <c r="Q178" s="75">
        <v>0</v>
      </c>
      <c r="R178" s="76">
        <f t="shared" ca="1" si="5"/>
        <v>0</v>
      </c>
    </row>
    <row r="179" spans="1:21" ht="13.5">
      <c r="B179" s="48" t="s">
        <v>9</v>
      </c>
      <c r="C179" s="48">
        <v>500</v>
      </c>
      <c r="D179" s="48">
        <v>141500</v>
      </c>
      <c r="E179" s="73" t="s">
        <v>66</v>
      </c>
      <c r="F179" s="48" t="s">
        <v>84</v>
      </c>
      <c r="G179" s="48">
        <v>700</v>
      </c>
      <c r="I179" s="48" t="s">
        <v>12</v>
      </c>
      <c r="J179" s="48">
        <v>700</v>
      </c>
      <c r="K179" s="48">
        <v>426500</v>
      </c>
      <c r="L179" s="73" t="s">
        <v>66</v>
      </c>
      <c r="M179" s="48" t="s">
        <v>84</v>
      </c>
      <c r="N179" s="48">
        <v>500</v>
      </c>
      <c r="P179" s="75">
        <v>-1037638.02</v>
      </c>
      <c r="Q179" s="75">
        <v>1037636.64</v>
      </c>
      <c r="R179" s="76">
        <f t="shared" ca="1" si="5"/>
        <v>-1.3800000000046566</v>
      </c>
      <c r="S179" s="79"/>
      <c r="T179" s="70"/>
      <c r="U179" s="70"/>
    </row>
    <row r="180" spans="1:21">
      <c r="B180" s="48" t="s">
        <v>9</v>
      </c>
      <c r="C180" s="48">
        <v>500</v>
      </c>
      <c r="D180" s="48">
        <v>141500</v>
      </c>
      <c r="E180" s="73" t="s">
        <v>139</v>
      </c>
      <c r="F180" s="48" t="s">
        <v>84</v>
      </c>
      <c r="G180" s="48">
        <v>700</v>
      </c>
      <c r="I180" s="48" t="s">
        <v>12</v>
      </c>
      <c r="J180" s="48">
        <v>700</v>
      </c>
      <c r="K180" s="48">
        <v>426500</v>
      </c>
      <c r="L180" s="73" t="s">
        <v>139</v>
      </c>
      <c r="M180" s="48" t="s">
        <v>84</v>
      </c>
      <c r="N180" s="48">
        <v>500</v>
      </c>
      <c r="P180" s="75">
        <v>1383515.63</v>
      </c>
      <c r="Q180" s="75">
        <v>-1383515.63</v>
      </c>
      <c r="R180" s="76">
        <f t="shared" ca="1" si="5"/>
        <v>0</v>
      </c>
    </row>
    <row r="181" spans="1:21">
      <c r="B181" s="48" t="s">
        <v>9</v>
      </c>
      <c r="C181" s="48">
        <v>500</v>
      </c>
      <c r="D181" s="48">
        <v>141510</v>
      </c>
      <c r="E181" s="48" t="s">
        <v>83</v>
      </c>
      <c r="F181" s="48" t="s">
        <v>84</v>
      </c>
      <c r="G181" s="48">
        <v>700</v>
      </c>
      <c r="I181" s="48" t="s">
        <v>12</v>
      </c>
      <c r="J181" s="48">
        <v>700</v>
      </c>
      <c r="K181" s="48">
        <v>426510</v>
      </c>
      <c r="L181" s="48" t="s">
        <v>83</v>
      </c>
      <c r="M181" s="48" t="s">
        <v>84</v>
      </c>
      <c r="N181" s="48">
        <v>500</v>
      </c>
      <c r="P181" s="75">
        <v>-138352</v>
      </c>
      <c r="Q181" s="75">
        <v>138351.56</v>
      </c>
      <c r="R181" s="76">
        <f t="shared" ca="1" si="5"/>
        <v>-0.44000000000232831</v>
      </c>
    </row>
    <row r="182" spans="1:21">
      <c r="R182" s="77">
        <f ca="1">SUM(R175:R181)</f>
        <v>-1.8200000000069849</v>
      </c>
    </row>
    <row r="183" spans="1:21">
      <c r="A183" s="72" t="s">
        <v>15</v>
      </c>
      <c r="P183" s="61"/>
    </row>
    <row r="184" spans="1:21">
      <c r="B184" s="48" t="s">
        <v>11</v>
      </c>
      <c r="C184" s="48">
        <v>600</v>
      </c>
      <c r="D184" s="48">
        <v>141500</v>
      </c>
      <c r="E184" s="73" t="s">
        <v>66</v>
      </c>
      <c r="F184" s="48" t="s">
        <v>84</v>
      </c>
      <c r="G184" s="48">
        <v>700</v>
      </c>
      <c r="I184" s="48" t="s">
        <v>12</v>
      </c>
      <c r="J184" s="48">
        <v>700</v>
      </c>
      <c r="K184" s="48">
        <v>426500</v>
      </c>
      <c r="L184" s="73" t="s">
        <v>66</v>
      </c>
      <c r="M184" s="48" t="s">
        <v>84</v>
      </c>
      <c r="N184" s="48">
        <v>600</v>
      </c>
      <c r="P184" s="75">
        <v>-1633932.93</v>
      </c>
      <c r="Q184" s="75">
        <v>1633932.9</v>
      </c>
      <c r="R184" s="76">
        <f ca="1">+Q184+P184</f>
        <v>-3.0000000027939677E-2</v>
      </c>
    </row>
    <row r="185" spans="1:21">
      <c r="B185" s="48" t="s">
        <v>11</v>
      </c>
      <c r="C185" s="48">
        <v>600</v>
      </c>
      <c r="D185" s="48">
        <v>141500</v>
      </c>
      <c r="E185" s="73" t="s">
        <v>139</v>
      </c>
      <c r="F185" s="48" t="s">
        <v>84</v>
      </c>
      <c r="G185" s="48">
        <v>700</v>
      </c>
      <c r="I185" s="48" t="s">
        <v>12</v>
      </c>
      <c r="J185" s="48">
        <v>700</v>
      </c>
      <c r="K185" s="48">
        <v>426500</v>
      </c>
      <c r="L185" s="73" t="s">
        <v>139</v>
      </c>
      <c r="M185" s="48" t="s">
        <v>84</v>
      </c>
      <c r="N185" s="48">
        <v>600</v>
      </c>
      <c r="P185" s="75">
        <v>2178577.2599999998</v>
      </c>
      <c r="Q185" s="75">
        <v>-2178577.25</v>
      </c>
      <c r="R185" s="76">
        <f ca="1">+Q185+P185</f>
        <v>9.9999997764825821E-3</v>
      </c>
    </row>
    <row r="186" spans="1:21">
      <c r="B186" s="48" t="s">
        <v>11</v>
      </c>
      <c r="C186" s="48">
        <v>600</v>
      </c>
      <c r="D186" s="48">
        <v>141510</v>
      </c>
      <c r="E186" s="73" t="s">
        <v>66</v>
      </c>
      <c r="F186" s="73" t="s">
        <v>70</v>
      </c>
      <c r="G186" s="48">
        <v>700</v>
      </c>
      <c r="I186" s="48" t="s">
        <v>12</v>
      </c>
      <c r="J186" s="48">
        <v>700</v>
      </c>
      <c r="K186" s="48">
        <v>426510</v>
      </c>
      <c r="L186" s="48" t="s">
        <v>83</v>
      </c>
      <c r="M186" s="48" t="s">
        <v>84</v>
      </c>
      <c r="N186" s="48">
        <v>600</v>
      </c>
      <c r="P186" s="75">
        <v>-217857.72</v>
      </c>
      <c r="Q186" s="75">
        <v>217857.72</v>
      </c>
      <c r="R186" s="76">
        <f ca="1">+Q186+P186</f>
        <v>0</v>
      </c>
    </row>
    <row r="187" spans="1:21">
      <c r="P187" s="75"/>
      <c r="Q187" s="75"/>
      <c r="R187" s="77">
        <f ca="1">SUM(R184:R186)</f>
        <v>-2.0000000251457095E-2</v>
      </c>
      <c r="S187" s="79"/>
    </row>
    <row r="188" spans="1:21">
      <c r="A188" s="72" t="s">
        <v>17</v>
      </c>
      <c r="S188" s="79"/>
    </row>
    <row r="189" spans="1:21">
      <c r="B189" s="48" t="s">
        <v>6</v>
      </c>
      <c r="C189" s="48">
        <v>800</v>
      </c>
      <c r="D189" s="48">
        <v>141500</v>
      </c>
      <c r="E189" s="73" t="s">
        <v>66</v>
      </c>
      <c r="F189" s="48" t="s">
        <v>84</v>
      </c>
      <c r="G189" s="48">
        <v>700</v>
      </c>
      <c r="I189" s="48" t="s">
        <v>12</v>
      </c>
      <c r="J189" s="48">
        <v>700</v>
      </c>
      <c r="K189" s="48">
        <v>426500</v>
      </c>
      <c r="L189" s="73" t="s">
        <v>66</v>
      </c>
      <c r="M189" s="48" t="s">
        <v>84</v>
      </c>
      <c r="N189" s="48">
        <v>800</v>
      </c>
      <c r="P189" s="75">
        <v>-0.28000000000000003</v>
      </c>
      <c r="Q189" s="75">
        <v>35964312.159999996</v>
      </c>
      <c r="R189" s="76">
        <f ca="1">+Q189+P189</f>
        <v>35964311.879999995</v>
      </c>
      <c r="T189" s="99" t="s">
        <v>360</v>
      </c>
    </row>
    <row r="190" spans="1:21">
      <c r="B190" s="48" t="s">
        <v>6</v>
      </c>
      <c r="C190" s="48">
        <v>800</v>
      </c>
      <c r="D190" s="48">
        <v>141500</v>
      </c>
      <c r="E190" s="73" t="s">
        <v>139</v>
      </c>
      <c r="F190" s="48" t="s">
        <v>84</v>
      </c>
      <c r="G190" s="48">
        <v>700</v>
      </c>
      <c r="I190" s="48" t="s">
        <v>12</v>
      </c>
      <c r="J190" s="48">
        <v>700</v>
      </c>
      <c r="K190" s="48">
        <v>426500</v>
      </c>
      <c r="L190" s="73" t="s">
        <v>139</v>
      </c>
      <c r="M190" s="48" t="s">
        <v>84</v>
      </c>
      <c r="N190" s="48">
        <v>800</v>
      </c>
      <c r="P190" s="75">
        <v>0.28000000000000003</v>
      </c>
      <c r="Q190" s="75">
        <v>-35964312.439999998</v>
      </c>
      <c r="R190" s="76">
        <f ca="1">+Q190+P190</f>
        <v>-35964312.159999996</v>
      </c>
      <c r="T190" s="99" t="s">
        <v>360</v>
      </c>
    </row>
    <row r="191" spans="1:21">
      <c r="B191" s="48" t="s">
        <v>6</v>
      </c>
      <c r="C191" s="48">
        <v>800</v>
      </c>
      <c r="D191" s="48">
        <v>141510</v>
      </c>
      <c r="E191" s="48" t="s">
        <v>83</v>
      </c>
      <c r="F191" s="48" t="s">
        <v>84</v>
      </c>
      <c r="G191" s="48">
        <v>700</v>
      </c>
      <c r="I191" s="48" t="s">
        <v>12</v>
      </c>
      <c r="J191" s="48">
        <v>700</v>
      </c>
      <c r="K191" s="48">
        <v>426510</v>
      </c>
      <c r="L191" s="48" t="s">
        <v>83</v>
      </c>
      <c r="M191" s="48" t="s">
        <v>84</v>
      </c>
      <c r="N191" s="48">
        <v>800</v>
      </c>
      <c r="P191" s="75">
        <v>0</v>
      </c>
      <c r="Q191" s="75">
        <v>0</v>
      </c>
      <c r="R191" s="76">
        <f ca="1">+Q191+P191</f>
        <v>0</v>
      </c>
    </row>
    <row r="192" spans="1:21">
      <c r="R192" s="77">
        <f ca="1">SUM(R189:R191)</f>
        <v>-0.2800000011920929</v>
      </c>
    </row>
    <row r="193" spans="1:21">
      <c r="R193" s="82"/>
    </row>
    <row r="194" spans="1:21">
      <c r="A194" s="70" t="s">
        <v>21</v>
      </c>
    </row>
    <row r="195" spans="1:21">
      <c r="A195" s="72" t="s">
        <v>14</v>
      </c>
    </row>
    <row r="196" spans="1:21">
      <c r="B196" s="48" t="s">
        <v>9</v>
      </c>
      <c r="C196" s="48">
        <v>500</v>
      </c>
      <c r="D196" s="48">
        <v>120500</v>
      </c>
      <c r="E196" s="48" t="s">
        <v>83</v>
      </c>
      <c r="F196" s="48" t="s">
        <v>84</v>
      </c>
      <c r="G196" s="48">
        <v>400</v>
      </c>
      <c r="I196" s="48" t="s">
        <v>7</v>
      </c>
      <c r="J196" s="48">
        <v>400</v>
      </c>
      <c r="K196" s="48">
        <v>405500</v>
      </c>
      <c r="L196" s="48" t="s">
        <v>83</v>
      </c>
      <c r="M196" s="48" t="s">
        <v>84</v>
      </c>
      <c r="N196" s="48">
        <v>500</v>
      </c>
      <c r="P196" s="75">
        <v>0</v>
      </c>
      <c r="Q196" s="75">
        <v>0</v>
      </c>
      <c r="R196" s="76">
        <f ca="1">+Q196+P196</f>
        <v>0</v>
      </c>
    </row>
    <row r="197" spans="1:21">
      <c r="B197" s="48" t="s">
        <v>9</v>
      </c>
      <c r="C197" s="48">
        <v>500</v>
      </c>
      <c r="D197" s="48">
        <v>120500</v>
      </c>
      <c r="E197" s="48" t="s">
        <v>83</v>
      </c>
      <c r="F197" s="48" t="s">
        <v>84</v>
      </c>
      <c r="G197" s="48">
        <v>700</v>
      </c>
      <c r="I197" s="48" t="s">
        <v>12</v>
      </c>
      <c r="J197" s="48">
        <v>700</v>
      </c>
      <c r="K197" s="48">
        <v>405500</v>
      </c>
      <c r="L197" s="48" t="s">
        <v>83</v>
      </c>
      <c r="M197" s="48" t="s">
        <v>84</v>
      </c>
      <c r="N197" s="48">
        <v>500</v>
      </c>
      <c r="P197" s="75">
        <v>138352</v>
      </c>
      <c r="Q197" s="75">
        <v>-138351.56</v>
      </c>
      <c r="R197" s="76">
        <f ca="1">+Q197+P197</f>
        <v>0.44000000000232831</v>
      </c>
    </row>
    <row r="198" spans="1:21">
      <c r="R198" s="77">
        <f ca="1">SUM(R195:R197)</f>
        <v>0.44000000000232831</v>
      </c>
    </row>
    <row r="199" spans="1:21">
      <c r="A199" s="72" t="s">
        <v>15</v>
      </c>
    </row>
    <row r="200" spans="1:21">
      <c r="B200" s="48" t="s">
        <v>11</v>
      </c>
      <c r="C200" s="48">
        <v>600</v>
      </c>
      <c r="D200" s="48">
        <v>120500</v>
      </c>
      <c r="E200" s="73" t="s">
        <v>66</v>
      </c>
      <c r="F200" s="73" t="s">
        <v>70</v>
      </c>
      <c r="G200" s="48">
        <v>700</v>
      </c>
      <c r="I200" s="48" t="s">
        <v>12</v>
      </c>
      <c r="J200" s="48">
        <v>700</v>
      </c>
      <c r="K200" s="48">
        <v>405500</v>
      </c>
      <c r="L200" s="48" t="s">
        <v>83</v>
      </c>
      <c r="M200" s="48" t="s">
        <v>84</v>
      </c>
      <c r="N200" s="48">
        <v>600</v>
      </c>
      <c r="P200" s="75">
        <v>217857.72</v>
      </c>
      <c r="Q200" s="75">
        <v>-217857.72</v>
      </c>
      <c r="R200" s="76">
        <f ca="1">+Q200+P200</f>
        <v>0</v>
      </c>
    </row>
    <row r="201" spans="1:21">
      <c r="E201" s="48" t="s">
        <v>83</v>
      </c>
      <c r="F201" s="48" t="s">
        <v>84</v>
      </c>
      <c r="R201" s="77">
        <f ca="1">SUM(R200:R200)</f>
        <v>0</v>
      </c>
    </row>
    <row r="202" spans="1:21">
      <c r="A202" s="72" t="s">
        <v>17</v>
      </c>
    </row>
    <row r="203" spans="1:21">
      <c r="B203" s="48" t="s">
        <v>6</v>
      </c>
      <c r="C203" s="48">
        <v>800</v>
      </c>
      <c r="D203" s="48">
        <v>120500</v>
      </c>
      <c r="E203" s="48" t="s">
        <v>83</v>
      </c>
      <c r="F203" s="48" t="s">
        <v>84</v>
      </c>
      <c r="G203" s="48">
        <v>700</v>
      </c>
      <c r="I203" s="48" t="s">
        <v>12</v>
      </c>
      <c r="J203" s="48">
        <v>700</v>
      </c>
      <c r="K203" s="48">
        <v>405500</v>
      </c>
      <c r="L203" s="48" t="s">
        <v>83</v>
      </c>
      <c r="M203" s="48" t="s">
        <v>84</v>
      </c>
      <c r="N203" s="48">
        <v>800</v>
      </c>
      <c r="P203" s="75">
        <v>0</v>
      </c>
      <c r="Q203" s="75">
        <v>0</v>
      </c>
      <c r="R203" s="76">
        <f ca="1">+Q203+P203</f>
        <v>0</v>
      </c>
    </row>
    <row r="204" spans="1:21">
      <c r="R204" s="77">
        <f ca="1">SUM(R203:R203)</f>
        <v>0</v>
      </c>
    </row>
    <row r="205" spans="1:21" s="70" customFormat="1" ht="15.75" thickBot="1">
      <c r="D205" s="79" t="s">
        <v>23</v>
      </c>
      <c r="E205" s="93"/>
      <c r="F205" s="93"/>
      <c r="G205" s="93"/>
      <c r="O205" s="94"/>
      <c r="P205" s="106">
        <f ca="1">SUM(P173:P204)</f>
        <v>890521.93999999971</v>
      </c>
      <c r="Q205" s="106">
        <f ca="1">SUM(Q173:Q204)</f>
        <v>-890523.6200000036</v>
      </c>
      <c r="R205" s="107">
        <f ca="1">+R204+R198+R192+R182+R201+R187</f>
        <v>-1.6800000014482066</v>
      </c>
      <c r="S205" s="45"/>
      <c r="T205" s="36"/>
      <c r="U205" s="36"/>
    </row>
    <row r="206" spans="1:21" ht="15.75" thickTop="1"/>
    <row r="208" spans="1:21">
      <c r="A208" s="70" t="s">
        <v>24</v>
      </c>
    </row>
    <row r="209" spans="1:21">
      <c r="A209" s="72" t="s">
        <v>17</v>
      </c>
      <c r="S209" s="48"/>
      <c r="T209" s="48"/>
    </row>
    <row r="210" spans="1:21">
      <c r="B210" s="48" t="s">
        <v>6</v>
      </c>
      <c r="C210" s="48">
        <v>800</v>
      </c>
      <c r="D210" s="48">
        <v>431015</v>
      </c>
      <c r="E210" s="48" t="s">
        <v>83</v>
      </c>
      <c r="F210" s="48" t="s">
        <v>84</v>
      </c>
      <c r="G210" s="48">
        <v>400</v>
      </c>
      <c r="I210" s="48" t="s">
        <v>7</v>
      </c>
      <c r="J210" s="48">
        <v>400</v>
      </c>
      <c r="K210" s="48">
        <v>143950</v>
      </c>
      <c r="L210" s="48" t="s">
        <v>83</v>
      </c>
      <c r="M210" s="48" t="s">
        <v>84</v>
      </c>
      <c r="N210" s="108" t="s">
        <v>71</v>
      </c>
      <c r="O210" s="109"/>
      <c r="P210" s="75">
        <v>0</v>
      </c>
      <c r="Q210" s="75">
        <v>0</v>
      </c>
      <c r="R210" s="76">
        <f t="shared" ref="R210:R215" ca="1" si="6">+Q210+P210</f>
        <v>0</v>
      </c>
      <c r="S210" s="48"/>
    </row>
    <row r="211" spans="1:21">
      <c r="B211" s="48" t="s">
        <v>6</v>
      </c>
      <c r="C211" s="48">
        <v>800</v>
      </c>
      <c r="D211" s="48">
        <v>431015</v>
      </c>
      <c r="E211" s="48" t="s">
        <v>83</v>
      </c>
      <c r="F211" s="48" t="s">
        <v>84</v>
      </c>
      <c r="G211" s="48">
        <v>100</v>
      </c>
      <c r="I211" s="48" t="s">
        <v>51</v>
      </c>
      <c r="J211" s="48">
        <v>100</v>
      </c>
      <c r="K211" s="48">
        <v>143950</v>
      </c>
      <c r="L211" s="48" t="s">
        <v>83</v>
      </c>
      <c r="M211" s="48" t="s">
        <v>84</v>
      </c>
      <c r="N211" s="108" t="s">
        <v>71</v>
      </c>
      <c r="O211" s="109"/>
      <c r="P211" s="75">
        <v>-2.69</v>
      </c>
      <c r="Q211" s="75">
        <v>-1.78</v>
      </c>
      <c r="R211" s="76">
        <f t="shared" ca="1" si="6"/>
        <v>-4.47</v>
      </c>
      <c r="S211" s="48"/>
    </row>
    <row r="212" spans="1:21">
      <c r="B212" s="48" t="s">
        <v>6</v>
      </c>
      <c r="C212" s="48">
        <v>800</v>
      </c>
      <c r="D212" s="48">
        <v>431015</v>
      </c>
      <c r="E212" s="48" t="s">
        <v>83</v>
      </c>
      <c r="F212" s="48" t="s">
        <v>84</v>
      </c>
      <c r="G212" s="48">
        <v>500</v>
      </c>
      <c r="I212" s="48" t="s">
        <v>9</v>
      </c>
      <c r="J212" s="48">
        <v>500</v>
      </c>
      <c r="K212" s="48">
        <v>143950</v>
      </c>
      <c r="L212" s="48" t="s">
        <v>83</v>
      </c>
      <c r="M212" s="48" t="s">
        <v>84</v>
      </c>
      <c r="N212" s="108" t="s">
        <v>71</v>
      </c>
      <c r="O212" s="109"/>
      <c r="P212" s="75">
        <v>0</v>
      </c>
      <c r="Q212" s="75">
        <v>0</v>
      </c>
      <c r="R212" s="76">
        <f t="shared" ca="1" si="6"/>
        <v>0</v>
      </c>
      <c r="S212" s="48"/>
    </row>
    <row r="213" spans="1:21">
      <c r="B213" s="48" t="s">
        <v>6</v>
      </c>
      <c r="C213" s="48">
        <v>800</v>
      </c>
      <c r="D213" s="48">
        <v>431015</v>
      </c>
      <c r="E213" s="48" t="s">
        <v>83</v>
      </c>
      <c r="F213" s="48" t="s">
        <v>84</v>
      </c>
      <c r="G213" s="48">
        <v>600</v>
      </c>
      <c r="I213" s="48" t="s">
        <v>11</v>
      </c>
      <c r="J213" s="48">
        <v>600</v>
      </c>
      <c r="K213" s="48">
        <v>143950</v>
      </c>
      <c r="L213" s="48" t="s">
        <v>83</v>
      </c>
      <c r="M213" s="48" t="s">
        <v>84</v>
      </c>
      <c r="N213" s="108" t="s">
        <v>71</v>
      </c>
      <c r="O213" s="109"/>
      <c r="P213" s="75">
        <v>0</v>
      </c>
      <c r="Q213" s="75">
        <v>0</v>
      </c>
      <c r="R213" s="76">
        <f t="shared" ca="1" si="6"/>
        <v>0</v>
      </c>
      <c r="S213" s="48"/>
    </row>
    <row r="214" spans="1:21">
      <c r="B214" s="48" t="s">
        <v>6</v>
      </c>
      <c r="C214" s="48">
        <v>800</v>
      </c>
      <c r="D214" s="48">
        <v>431015</v>
      </c>
      <c r="E214" s="48" t="s">
        <v>83</v>
      </c>
      <c r="F214" s="48" t="s">
        <v>84</v>
      </c>
      <c r="G214" s="48">
        <v>800</v>
      </c>
      <c r="I214" s="48" t="s">
        <v>6</v>
      </c>
      <c r="J214" s="48">
        <v>800</v>
      </c>
      <c r="K214" s="48">
        <v>143950</v>
      </c>
      <c r="L214" s="48" t="s">
        <v>83</v>
      </c>
      <c r="M214" s="48" t="s">
        <v>84</v>
      </c>
      <c r="N214" s="108" t="s">
        <v>71</v>
      </c>
      <c r="O214" s="109"/>
      <c r="P214" s="75">
        <v>-6587.02</v>
      </c>
      <c r="Q214" s="75">
        <v>-141.48999999999796</v>
      </c>
      <c r="R214" s="76">
        <f t="shared" ca="1" si="6"/>
        <v>-6728.5099999999984</v>
      </c>
      <c r="S214" s="48"/>
    </row>
    <row r="215" spans="1:21">
      <c r="B215" s="48" t="s">
        <v>6</v>
      </c>
      <c r="C215" s="48">
        <v>800</v>
      </c>
      <c r="D215" s="48">
        <v>431015</v>
      </c>
      <c r="E215" s="48" t="s">
        <v>83</v>
      </c>
      <c r="F215" s="48" t="s">
        <v>84</v>
      </c>
      <c r="G215" s="48">
        <v>700</v>
      </c>
      <c r="I215" s="48" t="s">
        <v>12</v>
      </c>
      <c r="J215" s="48">
        <v>700</v>
      </c>
      <c r="K215" s="48">
        <v>143950</v>
      </c>
      <c r="L215" s="48" t="s">
        <v>83</v>
      </c>
      <c r="M215" s="48" t="s">
        <v>84</v>
      </c>
      <c r="N215" s="108" t="s">
        <v>71</v>
      </c>
      <c r="O215" s="109"/>
      <c r="P215" s="75">
        <v>1.39</v>
      </c>
      <c r="Q215" s="75">
        <v>4.68</v>
      </c>
      <c r="R215" s="76">
        <f t="shared" ca="1" si="6"/>
        <v>6.0699999999999994</v>
      </c>
      <c r="S215" s="48"/>
    </row>
    <row r="216" spans="1:21" s="70" customFormat="1" ht="15.75" thickBot="1">
      <c r="D216" s="79" t="s">
        <v>25</v>
      </c>
      <c r="E216" s="93"/>
      <c r="F216" s="93"/>
      <c r="G216" s="93"/>
      <c r="H216" s="48"/>
      <c r="I216" s="48"/>
      <c r="J216" s="48"/>
      <c r="K216" s="48"/>
      <c r="L216" s="48"/>
      <c r="M216" s="48"/>
      <c r="N216" s="48"/>
      <c r="O216" s="71"/>
      <c r="P216" s="48"/>
      <c r="Q216" s="48"/>
      <c r="R216" s="107">
        <f ca="1">SUM(R210:R215)</f>
        <v>-6726.9099999999989</v>
      </c>
      <c r="S216" s="48"/>
      <c r="T216" s="36"/>
      <c r="U216" s="36"/>
    </row>
    <row r="217" spans="1:21" ht="15.75" thickTop="1">
      <c r="S217" s="48"/>
    </row>
    <row r="218" spans="1:21">
      <c r="S218" s="48"/>
    </row>
    <row r="220" spans="1:21">
      <c r="S220" s="110"/>
    </row>
    <row r="221" spans="1:21">
      <c r="A221" s="70" t="s">
        <v>342</v>
      </c>
    </row>
    <row r="222" spans="1:21">
      <c r="A222" s="70" t="s">
        <v>350</v>
      </c>
      <c r="R222" s="111" t="s">
        <v>353</v>
      </c>
    </row>
    <row r="223" spans="1:21">
      <c r="B223" s="88" t="s">
        <v>51</v>
      </c>
      <c r="C223" s="100">
        <v>100</v>
      </c>
      <c r="D223" s="100" t="s">
        <v>343</v>
      </c>
      <c r="E223" s="48" t="s">
        <v>83</v>
      </c>
      <c r="F223" s="48" t="s">
        <v>84</v>
      </c>
      <c r="G223" s="48" t="s">
        <v>329</v>
      </c>
      <c r="I223" s="88" t="s">
        <v>352</v>
      </c>
      <c r="J223" s="100"/>
      <c r="K223" s="100"/>
      <c r="P223" s="112">
        <v>2112150.65</v>
      </c>
      <c r="Q223" s="75">
        <f t="shared" ref="Q223:Q230" ca="1" si="7">+SUMIFS($P$1:$P$171,$C$1:$C$171,C223)</f>
        <v>2113819.85</v>
      </c>
      <c r="R223" s="76">
        <f ca="1">+P223-Q223</f>
        <v>-1669.2000000001863</v>
      </c>
    </row>
    <row r="224" spans="1:21">
      <c r="B224" s="88" t="s">
        <v>94</v>
      </c>
      <c r="C224" s="100" t="s">
        <v>334</v>
      </c>
      <c r="D224" s="100" t="s">
        <v>343</v>
      </c>
      <c r="E224" s="48" t="s">
        <v>83</v>
      </c>
      <c r="F224" s="48" t="s">
        <v>84</v>
      </c>
      <c r="G224" s="48" t="s">
        <v>329</v>
      </c>
      <c r="I224" s="88" t="s">
        <v>352</v>
      </c>
      <c r="J224" s="100"/>
      <c r="K224" s="100"/>
      <c r="P224" s="112">
        <v>280844.09999999998</v>
      </c>
      <c r="Q224" s="75">
        <f t="shared" ca="1" si="7"/>
        <v>280844.09999999998</v>
      </c>
      <c r="R224" s="76">
        <f t="shared" ref="R224:R240" ca="1" si="8">+P224-Q224</f>
        <v>0</v>
      </c>
    </row>
    <row r="225" spans="2:21">
      <c r="B225" s="88" t="s">
        <v>95</v>
      </c>
      <c r="C225" s="100" t="s">
        <v>335</v>
      </c>
      <c r="D225" s="100" t="s">
        <v>343</v>
      </c>
      <c r="E225" s="48" t="s">
        <v>83</v>
      </c>
      <c r="F225" s="48" t="s">
        <v>84</v>
      </c>
      <c r="G225" s="48" t="s">
        <v>329</v>
      </c>
      <c r="I225" s="88" t="s">
        <v>352</v>
      </c>
      <c r="J225" s="100"/>
      <c r="K225" s="100"/>
      <c r="P225" s="112">
        <v>9979892.3399999999</v>
      </c>
      <c r="Q225" s="75">
        <f t="shared" ca="1" si="7"/>
        <v>9979892.3399999999</v>
      </c>
      <c r="R225" s="76">
        <f t="shared" ca="1" si="8"/>
        <v>0</v>
      </c>
    </row>
    <row r="226" spans="2:21">
      <c r="B226" s="88" t="s">
        <v>96</v>
      </c>
      <c r="C226" s="100" t="s">
        <v>336</v>
      </c>
      <c r="D226" s="100" t="s">
        <v>343</v>
      </c>
      <c r="E226" s="48" t="s">
        <v>83</v>
      </c>
      <c r="F226" s="48" t="s">
        <v>84</v>
      </c>
      <c r="G226" s="48" t="s">
        <v>329</v>
      </c>
      <c r="I226" s="88" t="s">
        <v>352</v>
      </c>
      <c r="J226" s="100"/>
      <c r="K226" s="100"/>
      <c r="P226" s="112">
        <v>0</v>
      </c>
      <c r="Q226" s="75">
        <f t="shared" ca="1" si="7"/>
        <v>0</v>
      </c>
      <c r="R226" s="76">
        <f t="shared" ca="1" si="8"/>
        <v>0</v>
      </c>
      <c r="S226" s="83"/>
      <c r="T226" s="84"/>
      <c r="U226" s="84"/>
    </row>
    <row r="227" spans="2:21">
      <c r="B227" s="88" t="s">
        <v>97</v>
      </c>
      <c r="C227" s="100" t="s">
        <v>337</v>
      </c>
      <c r="D227" s="100" t="s">
        <v>343</v>
      </c>
      <c r="E227" s="48" t="s">
        <v>83</v>
      </c>
      <c r="F227" s="48" t="s">
        <v>84</v>
      </c>
      <c r="G227" s="48" t="s">
        <v>329</v>
      </c>
      <c r="I227" s="88" t="s">
        <v>352</v>
      </c>
      <c r="J227" s="100"/>
      <c r="K227" s="100"/>
      <c r="P227" s="112">
        <v>0</v>
      </c>
      <c r="Q227" s="75">
        <f t="shared" ca="1" si="7"/>
        <v>0</v>
      </c>
      <c r="R227" s="76">
        <f t="shared" ca="1" si="8"/>
        <v>0</v>
      </c>
      <c r="S227" s="83"/>
      <c r="T227" s="113"/>
      <c r="U227" s="114"/>
    </row>
    <row r="228" spans="2:21">
      <c r="B228" s="88" t="s">
        <v>331</v>
      </c>
      <c r="C228" s="100" t="s">
        <v>338</v>
      </c>
      <c r="D228" s="100" t="s">
        <v>343</v>
      </c>
      <c r="E228" s="48" t="s">
        <v>83</v>
      </c>
      <c r="F228" s="48" t="s">
        <v>84</v>
      </c>
      <c r="G228" s="48" t="s">
        <v>329</v>
      </c>
      <c r="I228" s="88" t="s">
        <v>352</v>
      </c>
      <c r="J228" s="100"/>
      <c r="K228" s="100"/>
      <c r="P228" s="112">
        <v>0</v>
      </c>
      <c r="Q228" s="75">
        <f t="shared" ca="1" si="7"/>
        <v>0</v>
      </c>
      <c r="R228" s="76">
        <f t="shared" ca="1" si="8"/>
        <v>0</v>
      </c>
    </row>
    <row r="229" spans="2:21">
      <c r="B229" s="88" t="s">
        <v>98</v>
      </c>
      <c r="C229" s="100" t="s">
        <v>339</v>
      </c>
      <c r="D229" s="100" t="s">
        <v>343</v>
      </c>
      <c r="E229" s="48" t="s">
        <v>83</v>
      </c>
      <c r="F229" s="48" t="s">
        <v>84</v>
      </c>
      <c r="G229" s="48" t="s">
        <v>329</v>
      </c>
      <c r="I229" s="88" t="s">
        <v>352</v>
      </c>
      <c r="J229" s="100"/>
      <c r="K229" s="100"/>
      <c r="P229" s="112">
        <v>0</v>
      </c>
      <c r="Q229" s="75">
        <f t="shared" ca="1" si="7"/>
        <v>0</v>
      </c>
      <c r="R229" s="76">
        <f t="shared" ca="1" si="8"/>
        <v>0</v>
      </c>
    </row>
    <row r="230" spans="2:21">
      <c r="B230" s="88" t="s">
        <v>340</v>
      </c>
      <c r="C230" s="100" t="s">
        <v>341</v>
      </c>
      <c r="D230" s="100" t="s">
        <v>343</v>
      </c>
      <c r="E230" s="48" t="s">
        <v>83</v>
      </c>
      <c r="F230" s="48" t="s">
        <v>84</v>
      </c>
      <c r="G230" s="48" t="s">
        <v>329</v>
      </c>
      <c r="I230" s="88" t="s">
        <v>352</v>
      </c>
      <c r="J230" s="100"/>
      <c r="K230" s="100"/>
      <c r="P230" s="112">
        <v>0</v>
      </c>
      <c r="Q230" s="75">
        <f t="shared" ca="1" si="7"/>
        <v>0</v>
      </c>
      <c r="R230" s="76">
        <f t="shared" ca="1" si="8"/>
        <v>0</v>
      </c>
    </row>
    <row r="231" spans="2:21">
      <c r="B231" s="88"/>
      <c r="C231" s="100"/>
      <c r="D231" s="100"/>
      <c r="I231" s="88"/>
      <c r="J231" s="100"/>
      <c r="K231" s="100"/>
      <c r="P231" s="98">
        <f ca="1">SUM(P223:P230)</f>
        <v>12372887.09</v>
      </c>
      <c r="Q231" s="98">
        <f t="shared" ref="Q231" ca="1" si="9">SUM(Q223:Q230)</f>
        <v>12374556.289999999</v>
      </c>
      <c r="R231" s="98">
        <f ca="1">SUM(R271:R278)</f>
        <v>-1669.2000000001863</v>
      </c>
    </row>
    <row r="232" spans="2:21">
      <c r="B232" s="88"/>
      <c r="C232" s="100"/>
      <c r="D232" s="100"/>
      <c r="J232" s="115" t="s">
        <v>362</v>
      </c>
      <c r="K232" s="100" t="s">
        <v>343</v>
      </c>
      <c r="L232" s="48" t="s">
        <v>83</v>
      </c>
      <c r="M232" s="48" t="s">
        <v>84</v>
      </c>
      <c r="N232" s="48" t="s">
        <v>329</v>
      </c>
      <c r="P232" s="75"/>
      <c r="Q232" s="112" t="e">
        <v>#N/A</v>
      </c>
      <c r="R232" s="76"/>
    </row>
    <row r="233" spans="2:21">
      <c r="B233" s="88"/>
      <c r="C233" s="100"/>
      <c r="D233" s="100"/>
      <c r="J233" s="115"/>
      <c r="K233" s="100"/>
      <c r="P233" s="75"/>
      <c r="Q233" s="116" t="e">
        <f ca="1">SUM(Q231:Q232)</f>
        <v>#N/A</v>
      </c>
      <c r="R233" s="76"/>
    </row>
    <row r="234" spans="2:21">
      <c r="B234" s="88"/>
      <c r="C234" s="100"/>
      <c r="D234" s="100"/>
      <c r="I234" s="88"/>
      <c r="J234" s="100"/>
      <c r="K234" s="100"/>
      <c r="P234" s="75"/>
      <c r="R234" s="76"/>
    </row>
    <row r="235" spans="2:21">
      <c r="B235" s="88" t="s">
        <v>7</v>
      </c>
      <c r="C235" s="100">
        <v>400</v>
      </c>
      <c r="D235" s="100" t="s">
        <v>343</v>
      </c>
      <c r="E235" s="48" t="s">
        <v>83</v>
      </c>
      <c r="F235" s="48" t="s">
        <v>84</v>
      </c>
      <c r="G235" s="48" t="s">
        <v>329</v>
      </c>
      <c r="I235" s="88" t="s">
        <v>352</v>
      </c>
      <c r="J235" s="100"/>
      <c r="K235" s="100"/>
      <c r="P235" s="112">
        <v>0</v>
      </c>
      <c r="Q235" s="75">
        <f t="shared" ref="Q235:Q240" ca="1" si="10">+SUMIFS($P$1:$P$171,$C$1:$C$171,C235)</f>
        <v>0</v>
      </c>
      <c r="R235" s="76">
        <f t="shared" ca="1" si="8"/>
        <v>0</v>
      </c>
      <c r="T235" s="113"/>
      <c r="U235" s="114"/>
    </row>
    <row r="236" spans="2:21">
      <c r="B236" s="88" t="s">
        <v>9</v>
      </c>
      <c r="C236" s="100">
        <v>500</v>
      </c>
      <c r="D236" s="100" t="s">
        <v>343</v>
      </c>
      <c r="E236" s="48" t="s">
        <v>83</v>
      </c>
      <c r="F236" s="48" t="s">
        <v>84</v>
      </c>
      <c r="G236" s="48" t="s">
        <v>329</v>
      </c>
      <c r="I236" s="88" t="s">
        <v>352</v>
      </c>
      <c r="J236" s="100"/>
      <c r="K236" s="100"/>
      <c r="P236" s="112">
        <v>23439.62000000001</v>
      </c>
      <c r="Q236" s="75">
        <f t="shared" ca="1" si="10"/>
        <v>23439.62000000001</v>
      </c>
      <c r="R236" s="76">
        <f t="shared" ca="1" si="8"/>
        <v>0</v>
      </c>
      <c r="T236" s="113"/>
      <c r="U236" s="114"/>
    </row>
    <row r="237" spans="2:21">
      <c r="B237" s="88" t="s">
        <v>10</v>
      </c>
      <c r="C237" s="100" t="s">
        <v>345</v>
      </c>
      <c r="D237" s="100" t="s">
        <v>343</v>
      </c>
      <c r="E237" s="48" t="s">
        <v>83</v>
      </c>
      <c r="F237" s="48" t="s">
        <v>84</v>
      </c>
      <c r="G237" s="48" t="s">
        <v>329</v>
      </c>
      <c r="I237" s="88" t="s">
        <v>352</v>
      </c>
      <c r="J237" s="100"/>
      <c r="K237" s="100"/>
      <c r="P237" s="112">
        <v>55341.95</v>
      </c>
      <c r="Q237" s="75">
        <f t="shared" ca="1" si="10"/>
        <v>55341.95</v>
      </c>
      <c r="R237" s="76">
        <f t="shared" ca="1" si="8"/>
        <v>0</v>
      </c>
      <c r="T237" s="113"/>
      <c r="U237" s="114"/>
    </row>
    <row r="238" spans="2:21">
      <c r="B238" s="88" t="s">
        <v>11</v>
      </c>
      <c r="C238" s="100">
        <v>600</v>
      </c>
      <c r="D238" s="100" t="s">
        <v>343</v>
      </c>
      <c r="E238" s="48" t="s">
        <v>83</v>
      </c>
      <c r="F238" s="48" t="s">
        <v>84</v>
      </c>
      <c r="G238" s="48" t="s">
        <v>329</v>
      </c>
      <c r="I238" s="88" t="s">
        <v>352</v>
      </c>
      <c r="J238" s="100"/>
      <c r="K238" s="100"/>
      <c r="P238" s="112">
        <v>4147.6499999999933</v>
      </c>
      <c r="Q238" s="75">
        <f t="shared" ca="1" si="10"/>
        <v>4147.6499999999933</v>
      </c>
      <c r="R238" s="76">
        <f t="shared" ca="1" si="8"/>
        <v>0</v>
      </c>
      <c r="T238" s="113"/>
      <c r="U238" s="114"/>
    </row>
    <row r="239" spans="2:21">
      <c r="B239" s="88" t="s">
        <v>12</v>
      </c>
      <c r="C239" s="100">
        <v>700</v>
      </c>
      <c r="D239" s="100" t="s">
        <v>343</v>
      </c>
      <c r="E239" s="48" t="s">
        <v>83</v>
      </c>
      <c r="F239" s="48" t="s">
        <v>84</v>
      </c>
      <c r="G239" s="48" t="s">
        <v>329</v>
      </c>
      <c r="I239" s="88" t="s">
        <v>352</v>
      </c>
      <c r="J239" s="100"/>
      <c r="K239" s="100"/>
      <c r="P239" s="112">
        <v>292885.81000000006</v>
      </c>
      <c r="Q239" s="75">
        <f t="shared" ca="1" si="10"/>
        <v>4983.010000000073</v>
      </c>
      <c r="R239" s="76">
        <f t="shared" ca="1" si="8"/>
        <v>287902.8</v>
      </c>
      <c r="T239" s="113"/>
      <c r="U239" s="114"/>
    </row>
    <row r="240" spans="2:21">
      <c r="B240" s="88" t="s">
        <v>6</v>
      </c>
      <c r="C240" s="100">
        <v>800</v>
      </c>
      <c r="D240" s="100" t="s">
        <v>343</v>
      </c>
      <c r="E240" s="48" t="s">
        <v>83</v>
      </c>
      <c r="F240" s="48" t="s">
        <v>84</v>
      </c>
      <c r="G240" s="48" t="s">
        <v>329</v>
      </c>
      <c r="I240" s="88" t="s">
        <v>352</v>
      </c>
      <c r="J240" s="100"/>
      <c r="K240" s="100"/>
      <c r="P240" s="112">
        <v>1012512.06</v>
      </c>
      <c r="Q240" s="75">
        <f t="shared" ca="1" si="10"/>
        <v>1012512.0600000003</v>
      </c>
      <c r="R240" s="76">
        <f t="shared" ca="1" si="8"/>
        <v>0</v>
      </c>
      <c r="T240" s="113"/>
      <c r="U240" s="114"/>
    </row>
    <row r="241" spans="1:19">
      <c r="P241" s="77">
        <f ca="1">P231+SUM(P234:P240)</f>
        <v>13761214.18</v>
      </c>
      <c r="Q241" s="77">
        <f ca="1">Q231+SUM(Q234:Q240)</f>
        <v>13474980.58</v>
      </c>
      <c r="R241" s="77">
        <f ca="1">SUM(R223:R240)</f>
        <v>284564.39999999962</v>
      </c>
    </row>
    <row r="242" spans="1:19">
      <c r="B242" s="88" t="s">
        <v>330</v>
      </c>
      <c r="C242" s="100" t="s">
        <v>361</v>
      </c>
      <c r="D242" s="100" t="s">
        <v>343</v>
      </c>
      <c r="E242" s="48" t="s">
        <v>83</v>
      </c>
      <c r="F242" s="48" t="s">
        <v>84</v>
      </c>
      <c r="G242" s="48" t="s">
        <v>329</v>
      </c>
      <c r="H242" s="88"/>
      <c r="I242" s="88"/>
      <c r="J242" s="100"/>
      <c r="K242" s="100"/>
      <c r="P242" s="112" t="e">
        <v>#N/A</v>
      </c>
      <c r="Q242" s="76">
        <f ca="1">+P170</f>
        <v>13383875.58</v>
      </c>
    </row>
    <row r="243" spans="1:19">
      <c r="P243" s="77" t="e">
        <f ca="1">+P241-P242</f>
        <v>#N/A</v>
      </c>
      <c r="Q243" s="77">
        <f ca="1">+Q241-Q242</f>
        <v>91105</v>
      </c>
    </row>
    <row r="245" spans="1:19">
      <c r="S245" s="117"/>
    </row>
    <row r="246" spans="1:19">
      <c r="A246" s="70" t="s">
        <v>351</v>
      </c>
    </row>
    <row r="247" spans="1:19">
      <c r="B247" s="88" t="s">
        <v>352</v>
      </c>
      <c r="C247" s="100"/>
      <c r="D247" s="100"/>
      <c r="I247" s="88" t="s">
        <v>51</v>
      </c>
      <c r="J247" s="100">
        <v>100</v>
      </c>
      <c r="K247" s="100" t="s">
        <v>344</v>
      </c>
      <c r="L247" s="48" t="s">
        <v>83</v>
      </c>
      <c r="M247" s="48" t="s">
        <v>84</v>
      </c>
      <c r="N247" s="48" t="s">
        <v>329</v>
      </c>
      <c r="P247" s="75">
        <f t="shared" ref="P247:P254" ca="1" si="11">+SUMIFS($Q$1:$Q$171,$J$1:$J$171,J247)</f>
        <v>-210173990.66999996</v>
      </c>
      <c r="Q247" s="112">
        <v>-139691224.89000005</v>
      </c>
      <c r="R247" s="76">
        <f t="shared" ref="R247:R264" ca="1" si="12">+P247-Q247</f>
        <v>-70482765.779999912</v>
      </c>
    </row>
    <row r="248" spans="1:19">
      <c r="B248" s="88" t="s">
        <v>352</v>
      </c>
      <c r="C248" s="100"/>
      <c r="D248" s="100"/>
      <c r="I248" s="88" t="s">
        <v>94</v>
      </c>
      <c r="J248" s="100" t="s">
        <v>334</v>
      </c>
      <c r="K248" s="100" t="s">
        <v>344</v>
      </c>
      <c r="L248" s="48" t="s">
        <v>83</v>
      </c>
      <c r="M248" s="48" t="s">
        <v>84</v>
      </c>
      <c r="N248" s="48" t="s">
        <v>329</v>
      </c>
      <c r="P248" s="75">
        <f t="shared" ca="1" si="11"/>
        <v>5198871.37</v>
      </c>
      <c r="Q248" s="112">
        <v>3434308.0599999987</v>
      </c>
      <c r="R248" s="76">
        <f t="shared" ref="R248" ca="1" si="13">+P248-Q248</f>
        <v>1764563.3100000015</v>
      </c>
    </row>
    <row r="249" spans="1:19">
      <c r="B249" s="88" t="s">
        <v>352</v>
      </c>
      <c r="C249" s="100"/>
      <c r="D249" s="100"/>
      <c r="I249" s="88" t="s">
        <v>95</v>
      </c>
      <c r="J249" s="100" t="s">
        <v>335</v>
      </c>
      <c r="K249" s="100" t="s">
        <v>344</v>
      </c>
      <c r="L249" s="48" t="s">
        <v>83</v>
      </c>
      <c r="M249" s="48" t="s">
        <v>84</v>
      </c>
      <c r="N249" s="48" t="s">
        <v>329</v>
      </c>
      <c r="P249" s="75">
        <f t="shared" ca="1" si="11"/>
        <v>-1905835.6600000004</v>
      </c>
      <c r="Q249" s="112">
        <v>-2081968.6500000001</v>
      </c>
      <c r="R249" s="76">
        <f t="shared" ca="1" si="12"/>
        <v>176132.98999999976</v>
      </c>
    </row>
    <row r="250" spans="1:19">
      <c r="B250" s="88" t="s">
        <v>352</v>
      </c>
      <c r="C250" s="100"/>
      <c r="D250" s="100"/>
      <c r="I250" s="88" t="s">
        <v>96</v>
      </c>
      <c r="J250" s="100" t="s">
        <v>336</v>
      </c>
      <c r="K250" s="100" t="s">
        <v>344</v>
      </c>
      <c r="L250" s="48" t="s">
        <v>83</v>
      </c>
      <c r="M250" s="48" t="s">
        <v>84</v>
      </c>
      <c r="N250" s="48" t="s">
        <v>329</v>
      </c>
      <c r="P250" s="75">
        <f t="shared" ca="1" si="11"/>
        <v>145177545.84</v>
      </c>
      <c r="Q250" s="112">
        <v>144856039.45000002</v>
      </c>
      <c r="R250" s="76">
        <f t="shared" ref="R250" ca="1" si="14">+P250-Q250</f>
        <v>321506.38999998569</v>
      </c>
    </row>
    <row r="251" spans="1:19">
      <c r="B251" s="88" t="s">
        <v>352</v>
      </c>
      <c r="C251" s="100"/>
      <c r="D251" s="100"/>
      <c r="I251" s="88" t="s">
        <v>97</v>
      </c>
      <c r="J251" s="100" t="s">
        <v>337</v>
      </c>
      <c r="K251" s="100" t="s">
        <v>344</v>
      </c>
      <c r="L251" s="48" t="s">
        <v>83</v>
      </c>
      <c r="M251" s="48" t="s">
        <v>84</v>
      </c>
      <c r="N251" s="48" t="s">
        <v>329</v>
      </c>
      <c r="P251" s="75">
        <f t="shared" ca="1" si="11"/>
        <v>319477.39</v>
      </c>
      <c r="Q251" s="112">
        <v>396679.39</v>
      </c>
      <c r="R251" s="76">
        <f t="shared" ca="1" si="12"/>
        <v>-77202</v>
      </c>
    </row>
    <row r="252" spans="1:19">
      <c r="B252" s="88" t="s">
        <v>352</v>
      </c>
      <c r="C252" s="100"/>
      <c r="D252" s="100"/>
      <c r="I252" s="88" t="s">
        <v>331</v>
      </c>
      <c r="J252" s="100" t="s">
        <v>338</v>
      </c>
      <c r="K252" s="100" t="s">
        <v>344</v>
      </c>
      <c r="L252" s="48" t="s">
        <v>83</v>
      </c>
      <c r="M252" s="48" t="s">
        <v>84</v>
      </c>
      <c r="N252" s="48" t="s">
        <v>329</v>
      </c>
      <c r="P252" s="75">
        <f t="shared" ca="1" si="11"/>
        <v>-2364066.9299999997</v>
      </c>
      <c r="Q252" s="112">
        <v>-2283804.8199999994</v>
      </c>
      <c r="R252" s="76">
        <f t="shared" ref="R252" ca="1" si="15">+P252-Q252</f>
        <v>-80262.110000000335</v>
      </c>
    </row>
    <row r="253" spans="1:19">
      <c r="B253" s="88" t="s">
        <v>352</v>
      </c>
      <c r="C253" s="100"/>
      <c r="D253" s="100"/>
      <c r="I253" s="88" t="s">
        <v>98</v>
      </c>
      <c r="J253" s="100" t="s">
        <v>339</v>
      </c>
      <c r="K253" s="100" t="s">
        <v>344</v>
      </c>
      <c r="L253" s="48" t="s">
        <v>83</v>
      </c>
      <c r="M253" s="48" t="s">
        <v>84</v>
      </c>
      <c r="N253" s="48" t="s">
        <v>329</v>
      </c>
      <c r="P253" s="75">
        <f t="shared" ca="1" si="11"/>
        <v>-245632.74</v>
      </c>
      <c r="Q253" s="112">
        <v>-989426.26</v>
      </c>
      <c r="R253" s="76">
        <f t="shared" ca="1" si="12"/>
        <v>743793.52</v>
      </c>
    </row>
    <row r="254" spans="1:19">
      <c r="B254" s="88" t="s">
        <v>352</v>
      </c>
      <c r="C254" s="100"/>
      <c r="D254" s="100"/>
      <c r="I254" s="88" t="s">
        <v>340</v>
      </c>
      <c r="J254" s="100" t="s">
        <v>341</v>
      </c>
      <c r="K254" s="100" t="s">
        <v>344</v>
      </c>
      <c r="L254" s="48" t="s">
        <v>83</v>
      </c>
      <c r="M254" s="48" t="s">
        <v>84</v>
      </c>
      <c r="N254" s="48" t="s">
        <v>329</v>
      </c>
      <c r="P254" s="75">
        <f t="shared" ca="1" si="11"/>
        <v>-47494.36</v>
      </c>
      <c r="Q254" s="112">
        <v>-47487.78</v>
      </c>
      <c r="R254" s="76">
        <f t="shared" ref="R254" ca="1" si="16">+P254-Q254</f>
        <v>-6.5800000000017462</v>
      </c>
    </row>
    <row r="255" spans="1:19">
      <c r="B255" s="88"/>
      <c r="C255" s="100"/>
      <c r="D255" s="100"/>
      <c r="I255" s="88"/>
      <c r="J255" s="100"/>
      <c r="K255" s="100"/>
      <c r="P255" s="98">
        <f ca="1">SUM(P247:P254)</f>
        <v>-64041125.759999946</v>
      </c>
      <c r="Q255" s="98">
        <f t="shared" ref="Q255:R255" ca="1" si="17">SUM(Q247:Q254)</f>
        <v>3593114.4999999697</v>
      </c>
      <c r="R255" s="98">
        <f t="shared" ca="1" si="17"/>
        <v>-67634240.259999931</v>
      </c>
    </row>
    <row r="256" spans="1:19">
      <c r="B256" s="88"/>
      <c r="C256" s="100"/>
      <c r="D256" s="100"/>
      <c r="J256" s="115" t="s">
        <v>362</v>
      </c>
      <c r="K256" s="100" t="s">
        <v>344</v>
      </c>
      <c r="L256" s="48" t="s">
        <v>83</v>
      </c>
      <c r="M256" s="48" t="s">
        <v>84</v>
      </c>
      <c r="N256" s="48" t="s">
        <v>329</v>
      </c>
      <c r="P256" s="75"/>
      <c r="Q256" s="112" t="e">
        <v>#N/A</v>
      </c>
      <c r="R256" s="76"/>
    </row>
    <row r="257" spans="1:19">
      <c r="B257" s="88"/>
      <c r="C257" s="100"/>
      <c r="D257" s="100"/>
      <c r="J257" s="115"/>
      <c r="K257" s="100"/>
      <c r="P257" s="75"/>
      <c r="Q257" s="116" t="e">
        <f ca="1">SUM(Q255:Q256)</f>
        <v>#N/A</v>
      </c>
      <c r="R257" s="76"/>
    </row>
    <row r="258" spans="1:19">
      <c r="B258" s="88"/>
      <c r="C258" s="100"/>
      <c r="D258" s="100"/>
      <c r="I258" s="88"/>
      <c r="J258" s="100"/>
      <c r="K258" s="100"/>
      <c r="P258" s="75"/>
      <c r="R258" s="76"/>
    </row>
    <row r="259" spans="1:19">
      <c r="B259" s="88" t="s">
        <v>352</v>
      </c>
      <c r="C259" s="100"/>
      <c r="D259" s="100"/>
      <c r="I259" s="88" t="s">
        <v>7</v>
      </c>
      <c r="J259" s="100">
        <v>400</v>
      </c>
      <c r="K259" s="100" t="s">
        <v>344</v>
      </c>
      <c r="L259" s="48" t="s">
        <v>83</v>
      </c>
      <c r="M259" s="48" t="s">
        <v>84</v>
      </c>
      <c r="N259" s="48" t="s">
        <v>329</v>
      </c>
      <c r="P259" s="75">
        <f t="shared" ref="P259:P264" ca="1" si="18">+SUMIFS($Q$1:$Q$171,$J$1:$J$171,J259)</f>
        <v>-3006.78999999998</v>
      </c>
      <c r="Q259" s="112">
        <v>-3006.78999999998</v>
      </c>
      <c r="R259" s="76">
        <f t="shared" ca="1" si="12"/>
        <v>0</v>
      </c>
    </row>
    <row r="260" spans="1:19">
      <c r="B260" s="88" t="s">
        <v>352</v>
      </c>
      <c r="C260" s="100"/>
      <c r="D260" s="100"/>
      <c r="I260" s="88" t="s">
        <v>9</v>
      </c>
      <c r="J260" s="100">
        <v>500</v>
      </c>
      <c r="K260" s="100" t="s">
        <v>344</v>
      </c>
      <c r="L260" s="48" t="s">
        <v>83</v>
      </c>
      <c r="M260" s="48" t="s">
        <v>84</v>
      </c>
      <c r="N260" s="48" t="s">
        <v>329</v>
      </c>
      <c r="P260" s="75">
        <f t="shared" ca="1" si="18"/>
        <v>-111081.94</v>
      </c>
      <c r="Q260" s="112">
        <v>-111081.93999999999</v>
      </c>
      <c r="R260" s="76">
        <f t="shared" ca="1" si="12"/>
        <v>0</v>
      </c>
      <c r="S260" s="79"/>
    </row>
    <row r="261" spans="1:19">
      <c r="B261" s="88" t="s">
        <v>352</v>
      </c>
      <c r="C261" s="100"/>
      <c r="D261" s="100"/>
      <c r="I261" s="88" t="s">
        <v>10</v>
      </c>
      <c r="J261" s="100" t="s">
        <v>345</v>
      </c>
      <c r="K261" s="100" t="s">
        <v>344</v>
      </c>
      <c r="L261" s="48" t="s">
        <v>83</v>
      </c>
      <c r="M261" s="48" t="s">
        <v>84</v>
      </c>
      <c r="N261" s="48" t="s">
        <v>329</v>
      </c>
      <c r="P261" s="75">
        <f t="shared" ca="1" si="18"/>
        <v>-15579.41</v>
      </c>
      <c r="Q261" s="112">
        <v>-15579.41</v>
      </c>
      <c r="R261" s="76">
        <f t="shared" ca="1" si="12"/>
        <v>0</v>
      </c>
      <c r="S261" s="79"/>
    </row>
    <row r="262" spans="1:19">
      <c r="B262" s="88" t="s">
        <v>352</v>
      </c>
      <c r="C262" s="100"/>
      <c r="D262" s="100"/>
      <c r="I262" s="88" t="s">
        <v>11</v>
      </c>
      <c r="J262" s="100">
        <v>600</v>
      </c>
      <c r="K262" s="100" t="s">
        <v>344</v>
      </c>
      <c r="L262" s="48" t="s">
        <v>83</v>
      </c>
      <c r="M262" s="48" t="s">
        <v>84</v>
      </c>
      <c r="N262" s="48" t="s">
        <v>329</v>
      </c>
      <c r="P262" s="75">
        <f t="shared" ca="1" si="18"/>
        <v>-204193.41000000003</v>
      </c>
      <c r="Q262" s="112">
        <v>-204193.41</v>
      </c>
      <c r="R262" s="76">
        <f t="shared" ca="1" si="12"/>
        <v>0</v>
      </c>
    </row>
    <row r="263" spans="1:19">
      <c r="B263" s="88" t="s">
        <v>352</v>
      </c>
      <c r="C263" s="100"/>
      <c r="D263" s="100"/>
      <c r="I263" s="88" t="s">
        <v>12</v>
      </c>
      <c r="J263" s="100">
        <v>700</v>
      </c>
      <c r="K263" s="100" t="s">
        <v>344</v>
      </c>
      <c r="L263" s="48" t="s">
        <v>83</v>
      </c>
      <c r="M263" s="48" t="s">
        <v>84</v>
      </c>
      <c r="N263" s="48" t="s">
        <v>329</v>
      </c>
      <c r="P263" s="75">
        <f t="shared" ca="1" si="18"/>
        <v>-4174882.3600000003</v>
      </c>
      <c r="Q263" s="112">
        <v>-4174882.36</v>
      </c>
      <c r="R263" s="76">
        <f t="shared" ca="1" si="12"/>
        <v>0</v>
      </c>
    </row>
    <row r="264" spans="1:19">
      <c r="B264" s="88" t="s">
        <v>352</v>
      </c>
      <c r="C264" s="100"/>
      <c r="D264" s="100"/>
      <c r="I264" s="88" t="s">
        <v>6</v>
      </c>
      <c r="J264" s="100">
        <v>800</v>
      </c>
      <c r="K264" s="100" t="s">
        <v>344</v>
      </c>
      <c r="L264" s="48" t="s">
        <v>83</v>
      </c>
      <c r="M264" s="48" t="s">
        <v>84</v>
      </c>
      <c r="N264" s="48" t="s">
        <v>329</v>
      </c>
      <c r="P264" s="75">
        <f t="shared" ca="1" si="18"/>
        <v>-162209.93</v>
      </c>
      <c r="Q264" s="112">
        <v>-162209.93</v>
      </c>
      <c r="R264" s="76">
        <f t="shared" ca="1" si="12"/>
        <v>0</v>
      </c>
    </row>
    <row r="265" spans="1:19">
      <c r="P265" s="77">
        <f ca="1">P255+SUM(P258:P264)</f>
        <v>-68712079.599999949</v>
      </c>
      <c r="Q265" s="77">
        <f ca="1">Q255+SUM(Q258:Q264)</f>
        <v>-1077839.3400000301</v>
      </c>
      <c r="R265" s="77">
        <f ca="1">SUM(R247:R264)</f>
        <v>-135268480.51999986</v>
      </c>
    </row>
    <row r="266" spans="1:19">
      <c r="B266" s="88"/>
      <c r="C266" s="100"/>
      <c r="D266" s="100"/>
      <c r="H266" s="88"/>
      <c r="I266" s="88" t="s">
        <v>330</v>
      </c>
      <c r="J266" s="100" t="s">
        <v>361</v>
      </c>
      <c r="K266" s="100" t="s">
        <v>344</v>
      </c>
      <c r="L266" s="48" t="s">
        <v>83</v>
      </c>
      <c r="M266" s="48" t="s">
        <v>84</v>
      </c>
      <c r="N266" s="48" t="s">
        <v>329</v>
      </c>
      <c r="P266" s="76">
        <f ca="1">+Q170</f>
        <v>-68740052.600000009</v>
      </c>
      <c r="Q266" s="112" t="e">
        <v>#N/A</v>
      </c>
    </row>
    <row r="267" spans="1:19">
      <c r="P267" s="77">
        <f ca="1">+P265-P266</f>
        <v>27973.000000059605</v>
      </c>
      <c r="Q267" s="77" t="e">
        <f ca="1">+Q265-Q266</f>
        <v>#N/A</v>
      </c>
    </row>
    <row r="269" spans="1:19" collapsed="1">
      <c r="A269" s="70" t="s">
        <v>363</v>
      </c>
    </row>
    <row r="270" spans="1:19" hidden="1" outlineLevel="1">
      <c r="A270" s="70" t="s">
        <v>350</v>
      </c>
      <c r="R270" s="111"/>
    </row>
    <row r="271" spans="1:19" hidden="1" outlineLevel="1">
      <c r="B271" s="88" t="s">
        <v>51</v>
      </c>
      <c r="C271" s="100">
        <v>100</v>
      </c>
      <c r="D271" s="100">
        <v>119500</v>
      </c>
      <c r="E271" s="48" t="s">
        <v>83</v>
      </c>
      <c r="F271" s="48" t="s">
        <v>84</v>
      </c>
      <c r="G271" s="48" t="s">
        <v>329</v>
      </c>
      <c r="I271" s="88" t="s">
        <v>352</v>
      </c>
      <c r="J271" s="100"/>
      <c r="K271" s="100"/>
      <c r="P271" s="112">
        <v>2112150.65</v>
      </c>
      <c r="Q271" s="75">
        <f t="shared" ref="Q271:Q286" ca="1" si="19">+SUMIFS($P$1:$P$217,$C$1:$C$217,C271,$D$1:$D$217,D271)</f>
        <v>2113819.85</v>
      </c>
      <c r="R271" s="76">
        <f ca="1">+P271-Q271</f>
        <v>-1669.2000000001863</v>
      </c>
    </row>
    <row r="272" spans="1:19" hidden="1" outlineLevel="1">
      <c r="B272" s="88" t="s">
        <v>94</v>
      </c>
      <c r="C272" s="100" t="s">
        <v>334</v>
      </c>
      <c r="D272" s="100">
        <v>119500</v>
      </c>
      <c r="E272" s="48" t="s">
        <v>83</v>
      </c>
      <c r="F272" s="48" t="s">
        <v>84</v>
      </c>
      <c r="G272" s="48" t="s">
        <v>329</v>
      </c>
      <c r="I272" s="88" t="s">
        <v>352</v>
      </c>
      <c r="J272" s="100"/>
      <c r="K272" s="100"/>
      <c r="P272" s="112">
        <v>280844.09999999998</v>
      </c>
      <c r="Q272" s="75">
        <f t="shared" ca="1" si="19"/>
        <v>280844.09999999998</v>
      </c>
      <c r="R272" s="76">
        <f t="shared" ref="R272:R286" ca="1" si="20">+P272-Q272</f>
        <v>0</v>
      </c>
    </row>
    <row r="273" spans="2:21" hidden="1" outlineLevel="1">
      <c r="B273" s="88" t="s">
        <v>95</v>
      </c>
      <c r="C273" s="100" t="s">
        <v>335</v>
      </c>
      <c r="D273" s="100">
        <v>119500</v>
      </c>
      <c r="E273" s="48" t="s">
        <v>83</v>
      </c>
      <c r="F273" s="48" t="s">
        <v>84</v>
      </c>
      <c r="G273" s="48" t="s">
        <v>329</v>
      </c>
      <c r="I273" s="88" t="s">
        <v>352</v>
      </c>
      <c r="J273" s="100"/>
      <c r="K273" s="100"/>
      <c r="P273" s="112">
        <v>9979892.3399999999</v>
      </c>
      <c r="Q273" s="75">
        <f t="shared" ca="1" si="19"/>
        <v>9979892.3399999999</v>
      </c>
      <c r="R273" s="76">
        <f t="shared" ca="1" si="20"/>
        <v>0</v>
      </c>
    </row>
    <row r="274" spans="2:21" hidden="1" outlineLevel="1">
      <c r="B274" s="88" t="s">
        <v>96</v>
      </c>
      <c r="C274" s="100" t="s">
        <v>336</v>
      </c>
      <c r="D274" s="100">
        <v>119500</v>
      </c>
      <c r="E274" s="48" t="s">
        <v>83</v>
      </c>
      <c r="F274" s="48" t="s">
        <v>84</v>
      </c>
      <c r="G274" s="48" t="s">
        <v>329</v>
      </c>
      <c r="I274" s="88" t="s">
        <v>352</v>
      </c>
      <c r="J274" s="100"/>
      <c r="K274" s="100"/>
      <c r="P274" s="112">
        <v>0</v>
      </c>
      <c r="Q274" s="75">
        <f t="shared" ca="1" si="19"/>
        <v>0</v>
      </c>
      <c r="R274" s="76">
        <f t="shared" ca="1" si="20"/>
        <v>0</v>
      </c>
      <c r="S274" s="83"/>
      <c r="T274" s="84"/>
      <c r="U274" s="84"/>
    </row>
    <row r="275" spans="2:21" hidden="1" outlineLevel="1">
      <c r="B275" s="88" t="s">
        <v>97</v>
      </c>
      <c r="C275" s="100" t="s">
        <v>337</v>
      </c>
      <c r="D275" s="100">
        <v>119500</v>
      </c>
      <c r="E275" s="48" t="s">
        <v>83</v>
      </c>
      <c r="F275" s="48" t="s">
        <v>84</v>
      </c>
      <c r="G275" s="48" t="s">
        <v>329</v>
      </c>
      <c r="I275" s="88" t="s">
        <v>352</v>
      </c>
      <c r="J275" s="100"/>
      <c r="K275" s="100"/>
      <c r="P275" s="112">
        <v>0</v>
      </c>
      <c r="Q275" s="75">
        <f t="shared" ca="1" si="19"/>
        <v>0</v>
      </c>
      <c r="R275" s="76">
        <f t="shared" ca="1" si="20"/>
        <v>0</v>
      </c>
      <c r="S275" s="83"/>
      <c r="T275" s="113"/>
      <c r="U275" s="114"/>
    </row>
    <row r="276" spans="2:21" hidden="1" outlineLevel="1">
      <c r="B276" s="88" t="s">
        <v>331</v>
      </c>
      <c r="C276" s="100" t="s">
        <v>338</v>
      </c>
      <c r="D276" s="100">
        <v>119500</v>
      </c>
      <c r="E276" s="48" t="s">
        <v>83</v>
      </c>
      <c r="F276" s="48" t="s">
        <v>84</v>
      </c>
      <c r="G276" s="48" t="s">
        <v>329</v>
      </c>
      <c r="I276" s="88" t="s">
        <v>352</v>
      </c>
      <c r="J276" s="100"/>
      <c r="K276" s="100"/>
      <c r="P276" s="112">
        <v>0</v>
      </c>
      <c r="Q276" s="75">
        <f t="shared" ca="1" si="19"/>
        <v>0</v>
      </c>
      <c r="R276" s="76">
        <f t="shared" ca="1" si="20"/>
        <v>0</v>
      </c>
    </row>
    <row r="277" spans="2:21" hidden="1" outlineLevel="1">
      <c r="B277" s="88" t="s">
        <v>98</v>
      </c>
      <c r="C277" s="100" t="s">
        <v>339</v>
      </c>
      <c r="D277" s="100">
        <v>119500</v>
      </c>
      <c r="E277" s="48" t="s">
        <v>83</v>
      </c>
      <c r="F277" s="48" t="s">
        <v>84</v>
      </c>
      <c r="G277" s="48" t="s">
        <v>329</v>
      </c>
      <c r="I277" s="88" t="s">
        <v>352</v>
      </c>
      <c r="J277" s="100"/>
      <c r="K277" s="100"/>
      <c r="P277" s="112">
        <v>0</v>
      </c>
      <c r="Q277" s="75">
        <f t="shared" ca="1" si="19"/>
        <v>0</v>
      </c>
      <c r="R277" s="76">
        <f t="shared" ca="1" si="20"/>
        <v>0</v>
      </c>
    </row>
    <row r="278" spans="2:21" hidden="1" outlineLevel="1">
      <c r="B278" s="88" t="s">
        <v>340</v>
      </c>
      <c r="C278" s="100" t="s">
        <v>341</v>
      </c>
      <c r="D278" s="100">
        <v>119500</v>
      </c>
      <c r="E278" s="48" t="s">
        <v>83</v>
      </c>
      <c r="F278" s="48" t="s">
        <v>84</v>
      </c>
      <c r="G278" s="48" t="s">
        <v>329</v>
      </c>
      <c r="I278" s="88" t="s">
        <v>352</v>
      </c>
      <c r="J278" s="100"/>
      <c r="K278" s="100"/>
      <c r="P278" s="112">
        <v>0</v>
      </c>
      <c r="Q278" s="75">
        <f t="shared" ca="1" si="19"/>
        <v>0</v>
      </c>
      <c r="R278" s="76">
        <f t="shared" ca="1" si="20"/>
        <v>0</v>
      </c>
    </row>
    <row r="279" spans="2:21" hidden="1" outlineLevel="1">
      <c r="B279" s="88" t="s">
        <v>7</v>
      </c>
      <c r="C279" s="100">
        <v>400</v>
      </c>
      <c r="D279" s="100">
        <v>119500</v>
      </c>
      <c r="E279" s="48" t="s">
        <v>83</v>
      </c>
      <c r="F279" s="48" t="s">
        <v>84</v>
      </c>
      <c r="G279" s="48" t="s">
        <v>329</v>
      </c>
      <c r="I279" s="88" t="s">
        <v>352</v>
      </c>
      <c r="J279" s="100"/>
      <c r="K279" s="100"/>
      <c r="P279" s="112">
        <v>0</v>
      </c>
      <c r="Q279" s="75">
        <f t="shared" ca="1" si="19"/>
        <v>0</v>
      </c>
      <c r="R279" s="76">
        <f t="shared" ca="1" si="20"/>
        <v>0</v>
      </c>
      <c r="T279" s="113"/>
      <c r="U279" s="114"/>
    </row>
    <row r="280" spans="2:21" hidden="1" outlineLevel="1">
      <c r="B280" s="88" t="s">
        <v>9</v>
      </c>
      <c r="C280" s="100">
        <v>500</v>
      </c>
      <c r="D280" s="100">
        <v>119500</v>
      </c>
      <c r="E280" s="48" t="s">
        <v>83</v>
      </c>
      <c r="F280" s="48" t="s">
        <v>84</v>
      </c>
      <c r="G280" s="48" t="s">
        <v>329</v>
      </c>
      <c r="I280" s="88" t="s">
        <v>352</v>
      </c>
      <c r="J280" s="100"/>
      <c r="K280" s="100"/>
      <c r="P280" s="112">
        <v>23439.62000000001</v>
      </c>
      <c r="Q280" s="75">
        <f t="shared" ca="1" si="19"/>
        <v>23439.62000000001</v>
      </c>
      <c r="R280" s="76">
        <f t="shared" ca="1" si="20"/>
        <v>0</v>
      </c>
      <c r="T280" s="113"/>
      <c r="U280" s="114"/>
    </row>
    <row r="281" spans="2:21" hidden="1" outlineLevel="1">
      <c r="B281" s="88" t="s">
        <v>10</v>
      </c>
      <c r="C281" s="100" t="s">
        <v>345</v>
      </c>
      <c r="D281" s="100">
        <v>119500</v>
      </c>
      <c r="E281" s="48" t="s">
        <v>83</v>
      </c>
      <c r="F281" s="48" t="s">
        <v>84</v>
      </c>
      <c r="G281" s="48" t="s">
        <v>329</v>
      </c>
      <c r="I281" s="88" t="s">
        <v>352</v>
      </c>
      <c r="J281" s="100"/>
      <c r="K281" s="100"/>
      <c r="P281" s="112">
        <v>55341.95</v>
      </c>
      <c r="Q281" s="75">
        <f t="shared" ca="1" si="19"/>
        <v>55341.95</v>
      </c>
      <c r="R281" s="76">
        <f t="shared" ca="1" si="20"/>
        <v>0</v>
      </c>
      <c r="T281" s="113"/>
      <c r="U281" s="114"/>
    </row>
    <row r="282" spans="2:21" hidden="1" outlineLevel="1">
      <c r="B282" s="88" t="s">
        <v>11</v>
      </c>
      <c r="C282" s="100">
        <v>600</v>
      </c>
      <c r="D282" s="100">
        <v>119500</v>
      </c>
      <c r="E282" s="48" t="s">
        <v>83</v>
      </c>
      <c r="F282" s="48" t="s">
        <v>84</v>
      </c>
      <c r="G282" s="48" t="s">
        <v>329</v>
      </c>
      <c r="I282" s="88" t="s">
        <v>352</v>
      </c>
      <c r="J282" s="100"/>
      <c r="K282" s="100"/>
      <c r="P282" s="112">
        <v>4147.6499999999933</v>
      </c>
      <c r="Q282" s="75">
        <f t="shared" ca="1" si="19"/>
        <v>4147.6499999999933</v>
      </c>
      <c r="R282" s="76">
        <f t="shared" ca="1" si="20"/>
        <v>0</v>
      </c>
      <c r="T282" s="113"/>
      <c r="U282" s="114"/>
    </row>
    <row r="283" spans="2:21" hidden="1" outlineLevel="1">
      <c r="B283" s="88" t="s">
        <v>12</v>
      </c>
      <c r="C283" s="100">
        <v>700</v>
      </c>
      <c r="D283" s="100">
        <v>119500</v>
      </c>
      <c r="E283" s="48" t="s">
        <v>83</v>
      </c>
      <c r="F283" s="48" t="s">
        <v>84</v>
      </c>
      <c r="G283" s="48" t="s">
        <v>329</v>
      </c>
      <c r="I283" s="88" t="s">
        <v>352</v>
      </c>
      <c r="J283" s="100"/>
      <c r="K283" s="100"/>
      <c r="P283" s="112">
        <v>292885.81000000006</v>
      </c>
      <c r="Q283" s="75">
        <f t="shared" ca="1" si="19"/>
        <v>4983.010000000073</v>
      </c>
      <c r="R283" s="76">
        <f t="shared" ca="1" si="20"/>
        <v>287902.8</v>
      </c>
      <c r="T283" s="113"/>
      <c r="U283" s="114"/>
    </row>
    <row r="284" spans="2:21" hidden="1" outlineLevel="1">
      <c r="B284" s="88" t="s">
        <v>6</v>
      </c>
      <c r="C284" s="100">
        <v>800</v>
      </c>
      <c r="D284" s="100">
        <v>119500</v>
      </c>
      <c r="E284" s="48" t="s">
        <v>83</v>
      </c>
      <c r="F284" s="48" t="s">
        <v>84</v>
      </c>
      <c r="G284" s="48" t="s">
        <v>329</v>
      </c>
      <c r="I284" s="88" t="s">
        <v>352</v>
      </c>
      <c r="J284" s="100"/>
      <c r="K284" s="100"/>
      <c r="P284" s="112">
        <v>876840.4</v>
      </c>
      <c r="Q284" s="75">
        <f t="shared" ca="1" si="19"/>
        <v>876840.40000000014</v>
      </c>
      <c r="R284" s="76">
        <f t="shared" ca="1" si="20"/>
        <v>0</v>
      </c>
      <c r="T284" s="113"/>
      <c r="U284" s="114"/>
    </row>
    <row r="285" spans="2:21" hidden="1" outlineLevel="1">
      <c r="B285" s="88" t="s">
        <v>6</v>
      </c>
      <c r="C285" s="100">
        <v>800</v>
      </c>
      <c r="D285" s="100" t="s">
        <v>346</v>
      </c>
      <c r="E285" s="48" t="s">
        <v>83</v>
      </c>
      <c r="F285" s="48" t="s">
        <v>84</v>
      </c>
      <c r="G285" s="48" t="s">
        <v>329</v>
      </c>
      <c r="I285" s="88" t="s">
        <v>352</v>
      </c>
      <c r="J285" s="100"/>
      <c r="K285" s="100"/>
      <c r="P285" s="112">
        <v>6301.8300000000017</v>
      </c>
      <c r="Q285" s="75">
        <f t="shared" ca="1" si="19"/>
        <v>6301.8300000000017</v>
      </c>
      <c r="R285" s="76">
        <f t="shared" ca="1" si="20"/>
        <v>0</v>
      </c>
      <c r="T285" s="113"/>
      <c r="U285" s="114"/>
    </row>
    <row r="286" spans="2:21" hidden="1" outlineLevel="1">
      <c r="B286" s="88" t="s">
        <v>6</v>
      </c>
      <c r="C286" s="100">
        <v>800</v>
      </c>
      <c r="D286" s="100" t="s">
        <v>347</v>
      </c>
      <c r="E286" s="48" t="s">
        <v>83</v>
      </c>
      <c r="F286" s="48" t="s">
        <v>84</v>
      </c>
      <c r="G286" s="48" t="s">
        <v>329</v>
      </c>
      <c r="I286" s="88" t="s">
        <v>352</v>
      </c>
      <c r="J286" s="100"/>
      <c r="K286" s="100"/>
      <c r="P286" s="112">
        <v>129369.83000000002</v>
      </c>
      <c r="Q286" s="75">
        <f t="shared" ca="1" si="19"/>
        <v>129369.83000000002</v>
      </c>
      <c r="R286" s="76">
        <f t="shared" ca="1" si="20"/>
        <v>0</v>
      </c>
      <c r="T286" s="113"/>
      <c r="U286" s="114"/>
    </row>
    <row r="287" spans="2:21" hidden="1" outlineLevel="1">
      <c r="P287" s="77">
        <f ca="1">P231+SUM(P279:P286)</f>
        <v>13761214.18</v>
      </c>
      <c r="Q287" s="77">
        <f ca="1">Q231+SUM(Q279:Q286)</f>
        <v>13474980.58</v>
      </c>
      <c r="R287" s="77">
        <f ca="1">SUM(R271:R286)</f>
        <v>286233.5999999998</v>
      </c>
    </row>
    <row r="288" spans="2:21" hidden="1" outlineLevel="1">
      <c r="B288" s="88" t="s">
        <v>330</v>
      </c>
      <c r="C288" s="100" t="s">
        <v>361</v>
      </c>
      <c r="D288" s="100" t="s">
        <v>343</v>
      </c>
      <c r="E288" s="48" t="s">
        <v>83</v>
      </c>
      <c r="F288" s="48" t="s">
        <v>84</v>
      </c>
      <c r="G288" s="48" t="s">
        <v>329</v>
      </c>
      <c r="H288" s="88"/>
      <c r="I288" s="88"/>
      <c r="J288" s="100"/>
      <c r="K288" s="100"/>
      <c r="P288" s="112" t="e">
        <v>#N/A</v>
      </c>
      <c r="Q288" s="76">
        <f ca="1">+P170</f>
        <v>13383875.58</v>
      </c>
    </row>
    <row r="289" spans="1:18" hidden="1" outlineLevel="1">
      <c r="P289" s="77" t="e">
        <f ca="1">+P287-P288</f>
        <v>#N/A</v>
      </c>
      <c r="Q289" s="77">
        <f ca="1">+Q287-Q288</f>
        <v>91105</v>
      </c>
    </row>
    <row r="290" spans="1:18" hidden="1" outlineLevel="1"/>
    <row r="291" spans="1:18" hidden="1" outlineLevel="1"/>
    <row r="292" spans="1:18" hidden="1" outlineLevel="1">
      <c r="A292" s="70" t="s">
        <v>351</v>
      </c>
    </row>
    <row r="293" spans="1:18" hidden="1" outlineLevel="1">
      <c r="B293" s="88" t="s">
        <v>352</v>
      </c>
      <c r="C293" s="100"/>
      <c r="D293" s="100"/>
      <c r="I293" s="88" t="s">
        <v>51</v>
      </c>
      <c r="J293" s="100">
        <v>100</v>
      </c>
      <c r="K293" s="100" t="s">
        <v>77</v>
      </c>
      <c r="L293" s="48" t="s">
        <v>83</v>
      </c>
      <c r="M293" s="48" t="s">
        <v>84</v>
      </c>
      <c r="N293" s="48" t="s">
        <v>329</v>
      </c>
      <c r="P293" s="75">
        <f t="shared" ref="P293:P325" ca="1" si="21">+SUMIFS($Q$1:$Q$217,$J$1:$J$217,J293,$K$1:$K$217,K293)</f>
        <v>-210146017.66999996</v>
      </c>
      <c r="Q293" s="112">
        <v>-139663251.89000005</v>
      </c>
      <c r="R293" s="76">
        <f t="shared" ref="R293:R325" ca="1" si="22">+P293-Q293</f>
        <v>-70482765.779999912</v>
      </c>
    </row>
    <row r="294" spans="1:18" hidden="1" outlineLevel="1">
      <c r="B294" s="88" t="s">
        <v>352</v>
      </c>
      <c r="C294" s="100"/>
      <c r="D294" s="100"/>
      <c r="I294" s="88" t="s">
        <v>51</v>
      </c>
      <c r="J294" s="100">
        <v>100</v>
      </c>
      <c r="K294" s="100" t="s">
        <v>359</v>
      </c>
      <c r="L294" s="48" t="s">
        <v>83</v>
      </c>
      <c r="M294" s="48" t="s">
        <v>84</v>
      </c>
      <c r="N294" s="48" t="s">
        <v>329</v>
      </c>
      <c r="P294" s="75">
        <f t="shared" ca="1" si="21"/>
        <v>0</v>
      </c>
      <c r="Q294" s="112">
        <v>0</v>
      </c>
      <c r="R294" s="76">
        <f t="shared" ca="1" si="22"/>
        <v>0</v>
      </c>
    </row>
    <row r="295" spans="1:18" hidden="1" outlineLevel="1">
      <c r="B295" s="88" t="s">
        <v>352</v>
      </c>
      <c r="C295" s="100"/>
      <c r="D295" s="100"/>
      <c r="I295" s="88" t="s">
        <v>51</v>
      </c>
      <c r="J295" s="100">
        <v>100</v>
      </c>
      <c r="K295" s="100" t="s">
        <v>349</v>
      </c>
      <c r="L295" s="48" t="s">
        <v>83</v>
      </c>
      <c r="M295" s="48" t="s">
        <v>84</v>
      </c>
      <c r="N295" s="48" t="s">
        <v>329</v>
      </c>
      <c r="P295" s="75">
        <f t="shared" ca="1" si="21"/>
        <v>-27973</v>
      </c>
      <c r="Q295" s="112">
        <v>-27973</v>
      </c>
      <c r="R295" s="76">
        <f t="shared" ca="1" si="22"/>
        <v>0</v>
      </c>
    </row>
    <row r="296" spans="1:18" hidden="1" outlineLevel="1">
      <c r="B296" s="88" t="s">
        <v>352</v>
      </c>
      <c r="C296" s="100"/>
      <c r="D296" s="100"/>
      <c r="I296" s="88" t="s">
        <v>94</v>
      </c>
      <c r="J296" s="100" t="s">
        <v>334</v>
      </c>
      <c r="K296" s="100" t="s">
        <v>77</v>
      </c>
      <c r="L296" s="48" t="s">
        <v>83</v>
      </c>
      <c r="M296" s="48" t="s">
        <v>84</v>
      </c>
      <c r="N296" s="48" t="s">
        <v>329</v>
      </c>
      <c r="P296" s="75">
        <f t="shared" ca="1" si="21"/>
        <v>5198871.37</v>
      </c>
      <c r="Q296" s="112">
        <v>3434308.0599999987</v>
      </c>
      <c r="R296" s="76">
        <f t="shared" ca="1" si="22"/>
        <v>1764563.3100000015</v>
      </c>
    </row>
    <row r="297" spans="1:18" hidden="1" outlineLevel="1">
      <c r="B297" s="88" t="s">
        <v>352</v>
      </c>
      <c r="C297" s="100"/>
      <c r="D297" s="100"/>
      <c r="I297" s="88" t="s">
        <v>94</v>
      </c>
      <c r="J297" s="100" t="s">
        <v>334</v>
      </c>
      <c r="K297" s="100" t="s">
        <v>359</v>
      </c>
      <c r="L297" s="48" t="s">
        <v>83</v>
      </c>
      <c r="M297" s="48" t="s">
        <v>84</v>
      </c>
      <c r="N297" s="48" t="s">
        <v>329</v>
      </c>
      <c r="P297" s="75">
        <f t="shared" ca="1" si="21"/>
        <v>0</v>
      </c>
      <c r="Q297" s="112">
        <v>0</v>
      </c>
      <c r="R297" s="76">
        <f t="shared" ca="1" si="22"/>
        <v>0</v>
      </c>
    </row>
    <row r="298" spans="1:18" hidden="1" outlineLevel="1">
      <c r="B298" s="88" t="s">
        <v>352</v>
      </c>
      <c r="C298" s="100"/>
      <c r="D298" s="100"/>
      <c r="I298" s="88" t="s">
        <v>95</v>
      </c>
      <c r="J298" s="100" t="s">
        <v>335</v>
      </c>
      <c r="K298" s="100" t="s">
        <v>77</v>
      </c>
      <c r="L298" s="48" t="s">
        <v>83</v>
      </c>
      <c r="M298" s="48" t="s">
        <v>84</v>
      </c>
      <c r="N298" s="48" t="s">
        <v>329</v>
      </c>
      <c r="P298" s="75">
        <f t="shared" ca="1" si="21"/>
        <v>-1905835.6600000004</v>
      </c>
      <c r="Q298" s="112">
        <v>-2081968.6500000001</v>
      </c>
      <c r="R298" s="76">
        <f t="shared" ca="1" si="22"/>
        <v>176132.98999999976</v>
      </c>
    </row>
    <row r="299" spans="1:18" hidden="1" outlineLevel="1">
      <c r="B299" s="88" t="s">
        <v>352</v>
      </c>
      <c r="C299" s="100"/>
      <c r="D299" s="100"/>
      <c r="I299" s="88" t="s">
        <v>95</v>
      </c>
      <c r="J299" s="100" t="s">
        <v>335</v>
      </c>
      <c r="K299" s="100" t="s">
        <v>359</v>
      </c>
      <c r="L299" s="48" t="s">
        <v>83</v>
      </c>
      <c r="M299" s="48" t="s">
        <v>84</v>
      </c>
      <c r="N299" s="48" t="s">
        <v>329</v>
      </c>
      <c r="P299" s="75">
        <f t="shared" ca="1" si="21"/>
        <v>0</v>
      </c>
      <c r="Q299" s="112">
        <v>0</v>
      </c>
      <c r="R299" s="76">
        <f t="shared" ca="1" si="22"/>
        <v>0</v>
      </c>
    </row>
    <row r="300" spans="1:18" hidden="1" outlineLevel="1">
      <c r="B300" s="88" t="s">
        <v>352</v>
      </c>
      <c r="C300" s="100"/>
      <c r="D300" s="100"/>
      <c r="I300" s="88" t="s">
        <v>96</v>
      </c>
      <c r="J300" s="100" t="s">
        <v>336</v>
      </c>
      <c r="K300" s="100" t="s">
        <v>77</v>
      </c>
      <c r="L300" s="48" t="s">
        <v>83</v>
      </c>
      <c r="M300" s="48" t="s">
        <v>84</v>
      </c>
      <c r="N300" s="48" t="s">
        <v>329</v>
      </c>
      <c r="P300" s="75">
        <f t="shared" ca="1" si="21"/>
        <v>145177545.84</v>
      </c>
      <c r="Q300" s="112">
        <v>144856039.45000002</v>
      </c>
      <c r="R300" s="76">
        <f t="shared" ca="1" si="22"/>
        <v>321506.38999998569</v>
      </c>
    </row>
    <row r="301" spans="1:18" hidden="1" outlineLevel="1">
      <c r="B301" s="88" t="s">
        <v>352</v>
      </c>
      <c r="C301" s="100"/>
      <c r="D301" s="100"/>
      <c r="I301" s="88" t="s">
        <v>96</v>
      </c>
      <c r="J301" s="100" t="s">
        <v>336</v>
      </c>
      <c r="K301" s="100" t="s">
        <v>359</v>
      </c>
      <c r="L301" s="48" t="s">
        <v>83</v>
      </c>
      <c r="M301" s="48" t="s">
        <v>84</v>
      </c>
      <c r="N301" s="48" t="s">
        <v>329</v>
      </c>
      <c r="P301" s="75">
        <f t="shared" ca="1" si="21"/>
        <v>0</v>
      </c>
      <c r="Q301" s="112">
        <v>0</v>
      </c>
      <c r="R301" s="76">
        <f t="shared" ca="1" si="22"/>
        <v>0</v>
      </c>
    </row>
    <row r="302" spans="1:18" hidden="1" outlineLevel="1">
      <c r="B302" s="88" t="s">
        <v>352</v>
      </c>
      <c r="C302" s="100"/>
      <c r="D302" s="100"/>
      <c r="I302" s="88" t="s">
        <v>97</v>
      </c>
      <c r="J302" s="100" t="s">
        <v>337</v>
      </c>
      <c r="K302" s="100" t="s">
        <v>77</v>
      </c>
      <c r="L302" s="48" t="s">
        <v>83</v>
      </c>
      <c r="M302" s="48" t="s">
        <v>84</v>
      </c>
      <c r="N302" s="48" t="s">
        <v>329</v>
      </c>
      <c r="P302" s="75">
        <f t="shared" ca="1" si="21"/>
        <v>319477.39</v>
      </c>
      <c r="Q302" s="112">
        <v>396679.39</v>
      </c>
      <c r="R302" s="76">
        <f t="shared" ca="1" si="22"/>
        <v>-77202</v>
      </c>
    </row>
    <row r="303" spans="1:18" hidden="1" outlineLevel="1">
      <c r="B303" s="88" t="s">
        <v>352</v>
      </c>
      <c r="C303" s="100"/>
      <c r="D303" s="100"/>
      <c r="I303" s="88" t="s">
        <v>97</v>
      </c>
      <c r="J303" s="100" t="s">
        <v>337</v>
      </c>
      <c r="K303" s="100" t="s">
        <v>359</v>
      </c>
      <c r="L303" s="48" t="s">
        <v>83</v>
      </c>
      <c r="M303" s="48" t="s">
        <v>84</v>
      </c>
      <c r="N303" s="48" t="s">
        <v>329</v>
      </c>
      <c r="P303" s="75">
        <f t="shared" ca="1" si="21"/>
        <v>0</v>
      </c>
      <c r="Q303" s="112">
        <v>0</v>
      </c>
      <c r="R303" s="76">
        <f t="shared" ca="1" si="22"/>
        <v>0</v>
      </c>
    </row>
    <row r="304" spans="1:18" hidden="1" outlineLevel="1">
      <c r="B304" s="88" t="s">
        <v>352</v>
      </c>
      <c r="C304" s="100"/>
      <c r="D304" s="100"/>
      <c r="I304" s="88" t="s">
        <v>331</v>
      </c>
      <c r="J304" s="100" t="s">
        <v>338</v>
      </c>
      <c r="K304" s="100" t="s">
        <v>77</v>
      </c>
      <c r="L304" s="48" t="s">
        <v>83</v>
      </c>
      <c r="M304" s="48" t="s">
        <v>84</v>
      </c>
      <c r="N304" s="48" t="s">
        <v>329</v>
      </c>
      <c r="P304" s="75">
        <f t="shared" ca="1" si="21"/>
        <v>-2364066.9299999997</v>
      </c>
      <c r="Q304" s="112">
        <v>-2283804.8199999994</v>
      </c>
      <c r="R304" s="76">
        <f t="shared" ca="1" si="22"/>
        <v>-80262.110000000335</v>
      </c>
    </row>
    <row r="305" spans="2:19" hidden="1" outlineLevel="1">
      <c r="B305" s="88" t="s">
        <v>352</v>
      </c>
      <c r="C305" s="100"/>
      <c r="D305" s="100"/>
      <c r="I305" s="88" t="s">
        <v>331</v>
      </c>
      <c r="J305" s="100" t="s">
        <v>338</v>
      </c>
      <c r="K305" s="100" t="s">
        <v>359</v>
      </c>
      <c r="L305" s="48" t="s">
        <v>83</v>
      </c>
      <c r="M305" s="48" t="s">
        <v>84</v>
      </c>
      <c r="N305" s="48" t="s">
        <v>329</v>
      </c>
      <c r="P305" s="75">
        <f t="shared" ca="1" si="21"/>
        <v>0</v>
      </c>
      <c r="Q305" s="112">
        <v>0</v>
      </c>
      <c r="R305" s="76">
        <f t="shared" ca="1" si="22"/>
        <v>0</v>
      </c>
    </row>
    <row r="306" spans="2:19" hidden="1" outlineLevel="1">
      <c r="B306" s="88" t="s">
        <v>352</v>
      </c>
      <c r="C306" s="100"/>
      <c r="D306" s="100"/>
      <c r="I306" s="88" t="s">
        <v>98</v>
      </c>
      <c r="J306" s="100" t="s">
        <v>339</v>
      </c>
      <c r="K306" s="100" t="s">
        <v>77</v>
      </c>
      <c r="L306" s="48" t="s">
        <v>83</v>
      </c>
      <c r="M306" s="48" t="s">
        <v>84</v>
      </c>
      <c r="N306" s="48" t="s">
        <v>329</v>
      </c>
      <c r="P306" s="75">
        <f t="shared" ca="1" si="21"/>
        <v>-245632.74</v>
      </c>
      <c r="Q306" s="112">
        <v>-989426.26</v>
      </c>
      <c r="R306" s="76">
        <f t="shared" ca="1" si="22"/>
        <v>743793.52</v>
      </c>
    </row>
    <row r="307" spans="2:19" hidden="1" outlineLevel="1">
      <c r="B307" s="88" t="s">
        <v>352</v>
      </c>
      <c r="C307" s="100"/>
      <c r="D307" s="100"/>
      <c r="I307" s="88" t="s">
        <v>98</v>
      </c>
      <c r="J307" s="100" t="s">
        <v>339</v>
      </c>
      <c r="K307" s="100" t="s">
        <v>359</v>
      </c>
      <c r="L307" s="48" t="s">
        <v>83</v>
      </c>
      <c r="M307" s="48" t="s">
        <v>84</v>
      </c>
      <c r="N307" s="48" t="s">
        <v>329</v>
      </c>
      <c r="P307" s="75">
        <f t="shared" ca="1" si="21"/>
        <v>0</v>
      </c>
      <c r="Q307" s="112">
        <v>0</v>
      </c>
      <c r="R307" s="76">
        <f t="shared" ca="1" si="22"/>
        <v>0</v>
      </c>
    </row>
    <row r="308" spans="2:19" hidden="1" outlineLevel="1">
      <c r="B308" s="88" t="s">
        <v>352</v>
      </c>
      <c r="C308" s="100"/>
      <c r="D308" s="100"/>
      <c r="I308" s="88" t="s">
        <v>340</v>
      </c>
      <c r="J308" s="100" t="s">
        <v>341</v>
      </c>
      <c r="K308" s="100" t="s">
        <v>77</v>
      </c>
      <c r="L308" s="48" t="s">
        <v>83</v>
      </c>
      <c r="M308" s="48" t="s">
        <v>84</v>
      </c>
      <c r="N308" s="48" t="s">
        <v>329</v>
      </c>
      <c r="P308" s="75">
        <f t="shared" ca="1" si="21"/>
        <v>-47494.36</v>
      </c>
      <c r="Q308" s="112">
        <v>-47487.78</v>
      </c>
      <c r="R308" s="76">
        <f t="shared" ca="1" si="22"/>
        <v>-6.5800000000017462</v>
      </c>
    </row>
    <row r="309" spans="2:19" hidden="1" outlineLevel="1">
      <c r="B309" s="88" t="s">
        <v>352</v>
      </c>
      <c r="C309" s="100"/>
      <c r="D309" s="100"/>
      <c r="I309" s="88" t="s">
        <v>340</v>
      </c>
      <c r="J309" s="100" t="s">
        <v>341</v>
      </c>
      <c r="K309" s="100" t="s">
        <v>359</v>
      </c>
      <c r="L309" s="48" t="s">
        <v>83</v>
      </c>
      <c r="M309" s="48" t="s">
        <v>84</v>
      </c>
      <c r="N309" s="48" t="s">
        <v>329</v>
      </c>
      <c r="P309" s="75">
        <f t="shared" ca="1" si="21"/>
        <v>0</v>
      </c>
      <c r="Q309" s="112">
        <v>0</v>
      </c>
      <c r="R309" s="76">
        <f t="shared" ca="1" si="22"/>
        <v>0</v>
      </c>
    </row>
    <row r="310" spans="2:19" hidden="1" outlineLevel="1">
      <c r="B310" s="88" t="s">
        <v>352</v>
      </c>
      <c r="C310" s="100"/>
      <c r="D310" s="100"/>
      <c r="I310" s="88" t="s">
        <v>7</v>
      </c>
      <c r="J310" s="100">
        <v>400</v>
      </c>
      <c r="K310" s="100" t="s">
        <v>77</v>
      </c>
      <c r="L310" s="48" t="s">
        <v>83</v>
      </c>
      <c r="M310" s="48" t="s">
        <v>84</v>
      </c>
      <c r="N310" s="48" t="s">
        <v>329</v>
      </c>
      <c r="P310" s="75">
        <f t="shared" ca="1" si="21"/>
        <v>-2095.99999999998</v>
      </c>
      <c r="Q310" s="112">
        <v>-2095.99999999998</v>
      </c>
      <c r="R310" s="76">
        <f t="shared" ca="1" si="22"/>
        <v>0</v>
      </c>
    </row>
    <row r="311" spans="2:19" hidden="1" outlineLevel="1">
      <c r="B311" s="88" t="s">
        <v>352</v>
      </c>
      <c r="C311" s="100"/>
      <c r="D311" s="100"/>
      <c r="I311" s="88" t="s">
        <v>7</v>
      </c>
      <c r="J311" s="100">
        <v>400</v>
      </c>
      <c r="K311" s="100" t="s">
        <v>349</v>
      </c>
      <c r="L311" s="48" t="s">
        <v>83</v>
      </c>
      <c r="M311" s="48" t="s">
        <v>84</v>
      </c>
      <c r="N311" s="48" t="s">
        <v>329</v>
      </c>
      <c r="P311" s="75">
        <f t="shared" ca="1" si="21"/>
        <v>289.20999999999998</v>
      </c>
      <c r="Q311" s="112">
        <v>289.20999999999998</v>
      </c>
      <c r="R311" s="76">
        <f t="shared" ca="1" si="22"/>
        <v>0</v>
      </c>
    </row>
    <row r="312" spans="2:19" hidden="1" outlineLevel="1">
      <c r="B312" s="88" t="s">
        <v>352</v>
      </c>
      <c r="C312" s="100"/>
      <c r="D312" s="100"/>
      <c r="I312" s="88" t="s">
        <v>7</v>
      </c>
      <c r="J312" s="100">
        <v>400</v>
      </c>
      <c r="K312" s="100" t="s">
        <v>348</v>
      </c>
      <c r="L312" s="48" t="s">
        <v>83</v>
      </c>
      <c r="M312" s="48" t="s">
        <v>84</v>
      </c>
      <c r="N312" s="48" t="s">
        <v>329</v>
      </c>
      <c r="P312" s="75">
        <f t="shared" ca="1" si="21"/>
        <v>-1200</v>
      </c>
      <c r="Q312" s="112">
        <v>-1200</v>
      </c>
      <c r="R312" s="76">
        <f t="shared" ca="1" si="22"/>
        <v>0</v>
      </c>
    </row>
    <row r="313" spans="2:19" hidden="1" outlineLevel="1">
      <c r="B313" s="88" t="s">
        <v>352</v>
      </c>
      <c r="C313" s="100"/>
      <c r="D313" s="100"/>
      <c r="I313" s="88" t="s">
        <v>9</v>
      </c>
      <c r="J313" s="100">
        <v>500</v>
      </c>
      <c r="K313" s="100" t="s">
        <v>77</v>
      </c>
      <c r="L313" s="48" t="s">
        <v>83</v>
      </c>
      <c r="M313" s="48" t="s">
        <v>84</v>
      </c>
      <c r="N313" s="48" t="s">
        <v>329</v>
      </c>
      <c r="P313" s="75">
        <f t="shared" ca="1" si="21"/>
        <v>-83870.740000000005</v>
      </c>
      <c r="Q313" s="112">
        <v>-83870.739999999991</v>
      </c>
      <c r="R313" s="76">
        <f t="shared" ca="1" si="22"/>
        <v>0</v>
      </c>
      <c r="S313" s="79"/>
    </row>
    <row r="314" spans="2:19" hidden="1" outlineLevel="1">
      <c r="B314" s="88" t="s">
        <v>352</v>
      </c>
      <c r="C314" s="100"/>
      <c r="D314" s="100"/>
      <c r="I314" s="88" t="s">
        <v>9</v>
      </c>
      <c r="J314" s="100">
        <v>500</v>
      </c>
      <c r="K314" s="100" t="s">
        <v>349</v>
      </c>
      <c r="L314" s="48" t="s">
        <v>83</v>
      </c>
      <c r="M314" s="48" t="s">
        <v>84</v>
      </c>
      <c r="N314" s="48" t="s">
        <v>329</v>
      </c>
      <c r="P314" s="75">
        <f t="shared" ca="1" si="21"/>
        <v>-11.2</v>
      </c>
      <c r="Q314" s="112">
        <v>-11.2</v>
      </c>
      <c r="R314" s="76">
        <f t="shared" ca="1" si="22"/>
        <v>0</v>
      </c>
      <c r="S314" s="79"/>
    </row>
    <row r="315" spans="2:19" hidden="1" outlineLevel="1">
      <c r="B315" s="88" t="s">
        <v>352</v>
      </c>
      <c r="C315" s="100"/>
      <c r="D315" s="100"/>
      <c r="I315" s="88" t="s">
        <v>9</v>
      </c>
      <c r="J315" s="100">
        <v>500</v>
      </c>
      <c r="K315" s="100" t="s">
        <v>348</v>
      </c>
      <c r="L315" s="48" t="s">
        <v>83</v>
      </c>
      <c r="M315" s="48" t="s">
        <v>84</v>
      </c>
      <c r="N315" s="48" t="s">
        <v>329</v>
      </c>
      <c r="P315" s="75">
        <f t="shared" ca="1" si="21"/>
        <v>-27200</v>
      </c>
      <c r="Q315" s="112">
        <v>-27200</v>
      </c>
      <c r="R315" s="76">
        <f t="shared" ca="1" si="22"/>
        <v>0</v>
      </c>
      <c r="S315" s="79"/>
    </row>
    <row r="316" spans="2:19" hidden="1" outlineLevel="1">
      <c r="B316" s="88" t="s">
        <v>352</v>
      </c>
      <c r="C316" s="100"/>
      <c r="D316" s="100"/>
      <c r="I316" s="88" t="s">
        <v>10</v>
      </c>
      <c r="J316" s="100" t="s">
        <v>345</v>
      </c>
      <c r="K316" s="100" t="s">
        <v>77</v>
      </c>
      <c r="L316" s="48" t="s">
        <v>83</v>
      </c>
      <c r="M316" s="48" t="s">
        <v>84</v>
      </c>
      <c r="N316" s="48" t="s">
        <v>329</v>
      </c>
      <c r="P316" s="75">
        <f t="shared" ca="1" si="21"/>
        <v>-15579.41</v>
      </c>
      <c r="Q316" s="112">
        <v>-15579.41</v>
      </c>
      <c r="R316" s="76">
        <f t="shared" ca="1" si="22"/>
        <v>0</v>
      </c>
      <c r="S316" s="79"/>
    </row>
    <row r="317" spans="2:19" hidden="1" outlineLevel="1">
      <c r="B317" s="88" t="s">
        <v>352</v>
      </c>
      <c r="C317" s="100"/>
      <c r="D317" s="100"/>
      <c r="I317" s="88" t="s">
        <v>11</v>
      </c>
      <c r="J317" s="100">
        <v>600</v>
      </c>
      <c r="K317" s="100" t="s">
        <v>77</v>
      </c>
      <c r="L317" s="48" t="s">
        <v>83</v>
      </c>
      <c r="M317" s="48" t="s">
        <v>84</v>
      </c>
      <c r="N317" s="48" t="s">
        <v>329</v>
      </c>
      <c r="P317" s="75">
        <f t="shared" ca="1" si="21"/>
        <v>-155189.25000000003</v>
      </c>
      <c r="Q317" s="112">
        <v>-155189.25</v>
      </c>
      <c r="R317" s="76">
        <f t="shared" ca="1" si="22"/>
        <v>0</v>
      </c>
    </row>
    <row r="318" spans="2:19" hidden="1" outlineLevel="1">
      <c r="B318" s="88" t="s">
        <v>352</v>
      </c>
      <c r="C318" s="100"/>
      <c r="D318" s="100"/>
      <c r="I318" s="88" t="s">
        <v>11</v>
      </c>
      <c r="J318" s="100">
        <v>600</v>
      </c>
      <c r="K318" s="100" t="s">
        <v>349</v>
      </c>
      <c r="L318" s="48" t="s">
        <v>83</v>
      </c>
      <c r="M318" s="48" t="s">
        <v>84</v>
      </c>
      <c r="N318" s="48" t="s">
        <v>329</v>
      </c>
      <c r="P318" s="75">
        <f t="shared" ca="1" si="21"/>
        <v>-4.16</v>
      </c>
      <c r="Q318" s="112">
        <v>-4.16</v>
      </c>
      <c r="R318" s="76">
        <f t="shared" ca="1" si="22"/>
        <v>0</v>
      </c>
    </row>
    <row r="319" spans="2:19" hidden="1" outlineLevel="1">
      <c r="B319" s="88" t="s">
        <v>352</v>
      </c>
      <c r="C319" s="100"/>
      <c r="D319" s="100"/>
      <c r="I319" s="88" t="s">
        <v>11</v>
      </c>
      <c r="J319" s="100">
        <v>600</v>
      </c>
      <c r="K319" s="100" t="s">
        <v>348</v>
      </c>
      <c r="L319" s="48" t="s">
        <v>83</v>
      </c>
      <c r="M319" s="48" t="s">
        <v>84</v>
      </c>
      <c r="N319" s="48" t="s">
        <v>329</v>
      </c>
      <c r="P319" s="75">
        <f t="shared" ca="1" si="21"/>
        <v>-49000</v>
      </c>
      <c r="Q319" s="112">
        <v>-49000</v>
      </c>
      <c r="R319" s="76">
        <f t="shared" ca="1" si="22"/>
        <v>0</v>
      </c>
    </row>
    <row r="320" spans="2:19" hidden="1" outlineLevel="1">
      <c r="B320" s="88" t="s">
        <v>352</v>
      </c>
      <c r="C320" s="100"/>
      <c r="D320" s="100"/>
      <c r="I320" s="88" t="s">
        <v>12</v>
      </c>
      <c r="J320" s="100">
        <v>700</v>
      </c>
      <c r="K320" s="100" t="s">
        <v>77</v>
      </c>
      <c r="L320" s="48" t="s">
        <v>83</v>
      </c>
      <c r="M320" s="48" t="s">
        <v>84</v>
      </c>
      <c r="N320" s="48" t="s">
        <v>329</v>
      </c>
      <c r="P320" s="75">
        <f t="shared" ca="1" si="21"/>
        <v>-4077094.41</v>
      </c>
      <c r="Q320" s="112">
        <v>-4077094.4099999997</v>
      </c>
      <c r="R320" s="76">
        <f t="shared" ca="1" si="22"/>
        <v>0</v>
      </c>
    </row>
    <row r="321" spans="2:18" hidden="1" outlineLevel="1">
      <c r="B321" s="88" t="s">
        <v>352</v>
      </c>
      <c r="C321" s="100"/>
      <c r="D321" s="100"/>
      <c r="I321" s="88" t="s">
        <v>12</v>
      </c>
      <c r="J321" s="100">
        <v>700</v>
      </c>
      <c r="K321" s="100" t="s">
        <v>349</v>
      </c>
      <c r="L321" s="48" t="s">
        <v>83</v>
      </c>
      <c r="M321" s="48" t="s">
        <v>84</v>
      </c>
      <c r="N321" s="48" t="s">
        <v>329</v>
      </c>
      <c r="P321" s="75">
        <f t="shared" ca="1" si="21"/>
        <v>-97787.95</v>
      </c>
      <c r="Q321" s="112">
        <v>-97787.95</v>
      </c>
      <c r="R321" s="76">
        <f t="shared" ca="1" si="22"/>
        <v>0</v>
      </c>
    </row>
    <row r="322" spans="2:18" hidden="1" outlineLevel="1">
      <c r="B322" s="88" t="s">
        <v>352</v>
      </c>
      <c r="C322" s="100"/>
      <c r="D322" s="100"/>
      <c r="I322" s="88" t="s">
        <v>12</v>
      </c>
      <c r="J322" s="100">
        <v>700</v>
      </c>
      <c r="K322" s="100" t="s">
        <v>348</v>
      </c>
      <c r="L322" s="48" t="s">
        <v>83</v>
      </c>
      <c r="M322" s="48" t="s">
        <v>84</v>
      </c>
      <c r="N322" s="48" t="s">
        <v>329</v>
      </c>
      <c r="P322" s="75">
        <f t="shared" ca="1" si="21"/>
        <v>0</v>
      </c>
      <c r="Q322" s="112">
        <v>0</v>
      </c>
      <c r="R322" s="76">
        <f t="shared" ca="1" si="22"/>
        <v>0</v>
      </c>
    </row>
    <row r="323" spans="2:18" hidden="1" outlineLevel="1">
      <c r="B323" s="88" t="s">
        <v>352</v>
      </c>
      <c r="C323" s="100"/>
      <c r="D323" s="100"/>
      <c r="I323" s="88" t="s">
        <v>6</v>
      </c>
      <c r="J323" s="100">
        <v>800</v>
      </c>
      <c r="K323" s="100" t="s">
        <v>77</v>
      </c>
      <c r="L323" s="48" t="s">
        <v>83</v>
      </c>
      <c r="M323" s="48" t="s">
        <v>84</v>
      </c>
      <c r="N323" s="48" t="s">
        <v>329</v>
      </c>
      <c r="P323" s="75">
        <f t="shared" ca="1" si="21"/>
        <v>-158300.93</v>
      </c>
      <c r="Q323" s="112">
        <v>-158300.93</v>
      </c>
      <c r="R323" s="76">
        <f t="shared" ca="1" si="22"/>
        <v>0</v>
      </c>
    </row>
    <row r="324" spans="2:18" hidden="1" outlineLevel="1">
      <c r="B324" s="88" t="s">
        <v>352</v>
      </c>
      <c r="C324" s="100"/>
      <c r="D324" s="100"/>
      <c r="I324" s="88" t="s">
        <v>6</v>
      </c>
      <c r="J324" s="100">
        <v>800</v>
      </c>
      <c r="K324" s="100" t="s">
        <v>349</v>
      </c>
      <c r="L324" s="48" t="s">
        <v>83</v>
      </c>
      <c r="M324" s="48" t="s">
        <v>84</v>
      </c>
      <c r="N324" s="48" t="s">
        <v>329</v>
      </c>
      <c r="P324" s="75">
        <f t="shared" ca="1" si="21"/>
        <v>-3909</v>
      </c>
      <c r="Q324" s="112">
        <v>-3909</v>
      </c>
      <c r="R324" s="76">
        <f t="shared" ca="1" si="22"/>
        <v>0</v>
      </c>
    </row>
    <row r="325" spans="2:18" hidden="1" outlineLevel="1">
      <c r="B325" s="88" t="s">
        <v>352</v>
      </c>
      <c r="C325" s="100"/>
      <c r="D325" s="100"/>
      <c r="I325" s="88" t="s">
        <v>6</v>
      </c>
      <c r="J325" s="100">
        <v>800</v>
      </c>
      <c r="K325" s="100" t="s">
        <v>348</v>
      </c>
      <c r="L325" s="48" t="s">
        <v>83</v>
      </c>
      <c r="M325" s="48" t="s">
        <v>84</v>
      </c>
      <c r="N325" s="48" t="s">
        <v>329</v>
      </c>
      <c r="P325" s="75">
        <f t="shared" ca="1" si="21"/>
        <v>0</v>
      </c>
      <c r="Q325" s="112">
        <v>0</v>
      </c>
      <c r="R325" s="76">
        <f t="shared" ca="1" si="22"/>
        <v>0</v>
      </c>
    </row>
    <row r="326" spans="2:18" hidden="1" outlineLevel="1">
      <c r="P326" s="77">
        <f ca="1">SUM(P293:P325)</f>
        <v>-68712079.599999949</v>
      </c>
      <c r="Q326" s="77">
        <f ca="1">SUM(Q293:Q325)</f>
        <v>-1077839.3400000301</v>
      </c>
      <c r="R326" s="77">
        <f ca="1">SUM(R293:R325)</f>
        <v>-67634240.259999931</v>
      </c>
    </row>
    <row r="327" spans="2:18" hidden="1" outlineLevel="1">
      <c r="B327" s="88"/>
      <c r="C327" s="100"/>
      <c r="D327" s="100"/>
      <c r="H327" s="88"/>
      <c r="I327" s="88" t="s">
        <v>330</v>
      </c>
      <c r="J327" s="100" t="s">
        <v>361</v>
      </c>
      <c r="K327" s="100" t="s">
        <v>344</v>
      </c>
      <c r="L327" s="48" t="s">
        <v>83</v>
      </c>
      <c r="M327" s="48" t="s">
        <v>84</v>
      </c>
      <c r="N327" s="48" t="s">
        <v>329</v>
      </c>
      <c r="P327" s="76">
        <f ca="1">+Q170</f>
        <v>-68740052.600000009</v>
      </c>
      <c r="Q327" s="112" t="e">
        <v>#N/A</v>
      </c>
    </row>
    <row r="328" spans="2:18" hidden="1" outlineLevel="1">
      <c r="P328" s="77">
        <f ca="1">+P326-P327</f>
        <v>27973.000000059605</v>
      </c>
      <c r="Q328" s="77" t="e">
        <f ca="1">+Q326-Q327</f>
        <v>#N/A</v>
      </c>
    </row>
  </sheetData>
  <phoneticPr fontId="3" type="noConversion"/>
  <conditionalFormatting sqref="R171:R174 R7:R8 R2:R5 R149 R266:R269 R151 R249 R251 R253 R218:R221 R329:R65640 R291 R242:R247 R259:R264 R235:R240 R223:R228">
    <cfRule type="cellIs" dxfId="92" priority="124" stopIfTrue="1" operator="greaterThanOrEqual">
      <formula>500</formula>
    </cfRule>
    <cfRule type="cellIs" dxfId="91" priority="125" stopIfTrue="1" operator="lessThanOrEqual">
      <formula>-500</formula>
    </cfRule>
  </conditionalFormatting>
  <conditionalFormatting sqref="R217 R202:R203 R199:R200 R194:R197 R188:R191 R183:R186 R175:R181 R206:R215">
    <cfRule type="cellIs" dxfId="90" priority="126" stopIfTrue="1" operator="notBetween">
      <formula>-10</formula>
      <formula>10</formula>
    </cfRule>
  </conditionalFormatting>
  <conditionalFormatting sqref="R49:R52 R42:R47 R35:R40 R32:R33 R25:R30 R18:R23 R9:R16 R59:R62 R64:R66 R84:R85 R110 R136 R128 R168 R54:R56 R72:R74 R114 R82 R132:R134 R69:R70">
    <cfRule type="cellIs" dxfId="89" priority="127" stopIfTrue="1" operator="notBetween">
      <formula>-1000</formula>
      <formula>1000</formula>
    </cfRule>
  </conditionalFormatting>
  <conditionalFormatting sqref="R152">
    <cfRule type="cellIs" dxfId="88" priority="120" stopIfTrue="1" operator="greaterThanOrEqual">
      <formula>500</formula>
    </cfRule>
    <cfRule type="cellIs" dxfId="87" priority="121" stopIfTrue="1" operator="lessThanOrEqual">
      <formula>-500</formula>
    </cfRule>
  </conditionalFormatting>
  <conditionalFormatting sqref="R154 R156 R158 R160">
    <cfRule type="cellIs" dxfId="86" priority="118" stopIfTrue="1" operator="greaterThanOrEqual">
      <formula>500</formula>
    </cfRule>
    <cfRule type="cellIs" dxfId="85" priority="119" stopIfTrue="1" operator="lessThanOrEqual">
      <formula>-500</formula>
    </cfRule>
  </conditionalFormatting>
  <conditionalFormatting sqref="R162 R164 R166">
    <cfRule type="cellIs" dxfId="84" priority="116" stopIfTrue="1" operator="greaterThanOrEqual">
      <formula>500</formula>
    </cfRule>
    <cfRule type="cellIs" dxfId="83" priority="117" stopIfTrue="1" operator="lessThanOrEqual">
      <formula>-500</formula>
    </cfRule>
  </conditionalFormatting>
  <conditionalFormatting sqref="R86 R118 R102:R103 R123:R126">
    <cfRule type="cellIs" dxfId="82" priority="91" stopIfTrue="1" operator="notBetween">
      <formula>-1000</formula>
      <formula>1000</formula>
    </cfRule>
  </conditionalFormatting>
  <conditionalFormatting sqref="R106">
    <cfRule type="cellIs" dxfId="81" priority="89" stopIfTrue="1" operator="notBetween">
      <formula>-1000</formula>
      <formula>1000</formula>
    </cfRule>
  </conditionalFormatting>
  <conditionalFormatting sqref="R105">
    <cfRule type="cellIs" dxfId="80" priority="86" stopIfTrue="1" operator="notBetween">
      <formula>-1000</formula>
      <formula>1000</formula>
    </cfRule>
  </conditionalFormatting>
  <conditionalFormatting sqref="R109">
    <cfRule type="cellIs" dxfId="79" priority="85" stopIfTrue="1" operator="notBetween">
      <formula>-1000</formula>
      <formula>1000</formula>
    </cfRule>
  </conditionalFormatting>
  <conditionalFormatting sqref="R135">
    <cfRule type="cellIs" dxfId="78" priority="84" stopIfTrue="1" operator="notBetween">
      <formula>-1000</formula>
      <formula>1000</formula>
    </cfRule>
  </conditionalFormatting>
  <conditionalFormatting sqref="R107">
    <cfRule type="cellIs" dxfId="77" priority="83" stopIfTrue="1" operator="notBetween">
      <formula>-1000</formula>
      <formula>1000</formula>
    </cfRule>
  </conditionalFormatting>
  <conditionalFormatting sqref="R111">
    <cfRule type="cellIs" dxfId="76" priority="81" stopIfTrue="1" operator="notBetween">
      <formula>-1000</formula>
      <formula>1000</formula>
    </cfRule>
  </conditionalFormatting>
  <conditionalFormatting sqref="R117">
    <cfRule type="cellIs" dxfId="75" priority="80" stopIfTrue="1" operator="notBetween">
      <formula>-1000</formula>
      <formula>1000</formula>
    </cfRule>
  </conditionalFormatting>
  <conditionalFormatting sqref="R115">
    <cfRule type="cellIs" dxfId="74" priority="79" stopIfTrue="1" operator="notBetween">
      <formula>-1000</formula>
      <formula>1000</formula>
    </cfRule>
  </conditionalFormatting>
  <conditionalFormatting sqref="R53">
    <cfRule type="cellIs" dxfId="73" priority="78" stopIfTrue="1" operator="notBetween">
      <formula>-1000</formula>
      <formula>1000</formula>
    </cfRule>
  </conditionalFormatting>
  <conditionalFormatting sqref="R71">
    <cfRule type="cellIs" dxfId="72" priority="77" stopIfTrue="1" operator="notBetween">
      <formula>-1000</formula>
      <formula>1000</formula>
    </cfRule>
  </conditionalFormatting>
  <conditionalFormatting sqref="R127">
    <cfRule type="cellIs" dxfId="71" priority="76" stopIfTrue="1" operator="notBetween">
      <formula>-1000</formula>
      <formula>1000</formula>
    </cfRule>
  </conditionalFormatting>
  <conditionalFormatting sqref="R87 R92">
    <cfRule type="cellIs" dxfId="70" priority="75" stopIfTrue="1" operator="notBetween">
      <formula>-1000</formula>
      <formula>1000</formula>
    </cfRule>
  </conditionalFormatting>
  <conditionalFormatting sqref="R101">
    <cfRule type="cellIs" dxfId="69" priority="74" stopIfTrue="1" operator="notBetween">
      <formula>-1000</formula>
      <formula>1000</formula>
    </cfRule>
  </conditionalFormatting>
  <conditionalFormatting sqref="R100">
    <cfRule type="cellIs" dxfId="68" priority="73" stopIfTrue="1" operator="notBetween">
      <formula>-1000</formula>
      <formula>1000</formula>
    </cfRule>
  </conditionalFormatting>
  <conditionalFormatting sqref="R122">
    <cfRule type="cellIs" dxfId="67" priority="72" stopIfTrue="1" operator="notBetween">
      <formula>-1000</formula>
      <formula>1000</formula>
    </cfRule>
  </conditionalFormatting>
  <conditionalFormatting sqref="R121">
    <cfRule type="cellIs" dxfId="66" priority="71" stopIfTrue="1" operator="notBetween">
      <formula>-1000</formula>
      <formula>1000</formula>
    </cfRule>
  </conditionalFormatting>
  <conditionalFormatting sqref="R119">
    <cfRule type="cellIs" dxfId="65" priority="70" stopIfTrue="1" operator="notBetween">
      <formula>-1000</formula>
      <formula>1000</formula>
    </cfRule>
  </conditionalFormatting>
  <conditionalFormatting sqref="R140 R137:R138">
    <cfRule type="cellIs" dxfId="64" priority="69" stopIfTrue="1" operator="notBetween">
      <formula>-1000</formula>
      <formula>1000</formula>
    </cfRule>
  </conditionalFormatting>
  <conditionalFormatting sqref="R139">
    <cfRule type="cellIs" dxfId="63" priority="68" stopIfTrue="1" operator="notBetween">
      <formula>-1000</formula>
      <formula>1000</formula>
    </cfRule>
  </conditionalFormatting>
  <conditionalFormatting sqref="R150">
    <cfRule type="cellIs" dxfId="62" priority="66" stopIfTrue="1" operator="greaterThanOrEqual">
      <formula>500</formula>
    </cfRule>
    <cfRule type="cellIs" dxfId="61" priority="67" stopIfTrue="1" operator="lessThanOrEqual">
      <formula>-500</formula>
    </cfRule>
  </conditionalFormatting>
  <conditionalFormatting sqref="R153">
    <cfRule type="cellIs" dxfId="60" priority="64" stopIfTrue="1" operator="greaterThanOrEqual">
      <formula>500</formula>
    </cfRule>
    <cfRule type="cellIs" dxfId="59" priority="65" stopIfTrue="1" operator="lessThanOrEqual">
      <formula>-500</formula>
    </cfRule>
  </conditionalFormatting>
  <conditionalFormatting sqref="R155">
    <cfRule type="cellIs" dxfId="58" priority="62" stopIfTrue="1" operator="greaterThanOrEqual">
      <formula>500</formula>
    </cfRule>
    <cfRule type="cellIs" dxfId="57" priority="63" stopIfTrue="1" operator="lessThanOrEqual">
      <formula>-500</formula>
    </cfRule>
  </conditionalFormatting>
  <conditionalFormatting sqref="R157">
    <cfRule type="cellIs" dxfId="56" priority="60" stopIfTrue="1" operator="greaterThanOrEqual">
      <formula>500</formula>
    </cfRule>
    <cfRule type="cellIs" dxfId="55" priority="61" stopIfTrue="1" operator="lessThanOrEqual">
      <formula>-500</formula>
    </cfRule>
  </conditionalFormatting>
  <conditionalFormatting sqref="R159">
    <cfRule type="cellIs" dxfId="54" priority="58" stopIfTrue="1" operator="greaterThanOrEqual">
      <formula>500</formula>
    </cfRule>
    <cfRule type="cellIs" dxfId="53" priority="59" stopIfTrue="1" operator="lessThanOrEqual">
      <formula>-500</formula>
    </cfRule>
  </conditionalFormatting>
  <conditionalFormatting sqref="R161">
    <cfRule type="cellIs" dxfId="52" priority="56" stopIfTrue="1" operator="greaterThanOrEqual">
      <formula>500</formula>
    </cfRule>
    <cfRule type="cellIs" dxfId="51" priority="57" stopIfTrue="1" operator="lessThanOrEqual">
      <formula>-500</formula>
    </cfRule>
  </conditionalFormatting>
  <conditionalFormatting sqref="R163">
    <cfRule type="cellIs" dxfId="50" priority="54" stopIfTrue="1" operator="greaterThanOrEqual">
      <formula>500</formula>
    </cfRule>
    <cfRule type="cellIs" dxfId="49" priority="55" stopIfTrue="1" operator="lessThanOrEqual">
      <formula>-500</formula>
    </cfRule>
  </conditionalFormatting>
  <conditionalFormatting sqref="R144 R141:R142">
    <cfRule type="cellIs" dxfId="48" priority="53" stopIfTrue="1" operator="notBetween">
      <formula>-1000</formula>
      <formula>1000</formula>
    </cfRule>
  </conditionalFormatting>
  <conditionalFormatting sqref="R143">
    <cfRule type="cellIs" dxfId="47" priority="52" stopIfTrue="1" operator="notBetween">
      <formula>-1000</formula>
      <formula>1000</formula>
    </cfRule>
  </conditionalFormatting>
  <conditionalFormatting sqref="R148 R145:R146">
    <cfRule type="cellIs" dxfId="46" priority="51" stopIfTrue="1" operator="notBetween">
      <formula>-1000</formula>
      <formula>1000</formula>
    </cfRule>
  </conditionalFormatting>
  <conditionalFormatting sqref="R147">
    <cfRule type="cellIs" dxfId="45" priority="50" stopIfTrue="1" operator="notBetween">
      <formula>-1000</formula>
      <formula>1000</formula>
    </cfRule>
  </conditionalFormatting>
  <conditionalFormatting sqref="R165">
    <cfRule type="cellIs" dxfId="44" priority="49" stopIfTrue="1" operator="notBetween">
      <formula>-1000</formula>
      <formula>1000</formula>
    </cfRule>
  </conditionalFormatting>
  <conditionalFormatting sqref="R113">
    <cfRule type="cellIs" dxfId="43" priority="48" stopIfTrue="1" operator="notBetween">
      <formula>-1000</formula>
      <formula>1000</formula>
    </cfRule>
  </conditionalFormatting>
  <conditionalFormatting sqref="R248">
    <cfRule type="cellIs" dxfId="42" priority="44" stopIfTrue="1" operator="greaterThanOrEqual">
      <formula>500</formula>
    </cfRule>
    <cfRule type="cellIs" dxfId="41" priority="45" stopIfTrue="1" operator="lessThanOrEqual">
      <formula>-500</formula>
    </cfRule>
  </conditionalFormatting>
  <conditionalFormatting sqref="R250">
    <cfRule type="cellIs" dxfId="40" priority="40" stopIfTrue="1" operator="greaterThanOrEqual">
      <formula>500</formula>
    </cfRule>
    <cfRule type="cellIs" dxfId="39" priority="41" stopIfTrue="1" operator="lessThanOrEqual">
      <formula>-500</formula>
    </cfRule>
  </conditionalFormatting>
  <conditionalFormatting sqref="R252">
    <cfRule type="cellIs" dxfId="38" priority="36" stopIfTrue="1" operator="greaterThanOrEqual">
      <formula>500</formula>
    </cfRule>
    <cfRule type="cellIs" dxfId="37" priority="37" stopIfTrue="1" operator="lessThanOrEqual">
      <formula>-500</formula>
    </cfRule>
  </conditionalFormatting>
  <conditionalFormatting sqref="R254 R256:R258">
    <cfRule type="cellIs" dxfId="36" priority="32" stopIfTrue="1" operator="greaterThanOrEqual">
      <formula>500</formula>
    </cfRule>
    <cfRule type="cellIs" dxfId="35" priority="33" stopIfTrue="1" operator="lessThanOrEqual">
      <formula>-500</formula>
    </cfRule>
  </conditionalFormatting>
  <conditionalFormatting sqref="R75">
    <cfRule type="cellIs" dxfId="34" priority="30" stopIfTrue="1" operator="greaterThanOrEqual">
      <formula>500</formula>
    </cfRule>
    <cfRule type="cellIs" dxfId="33" priority="31" stopIfTrue="1" operator="lessThanOrEqual">
      <formula>-500</formula>
    </cfRule>
  </conditionalFormatting>
  <conditionalFormatting sqref="R81">
    <cfRule type="cellIs" dxfId="32" priority="29" stopIfTrue="1" operator="notBetween">
      <formula>-1000</formula>
      <formula>1000</formula>
    </cfRule>
  </conditionalFormatting>
  <conditionalFormatting sqref="R76:R80">
    <cfRule type="cellIs" dxfId="31" priority="28" stopIfTrue="1" operator="notBetween">
      <formula>-1000</formula>
      <formula>1000</formula>
    </cfRule>
  </conditionalFormatting>
  <conditionalFormatting sqref="R327:R328 R292:R293 R295:R296 R298 R300 R302 R304 R306 R308 R310:R325">
    <cfRule type="cellIs" dxfId="30" priority="26" stopIfTrue="1" operator="greaterThanOrEqual">
      <formula>500</formula>
    </cfRule>
    <cfRule type="cellIs" dxfId="29" priority="27" stopIfTrue="1" operator="lessThanOrEqual">
      <formula>-500</formula>
    </cfRule>
  </conditionalFormatting>
  <conditionalFormatting sqref="R294">
    <cfRule type="cellIs" dxfId="28" priority="24" stopIfTrue="1" operator="greaterThanOrEqual">
      <formula>500</formula>
    </cfRule>
    <cfRule type="cellIs" dxfId="27" priority="25" stopIfTrue="1" operator="lessThanOrEqual">
      <formula>-500</formula>
    </cfRule>
  </conditionalFormatting>
  <conditionalFormatting sqref="R297">
    <cfRule type="cellIs" dxfId="26" priority="22" stopIfTrue="1" operator="greaterThanOrEqual">
      <formula>500</formula>
    </cfRule>
    <cfRule type="cellIs" dxfId="25" priority="23" stopIfTrue="1" operator="lessThanOrEqual">
      <formula>-500</formula>
    </cfRule>
  </conditionalFormatting>
  <conditionalFormatting sqref="R299">
    <cfRule type="cellIs" dxfId="24" priority="20" stopIfTrue="1" operator="greaterThanOrEqual">
      <formula>500</formula>
    </cfRule>
    <cfRule type="cellIs" dxfId="23" priority="21" stopIfTrue="1" operator="lessThanOrEqual">
      <formula>-500</formula>
    </cfRule>
  </conditionalFormatting>
  <conditionalFormatting sqref="R301">
    <cfRule type="cellIs" dxfId="22" priority="18" stopIfTrue="1" operator="greaterThanOrEqual">
      <formula>500</formula>
    </cfRule>
    <cfRule type="cellIs" dxfId="21" priority="19" stopIfTrue="1" operator="lessThanOrEqual">
      <formula>-500</formula>
    </cfRule>
  </conditionalFormatting>
  <conditionalFormatting sqref="R303">
    <cfRule type="cellIs" dxfId="20" priority="16" stopIfTrue="1" operator="greaterThanOrEqual">
      <formula>500</formula>
    </cfRule>
    <cfRule type="cellIs" dxfId="19" priority="17" stopIfTrue="1" operator="lessThanOrEqual">
      <formula>-500</formula>
    </cfRule>
  </conditionalFormatting>
  <conditionalFormatting sqref="R305">
    <cfRule type="cellIs" dxfId="18" priority="14" stopIfTrue="1" operator="greaterThanOrEqual">
      <formula>500</formula>
    </cfRule>
    <cfRule type="cellIs" dxfId="17" priority="15" stopIfTrue="1" operator="lessThanOrEqual">
      <formula>-500</formula>
    </cfRule>
  </conditionalFormatting>
  <conditionalFormatting sqref="R307">
    <cfRule type="cellIs" dxfId="16" priority="12" stopIfTrue="1" operator="greaterThanOrEqual">
      <formula>500</formula>
    </cfRule>
    <cfRule type="cellIs" dxfId="15" priority="13" stopIfTrue="1" operator="lessThanOrEqual">
      <formula>-500</formula>
    </cfRule>
  </conditionalFormatting>
  <conditionalFormatting sqref="R309">
    <cfRule type="cellIs" dxfId="14" priority="10" stopIfTrue="1" operator="greaterThanOrEqual">
      <formula>500</formula>
    </cfRule>
    <cfRule type="cellIs" dxfId="13" priority="11" stopIfTrue="1" operator="lessThanOrEqual">
      <formula>-500</formula>
    </cfRule>
  </conditionalFormatting>
  <conditionalFormatting sqref="R288:R290 R271:R286">
    <cfRule type="cellIs" dxfId="12" priority="8" stopIfTrue="1" operator="greaterThanOrEqual">
      <formula>500</formula>
    </cfRule>
    <cfRule type="cellIs" dxfId="11" priority="9" stopIfTrue="1" operator="lessThanOrEqual">
      <formula>-500</formula>
    </cfRule>
  </conditionalFormatting>
  <conditionalFormatting sqref="R232:R234">
    <cfRule type="cellIs" dxfId="10" priority="6" stopIfTrue="1" operator="greaterThanOrEqual">
      <formula>500</formula>
    </cfRule>
    <cfRule type="cellIs" dxfId="9" priority="7" stopIfTrue="1" operator="lessThanOrEqual">
      <formula>-500</formula>
    </cfRule>
  </conditionalFormatting>
  <conditionalFormatting sqref="R229:R230">
    <cfRule type="cellIs" dxfId="8" priority="4" stopIfTrue="1" operator="greaterThanOrEqual">
      <formula>500</formula>
    </cfRule>
    <cfRule type="cellIs" dxfId="7" priority="5" stopIfTrue="1" operator="lessThanOrEqual">
      <formula>-500</formula>
    </cfRule>
  </conditionalFormatting>
  <conditionalFormatting sqref="R129:R130">
    <cfRule type="cellIs" dxfId="6" priority="3" stopIfTrue="1" operator="notBetween">
      <formula>-1000</formula>
      <formula>1000</formula>
    </cfRule>
  </conditionalFormatting>
  <conditionalFormatting sqref="R131">
    <cfRule type="cellIs" dxfId="5" priority="2" stopIfTrue="1" operator="notBetween">
      <formula>-1000</formula>
      <formula>1000</formula>
    </cfRule>
  </conditionalFormatting>
  <conditionalFormatting sqref="R67:R68">
    <cfRule type="cellIs" dxfId="4" priority="1" stopIfTrue="1" operator="notBetween">
      <formula>-1000</formula>
      <formula>1000</formula>
    </cfRule>
  </conditionalFormatting>
  <dataValidations count="3">
    <dataValidation type="list" allowBlank="1" showInputMessage="1" showErrorMessage="1" sqref="D5">
      <formula1>"W,WO"</formula1>
    </dataValidation>
    <dataValidation type="list" allowBlank="1" showInputMessage="1" showErrorMessage="1" sqref="D2">
      <formula1>"Actual,Budget"</formula1>
    </dataValidation>
    <dataValidation type="list" allowBlank="1" showInputMessage="1" showErrorMessage="1" sqref="F3">
      <formula1>"00,01,02,03,04,05,06,07,08,09,10,11,12"</formula1>
    </dataValidation>
  </dataValidations>
  <printOptions gridLines="1"/>
  <pageMargins left="0.25" right="0.25" top="0.33" bottom="0.45" header="0.17" footer="0.27"/>
  <pageSetup scale="80" fitToHeight="4" orientation="portrait" r:id="rId1"/>
  <headerFooter alignWithMargins="0">
    <oddFooter>&amp;L&amp;D &amp;T&amp;RPage &amp;P /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pageSetUpPr fitToPage="1"/>
  </sheetPr>
  <dimension ref="A1:AJ244"/>
  <sheetViews>
    <sheetView zoomScale="81" zoomScaleNormal="81" workbookViewId="0">
      <pane ySplit="6" topLeftCell="A7" activePane="bottomLeft" state="frozen"/>
      <selection pane="bottomLeft" activeCell="R4" sqref="R4"/>
    </sheetView>
  </sheetViews>
  <sheetFormatPr defaultRowHeight="16.5"/>
  <cols>
    <col min="1" max="1" width="2" style="48" customWidth="1"/>
    <col min="2" max="2" width="4.5703125" style="48" customWidth="1"/>
    <col min="3" max="3" width="4.42578125" style="48" customWidth="1"/>
    <col min="4" max="4" width="7.42578125" style="48" customWidth="1"/>
    <col min="5" max="5" width="5.5703125" style="48" customWidth="1"/>
    <col min="6" max="6" width="6.140625" style="48" customWidth="1"/>
    <col min="7" max="7" width="4.5703125" style="45" customWidth="1"/>
    <col min="8" max="8" width="17.85546875" style="48" customWidth="1"/>
    <col min="9" max="9" width="4.28515625" style="48" customWidth="1"/>
    <col min="10" max="10" width="4.140625" style="48" customWidth="1"/>
    <col min="11" max="11" width="8" style="48" customWidth="1"/>
    <col min="12" max="12" width="6.28515625" style="48" bestFit="1" customWidth="1"/>
    <col min="13" max="13" width="6.5703125" style="48" customWidth="1"/>
    <col min="14" max="14" width="5.7109375" style="45" customWidth="1"/>
    <col min="15" max="15" width="22.5703125" style="45" customWidth="1"/>
    <col min="16" max="16" width="0.85546875" style="71" customWidth="1"/>
    <col min="17" max="17" width="14.85546875" style="48" bestFit="1" customWidth="1"/>
    <col min="18" max="18" width="13.5703125" style="48" customWidth="1"/>
    <col min="19" max="19" width="14.28515625" style="48" customWidth="1"/>
    <col min="20" max="20" width="1.28515625" style="71" customWidth="1"/>
    <col min="21" max="21" width="16" style="48" bestFit="1" customWidth="1"/>
    <col min="22" max="22" width="17" style="48" customWidth="1"/>
    <col min="23" max="23" width="17.7109375" style="48" customWidth="1"/>
    <col min="24" max="24" width="4.7109375" style="48" customWidth="1"/>
    <col min="25" max="25" width="11.140625" style="48" customWidth="1"/>
    <col min="26" max="26" width="12.85546875" style="48" customWidth="1"/>
    <col min="27" max="28" width="7.140625" style="119" customWidth="1"/>
    <col min="29" max="29" width="28.5703125" style="136" customWidth="1"/>
    <col min="30" max="16384" width="9.140625" style="48"/>
  </cols>
  <sheetData>
    <row r="1" spans="1:29">
      <c r="A1" s="118" t="s">
        <v>42</v>
      </c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8"/>
      <c r="O1" s="118"/>
      <c r="P1" s="118"/>
      <c r="Q1" s="118"/>
      <c r="R1" s="118"/>
      <c r="S1" s="118"/>
      <c r="T1" s="118"/>
      <c r="U1" s="118"/>
      <c r="V1" s="118"/>
      <c r="W1" s="118"/>
      <c r="AC1" s="120"/>
    </row>
    <row r="2" spans="1:29" s="121" customFormat="1">
      <c r="C2" s="62" t="s">
        <v>0</v>
      </c>
      <c r="D2" s="48" t="str">
        <f>+BalSheet!D2</f>
        <v>Actual</v>
      </c>
      <c r="G2" s="54"/>
      <c r="J2" s="122"/>
      <c r="L2" s="123"/>
      <c r="M2" s="123"/>
      <c r="N2" s="124"/>
      <c r="O2" s="124"/>
      <c r="P2" s="125"/>
      <c r="Q2" s="126"/>
      <c r="R2" s="126"/>
      <c r="S2" s="126"/>
      <c r="T2" s="125"/>
      <c r="U2" s="122"/>
      <c r="AA2" s="119"/>
      <c r="AB2" s="119"/>
      <c r="AC2" s="127"/>
    </row>
    <row r="3" spans="1:29">
      <c r="C3" s="62" t="s">
        <v>2</v>
      </c>
      <c r="D3" s="128" t="str">
        <f>+BalSheet!D3</f>
        <v>2014</v>
      </c>
      <c r="P3" s="61"/>
      <c r="Q3" s="81"/>
      <c r="R3" s="129" t="s">
        <v>388</v>
      </c>
      <c r="S3" s="81"/>
      <c r="T3" s="61"/>
      <c r="X3" s="48" t="s">
        <v>103</v>
      </c>
      <c r="AC3" s="130"/>
    </row>
    <row r="4" spans="1:29">
      <c r="C4" s="122"/>
      <c r="D4" s="123"/>
      <c r="P4" s="61"/>
      <c r="Q4" s="81"/>
      <c r="R4" s="81"/>
      <c r="S4" s="81"/>
      <c r="T4" s="61"/>
      <c r="X4" s="48" t="s">
        <v>38</v>
      </c>
      <c r="AC4" s="131"/>
    </row>
    <row r="5" spans="1:29">
      <c r="B5" s="132" t="s">
        <v>43</v>
      </c>
      <c r="C5" s="132"/>
      <c r="D5" s="132"/>
      <c r="E5" s="47"/>
      <c r="F5" s="47"/>
      <c r="G5" s="79"/>
      <c r="H5" s="133"/>
      <c r="I5" s="132" t="s">
        <v>44</v>
      </c>
      <c r="J5" s="132"/>
      <c r="K5" s="132"/>
      <c r="L5" s="47"/>
      <c r="M5" s="47"/>
      <c r="N5" s="79"/>
      <c r="O5" s="79"/>
      <c r="P5" s="134"/>
      <c r="Q5" s="135" t="s">
        <v>40</v>
      </c>
      <c r="R5" s="135"/>
      <c r="S5" s="135"/>
      <c r="U5" s="135" t="s">
        <v>39</v>
      </c>
      <c r="V5" s="135"/>
      <c r="W5" s="135"/>
      <c r="X5" s="48" t="s">
        <v>100</v>
      </c>
      <c r="Y5" s="65" t="s">
        <v>268</v>
      </c>
      <c r="Z5" s="65" t="s">
        <v>301</v>
      </c>
    </row>
    <row r="6" spans="1:29" s="65" customFormat="1" ht="13.5">
      <c r="B6" s="66" t="s">
        <v>85</v>
      </c>
      <c r="C6" s="66" t="s">
        <v>87</v>
      </c>
      <c r="D6" s="66" t="s">
        <v>86</v>
      </c>
      <c r="E6" s="137" t="s">
        <v>92</v>
      </c>
      <c r="F6" s="137" t="s">
        <v>93</v>
      </c>
      <c r="G6" s="137" t="s">
        <v>69</v>
      </c>
      <c r="H6" s="65" t="s">
        <v>271</v>
      </c>
      <c r="I6" s="66" t="s">
        <v>85</v>
      </c>
      <c r="J6" s="66" t="s">
        <v>87</v>
      </c>
      <c r="K6" s="66" t="s">
        <v>86</v>
      </c>
      <c r="L6" s="137" t="s">
        <v>92</v>
      </c>
      <c r="M6" s="137" t="s">
        <v>93</v>
      </c>
      <c r="N6" s="137" t="s">
        <v>69</v>
      </c>
      <c r="O6" s="65" t="s">
        <v>271</v>
      </c>
      <c r="P6" s="138"/>
      <c r="Q6" s="66" t="s">
        <v>88</v>
      </c>
      <c r="R6" s="66" t="s">
        <v>89</v>
      </c>
      <c r="S6" s="66" t="s">
        <v>1</v>
      </c>
      <c r="T6" s="139"/>
      <c r="U6" s="66" t="s">
        <v>88</v>
      </c>
      <c r="V6" s="66" t="s">
        <v>89</v>
      </c>
      <c r="W6" s="66" t="s">
        <v>1</v>
      </c>
      <c r="X6" s="65" t="s">
        <v>99</v>
      </c>
      <c r="Y6" s="65" t="s">
        <v>267</v>
      </c>
      <c r="Z6" s="65" t="s">
        <v>270</v>
      </c>
      <c r="AA6" s="69" t="s">
        <v>281</v>
      </c>
      <c r="AB6" s="69" t="s">
        <v>75</v>
      </c>
      <c r="AC6" s="69" t="s">
        <v>141</v>
      </c>
    </row>
    <row r="7" spans="1:29">
      <c r="A7" s="140" t="s">
        <v>136</v>
      </c>
      <c r="P7" s="138"/>
    </row>
    <row r="8" spans="1:29">
      <c r="A8" s="72" t="s">
        <v>382</v>
      </c>
      <c r="P8" s="138"/>
    </row>
    <row r="9" spans="1:29">
      <c r="B9" s="48" t="s">
        <v>51</v>
      </c>
      <c r="C9" s="48">
        <v>100</v>
      </c>
      <c r="D9" s="48">
        <v>732500</v>
      </c>
      <c r="E9" s="48" t="s">
        <v>83</v>
      </c>
      <c r="F9" s="48" t="s">
        <v>84</v>
      </c>
      <c r="G9" s="45">
        <v>400</v>
      </c>
      <c r="I9" s="81" t="s">
        <v>7</v>
      </c>
      <c r="J9" s="81">
        <f>+G9</f>
        <v>400</v>
      </c>
      <c r="K9" s="81">
        <v>754050</v>
      </c>
      <c r="L9" s="48" t="s">
        <v>83</v>
      </c>
      <c r="M9" s="48" t="s">
        <v>84</v>
      </c>
      <c r="N9" s="83">
        <v>100</v>
      </c>
      <c r="O9" s="83"/>
      <c r="P9" s="138"/>
      <c r="Q9" s="75">
        <v>0</v>
      </c>
      <c r="R9" s="75">
        <v>0</v>
      </c>
      <c r="S9" s="76">
        <f ca="1">+R9+Q9</f>
        <v>0</v>
      </c>
      <c r="U9" s="75">
        <v>0</v>
      </c>
      <c r="V9" s="75">
        <v>0</v>
      </c>
      <c r="W9" s="76">
        <f ca="1">+V9+U9</f>
        <v>0</v>
      </c>
      <c r="X9" s="141">
        <v>0</v>
      </c>
      <c r="Y9" s="141">
        <v>1E-3</v>
      </c>
      <c r="Z9" s="141" t="b">
        <f ca="1">IF(OR(U9&lt;&gt;0,V9&lt;&gt;0),ABS(((+U9*(1+X9))+V9)/IF(U9&lt;&gt;0,U9,1)),0)&lt;=Y9</f>
        <v>1</v>
      </c>
    </row>
    <row r="10" spans="1:29">
      <c r="B10" s="48" t="s">
        <v>51</v>
      </c>
      <c r="C10" s="48">
        <v>100</v>
      </c>
      <c r="D10" s="48">
        <v>732500</v>
      </c>
      <c r="E10" s="48" t="s">
        <v>83</v>
      </c>
      <c r="F10" s="48" t="s">
        <v>84</v>
      </c>
      <c r="G10" s="45">
        <v>700</v>
      </c>
      <c r="I10" s="81" t="s">
        <v>101</v>
      </c>
      <c r="J10" s="81">
        <f>+G10</f>
        <v>700</v>
      </c>
      <c r="K10" s="81">
        <v>754050</v>
      </c>
      <c r="L10" s="48" t="s">
        <v>83</v>
      </c>
      <c r="M10" s="48" t="s">
        <v>84</v>
      </c>
      <c r="N10" s="83">
        <v>100</v>
      </c>
      <c r="O10" s="83"/>
      <c r="P10" s="138"/>
      <c r="Q10" s="75">
        <v>-152385.1</v>
      </c>
      <c r="R10" s="75">
        <v>152385.1</v>
      </c>
      <c r="S10" s="76">
        <f ca="1">+R10+Q10</f>
        <v>0</v>
      </c>
      <c r="U10" s="75">
        <v>-646616.85</v>
      </c>
      <c r="V10" s="75">
        <v>646616.85</v>
      </c>
      <c r="W10" s="76">
        <f ca="1">+V10+U10</f>
        <v>0</v>
      </c>
      <c r="X10" s="141">
        <v>0</v>
      </c>
      <c r="Y10" s="141">
        <v>1E-3</v>
      </c>
      <c r="Z10" s="141" t="b">
        <f ca="1">IF(OR(U10&lt;&gt;0,V10&lt;&gt;0),ABS(((+U10*(1+X10))+V10)/IF(U10&lt;&gt;0,U10,1)),0)&lt;=Y10</f>
        <v>1</v>
      </c>
    </row>
    <row r="11" spans="1:29">
      <c r="D11" s="48" t="s">
        <v>137</v>
      </c>
      <c r="P11" s="138"/>
      <c r="Q11" s="77">
        <f ca="1">SUM(Q8:Q10)</f>
        <v>-152385.1</v>
      </c>
      <c r="R11" s="77">
        <f ca="1">SUM(R8:R10)</f>
        <v>152385.1</v>
      </c>
      <c r="S11" s="77">
        <f ca="1">SUM(S8:S10)</f>
        <v>0</v>
      </c>
      <c r="U11" s="77">
        <f ca="1">SUM(U8:U10)</f>
        <v>-646616.85</v>
      </c>
      <c r="V11" s="77">
        <f ca="1">SUM(V8:V10)</f>
        <v>646616.85</v>
      </c>
      <c r="W11" s="77">
        <f ca="1">SUM(W8:W10)</f>
        <v>0</v>
      </c>
    </row>
    <row r="12" spans="1:29">
      <c r="A12" s="72" t="s">
        <v>33</v>
      </c>
      <c r="P12" s="138"/>
    </row>
    <row r="13" spans="1:29">
      <c r="B13" s="48" t="s">
        <v>9</v>
      </c>
      <c r="C13" s="48">
        <v>500</v>
      </c>
      <c r="D13" s="48">
        <v>732500</v>
      </c>
      <c r="E13" s="48" t="s">
        <v>83</v>
      </c>
      <c r="F13" s="48" t="s">
        <v>84</v>
      </c>
      <c r="G13" s="45">
        <v>400</v>
      </c>
      <c r="I13" s="81" t="s">
        <v>7</v>
      </c>
      <c r="J13" s="81">
        <f>+G13</f>
        <v>400</v>
      </c>
      <c r="K13" s="81">
        <v>754050</v>
      </c>
      <c r="L13" s="48" t="s">
        <v>83</v>
      </c>
      <c r="M13" s="48" t="s">
        <v>84</v>
      </c>
      <c r="N13" s="83">
        <f>+C13</f>
        <v>500</v>
      </c>
      <c r="O13" s="83"/>
      <c r="P13" s="138"/>
      <c r="Q13" s="75">
        <v>0</v>
      </c>
      <c r="R13" s="75">
        <v>0</v>
      </c>
      <c r="S13" s="76">
        <f ca="1">+R13+Q13</f>
        <v>0</v>
      </c>
      <c r="U13" s="75">
        <v>0</v>
      </c>
      <c r="V13" s="75">
        <v>0</v>
      </c>
      <c r="W13" s="76">
        <f ca="1">+V13+U13</f>
        <v>0</v>
      </c>
      <c r="X13" s="141">
        <v>0</v>
      </c>
      <c r="Y13" s="141">
        <v>1E-3</v>
      </c>
      <c r="Z13" s="141" t="b">
        <f ca="1">IF(OR(U13&lt;&gt;0,V13&lt;&gt;0),ABS(((+U13*(1+X13))+V13)/IF(U13&lt;&gt;0,U13,1)),0)&lt;=Y13</f>
        <v>1</v>
      </c>
    </row>
    <row r="14" spans="1:29">
      <c r="B14" s="48" t="s">
        <v>9</v>
      </c>
      <c r="C14" s="48">
        <v>500</v>
      </c>
      <c r="D14" s="48">
        <v>732500</v>
      </c>
      <c r="E14" s="48" t="s">
        <v>83</v>
      </c>
      <c r="F14" s="48" t="s">
        <v>84</v>
      </c>
      <c r="G14" s="45">
        <v>700</v>
      </c>
      <c r="I14" s="81" t="s">
        <v>101</v>
      </c>
      <c r="J14" s="81">
        <f>+G14</f>
        <v>700</v>
      </c>
      <c r="K14" s="81">
        <v>754050</v>
      </c>
      <c r="L14" s="48" t="s">
        <v>83</v>
      </c>
      <c r="M14" s="48" t="s">
        <v>84</v>
      </c>
      <c r="N14" s="83">
        <f>+C14</f>
        <v>500</v>
      </c>
      <c r="O14" s="83"/>
      <c r="P14" s="138"/>
      <c r="Q14" s="75">
        <v>-1914</v>
      </c>
      <c r="R14" s="75">
        <v>1913.35</v>
      </c>
      <c r="S14" s="76">
        <f ca="1">+R14+Q14</f>
        <v>-0.65000000000009095</v>
      </c>
      <c r="U14" s="75">
        <v>-9876</v>
      </c>
      <c r="V14" s="75">
        <v>9875.3499999999985</v>
      </c>
      <c r="W14" s="76">
        <f ca="1">+V14+U14</f>
        <v>-0.65000000000145519</v>
      </c>
      <c r="X14" s="141">
        <v>0</v>
      </c>
      <c r="Y14" s="141">
        <v>1E-3</v>
      </c>
      <c r="Z14" s="141" t="b">
        <f ca="1">IF(OR(U14&lt;&gt;0,V14&lt;&gt;0),ABS(((+U14*(1+X14))+V14)/IF(U14&lt;&gt;0,U14,1)),0)&lt;=Y14</f>
        <v>1</v>
      </c>
    </row>
    <row r="15" spans="1:29">
      <c r="D15" s="48" t="s">
        <v>137</v>
      </c>
      <c r="P15" s="138"/>
      <c r="Q15" s="77">
        <f ca="1">SUM(Q12:Q14)</f>
        <v>-1914</v>
      </c>
      <c r="R15" s="77">
        <f ca="1">SUM(R12:R14)</f>
        <v>1913.35</v>
      </c>
      <c r="S15" s="77">
        <f ca="1">SUM(S12:S14)</f>
        <v>-0.65000000000009095</v>
      </c>
      <c r="U15" s="77">
        <f ca="1">SUM(U12:U14)</f>
        <v>-9876</v>
      </c>
      <c r="V15" s="77">
        <f ca="1">SUM(V12:V14)</f>
        <v>9875.3499999999985</v>
      </c>
      <c r="W15" s="77">
        <f ca="1">SUM(W12:W14)</f>
        <v>-0.65000000000145519</v>
      </c>
    </row>
    <row r="16" spans="1:29">
      <c r="A16" s="72" t="s">
        <v>54</v>
      </c>
      <c r="P16" s="138"/>
    </row>
    <row r="17" spans="1:29">
      <c r="B17" s="48" t="s">
        <v>11</v>
      </c>
      <c r="C17" s="48">
        <v>600</v>
      </c>
      <c r="D17" s="48">
        <v>732500</v>
      </c>
      <c r="E17" s="48" t="s">
        <v>83</v>
      </c>
      <c r="F17" s="48" t="s">
        <v>84</v>
      </c>
      <c r="G17" s="45">
        <v>400</v>
      </c>
      <c r="I17" s="81" t="s">
        <v>7</v>
      </c>
      <c r="J17" s="81">
        <f>+G17</f>
        <v>400</v>
      </c>
      <c r="K17" s="81">
        <v>754050</v>
      </c>
      <c r="L17" s="48" t="s">
        <v>83</v>
      </c>
      <c r="M17" s="48" t="s">
        <v>84</v>
      </c>
      <c r="N17" s="83">
        <f>+C17</f>
        <v>600</v>
      </c>
      <c r="O17" s="83"/>
      <c r="P17" s="138"/>
      <c r="Q17" s="75">
        <v>0</v>
      </c>
      <c r="R17" s="75">
        <v>0</v>
      </c>
      <c r="S17" s="76">
        <f ca="1">+R17+Q17</f>
        <v>0</v>
      </c>
      <c r="U17" s="75">
        <v>0</v>
      </c>
      <c r="V17" s="75">
        <v>0</v>
      </c>
      <c r="W17" s="76">
        <f ca="1">+V17+U17</f>
        <v>0</v>
      </c>
      <c r="X17" s="141">
        <v>0</v>
      </c>
      <c r="Y17" s="141">
        <v>1E-3</v>
      </c>
      <c r="Z17" s="141" t="b">
        <f ca="1">IF(OR(U17&lt;&gt;0,V17&lt;&gt;0),ABS(((+U17*(1+X17))+V17)/IF(U17&lt;&gt;0,U17,1)),0)&lt;=Y17</f>
        <v>1</v>
      </c>
    </row>
    <row r="18" spans="1:29">
      <c r="B18" s="48" t="s">
        <v>11</v>
      </c>
      <c r="C18" s="48">
        <v>600</v>
      </c>
      <c r="D18" s="48">
        <v>732500</v>
      </c>
      <c r="E18" s="48" t="s">
        <v>83</v>
      </c>
      <c r="F18" s="48" t="s">
        <v>84</v>
      </c>
      <c r="G18" s="45">
        <v>700</v>
      </c>
      <c r="I18" s="81" t="s">
        <v>101</v>
      </c>
      <c r="J18" s="81">
        <f>+G18</f>
        <v>700</v>
      </c>
      <c r="K18" s="81">
        <v>754050</v>
      </c>
      <c r="L18" s="48" t="s">
        <v>83</v>
      </c>
      <c r="M18" s="48" t="s">
        <v>84</v>
      </c>
      <c r="N18" s="83">
        <f>+C18</f>
        <v>600</v>
      </c>
      <c r="O18" s="83"/>
      <c r="P18" s="138"/>
      <c r="Q18" s="75">
        <v>-2974.77</v>
      </c>
      <c r="R18" s="75">
        <v>2974.77</v>
      </c>
      <c r="S18" s="76">
        <f ca="1">+R18+Q18</f>
        <v>0</v>
      </c>
      <c r="U18" s="75">
        <v>-15353.659999999998</v>
      </c>
      <c r="V18" s="75">
        <v>15353.66</v>
      </c>
      <c r="W18" s="76">
        <f ca="1">+V18+U18</f>
        <v>0</v>
      </c>
      <c r="X18" s="141">
        <v>0</v>
      </c>
      <c r="Y18" s="141">
        <v>1E-3</v>
      </c>
      <c r="Z18" s="141" t="b">
        <f ca="1">IF(OR(U18&lt;&gt;0,V18&lt;&gt;0),ABS(((+U18*(1+X18))+V18)/IF(U18&lt;&gt;0,U18,1)),0)&lt;=Y18</f>
        <v>1</v>
      </c>
      <c r="AC18" s="136" t="s">
        <v>383</v>
      </c>
    </row>
    <row r="19" spans="1:29">
      <c r="D19" s="48" t="s">
        <v>137</v>
      </c>
      <c r="P19" s="138"/>
      <c r="Q19" s="77">
        <f ca="1">SUM(Q16:Q18)</f>
        <v>-2974.77</v>
      </c>
      <c r="R19" s="77">
        <f ca="1">SUM(R16:R18)</f>
        <v>2974.77</v>
      </c>
      <c r="S19" s="77">
        <f ca="1">SUM(S16:S18)</f>
        <v>0</v>
      </c>
      <c r="U19" s="77">
        <f ca="1">SUM(U16:U18)</f>
        <v>-15353.659999999998</v>
      </c>
      <c r="V19" s="77">
        <f ca="1">SUM(V16:V18)</f>
        <v>15353.66</v>
      </c>
      <c r="W19" s="77">
        <f ca="1">SUM(W16:W18)</f>
        <v>0</v>
      </c>
    </row>
    <row r="20" spans="1:29">
      <c r="A20" s="72" t="s">
        <v>34</v>
      </c>
      <c r="P20" s="138"/>
    </row>
    <row r="21" spans="1:29">
      <c r="B21" s="48" t="s">
        <v>6</v>
      </c>
      <c r="C21" s="48">
        <v>800</v>
      </c>
      <c r="D21" s="48">
        <v>732500</v>
      </c>
      <c r="E21" s="48" t="s">
        <v>83</v>
      </c>
      <c r="F21" s="48" t="s">
        <v>84</v>
      </c>
      <c r="G21" s="45">
        <v>400</v>
      </c>
      <c r="I21" s="81" t="s">
        <v>7</v>
      </c>
      <c r="J21" s="81">
        <f>+G21</f>
        <v>400</v>
      </c>
      <c r="K21" s="48">
        <v>754050</v>
      </c>
      <c r="L21" s="48" t="s">
        <v>83</v>
      </c>
      <c r="M21" s="48" t="s">
        <v>84</v>
      </c>
      <c r="N21" s="83">
        <f>+C21</f>
        <v>800</v>
      </c>
      <c r="O21" s="83"/>
      <c r="P21" s="138"/>
      <c r="Q21" s="75">
        <v>0</v>
      </c>
      <c r="R21" s="75">
        <v>0</v>
      </c>
      <c r="S21" s="76">
        <f ca="1">+R21+Q21</f>
        <v>0</v>
      </c>
      <c r="U21" s="75">
        <v>0</v>
      </c>
      <c r="V21" s="75">
        <v>0</v>
      </c>
      <c r="W21" s="76">
        <f ca="1">+V21+U21</f>
        <v>0</v>
      </c>
      <c r="X21" s="141">
        <v>0</v>
      </c>
      <c r="Y21" s="141">
        <v>1E-3</v>
      </c>
      <c r="Z21" s="141" t="b">
        <f ca="1">IF(OR(U21&lt;&gt;0,V21&lt;&gt;0),ABS(((+U21*(1+X21))+V21)/IF(U21&lt;&gt;0,U21,1)),0)&lt;=Y21</f>
        <v>1</v>
      </c>
    </row>
    <row r="22" spans="1:29">
      <c r="B22" s="48" t="s">
        <v>6</v>
      </c>
      <c r="C22" s="48">
        <v>800</v>
      </c>
      <c r="D22" s="48">
        <v>732510</v>
      </c>
      <c r="E22" s="48" t="s">
        <v>83</v>
      </c>
      <c r="F22" s="48" t="s">
        <v>84</v>
      </c>
      <c r="G22" s="45">
        <v>700</v>
      </c>
      <c r="I22" s="48" t="s">
        <v>101</v>
      </c>
      <c r="J22" s="81">
        <f>+G22</f>
        <v>700</v>
      </c>
      <c r="K22" s="48">
        <v>754095</v>
      </c>
      <c r="L22" s="48" t="s">
        <v>83</v>
      </c>
      <c r="M22" s="48" t="s">
        <v>84</v>
      </c>
      <c r="N22" s="83">
        <f>+C22</f>
        <v>800</v>
      </c>
      <c r="O22" s="83"/>
      <c r="P22" s="138"/>
      <c r="Q22" s="75">
        <v>0</v>
      </c>
      <c r="R22" s="75">
        <v>0</v>
      </c>
      <c r="S22" s="76">
        <f ca="1">+R22+Q22</f>
        <v>0</v>
      </c>
      <c r="U22" s="75">
        <v>0</v>
      </c>
      <c r="V22" s="75">
        <v>0</v>
      </c>
      <c r="W22" s="76">
        <f ca="1">+V22+U22</f>
        <v>0</v>
      </c>
      <c r="X22" s="141">
        <v>0</v>
      </c>
      <c r="Y22" s="141">
        <v>1E-3</v>
      </c>
      <c r="Z22" s="141" t="b">
        <f ca="1">IF(OR(U22&lt;&gt;0,V22&lt;&gt;0),ABS(((+U22*(1+X22))+V22)/IF(U22&lt;&gt;0,U22,1)),0)&lt;=Y22</f>
        <v>1</v>
      </c>
    </row>
    <row r="23" spans="1:29">
      <c r="D23" s="48" t="s">
        <v>137</v>
      </c>
      <c r="P23" s="138"/>
      <c r="Q23" s="77">
        <f ca="1">SUM(Q21:Q22)</f>
        <v>0</v>
      </c>
      <c r="R23" s="77">
        <f ca="1">SUM(R21:R22)</f>
        <v>0</v>
      </c>
      <c r="S23" s="77">
        <f ca="1">SUM(S21:S22)</f>
        <v>0</v>
      </c>
      <c r="U23" s="77">
        <f ca="1">SUM(U21:U22)</f>
        <v>0</v>
      </c>
      <c r="V23" s="77">
        <f ca="1">SUM(V21:V22)</f>
        <v>0</v>
      </c>
      <c r="W23" s="77">
        <f ca="1">SUM(W21:W22)</f>
        <v>0</v>
      </c>
    </row>
    <row r="24" spans="1:29" s="70" customFormat="1" ht="17.25" thickBot="1">
      <c r="E24" s="79" t="s">
        <v>134</v>
      </c>
      <c r="F24" s="79"/>
      <c r="G24" s="79"/>
      <c r="N24" s="79"/>
      <c r="O24" s="79"/>
      <c r="P24" s="138"/>
      <c r="Q24" s="107">
        <f ca="1">+SUMIF($D$1:$D23,"subtotal",Q$1:Q23)</f>
        <v>-157273.87</v>
      </c>
      <c r="R24" s="107">
        <f ca="1">+SUMIF($D$1:$D23,"subtotal",R$1:R23)</f>
        <v>157273.22</v>
      </c>
      <c r="S24" s="107">
        <f ca="1">+SUMIF($D$1:$D23,"subtotal",S$1:S23)</f>
        <v>-0.65000000000009095</v>
      </c>
      <c r="T24" s="94"/>
      <c r="U24" s="107">
        <f ca="1">+SUMIF($D$1:$D23,"subtotal",U$1:U23)</f>
        <v>-671846.51</v>
      </c>
      <c r="V24" s="107">
        <f ca="1">+SUMIF($D$1:$D23,"subtotal",V$1:V23)</f>
        <v>671845.86</v>
      </c>
      <c r="W24" s="107">
        <f ca="1">+SUMIF($D$1:$D23,"subtotal",W$1:W23)</f>
        <v>-0.65000000000145519</v>
      </c>
      <c r="AA24" s="119"/>
      <c r="AB24" s="119"/>
      <c r="AC24" s="136"/>
    </row>
    <row r="25" spans="1:29" ht="17.25" thickTop="1">
      <c r="A25" s="70"/>
      <c r="P25" s="138"/>
    </row>
    <row r="26" spans="1:29">
      <c r="A26" s="140" t="s">
        <v>216</v>
      </c>
      <c r="P26" s="138"/>
    </row>
    <row r="27" spans="1:29">
      <c r="A27" s="72" t="s">
        <v>27</v>
      </c>
      <c r="P27" s="138"/>
    </row>
    <row r="28" spans="1:29">
      <c r="B28" s="48" t="s">
        <v>51</v>
      </c>
      <c r="C28" s="48">
        <v>390</v>
      </c>
      <c r="D28" s="48">
        <v>584500</v>
      </c>
      <c r="E28" s="48" t="s">
        <v>83</v>
      </c>
      <c r="F28" s="48" t="s">
        <v>84</v>
      </c>
      <c r="G28" s="45">
        <v>700</v>
      </c>
      <c r="I28" s="48" t="s">
        <v>101</v>
      </c>
      <c r="J28" s="81">
        <v>700</v>
      </c>
      <c r="K28" s="48">
        <v>604050</v>
      </c>
      <c r="L28" s="48" t="s">
        <v>83</v>
      </c>
      <c r="M28" s="48" t="s">
        <v>84</v>
      </c>
      <c r="N28" s="83">
        <v>100</v>
      </c>
      <c r="O28" s="83"/>
      <c r="P28" s="138"/>
      <c r="Q28" s="75">
        <v>-61654.91</v>
      </c>
      <c r="R28" s="75">
        <v>0</v>
      </c>
      <c r="S28" s="76">
        <f ca="1">+R28+Q28</f>
        <v>-61654.91</v>
      </c>
      <c r="U28" s="75">
        <v>-308274.55000000005</v>
      </c>
      <c r="V28" s="75">
        <v>0</v>
      </c>
      <c r="W28" s="76">
        <f ca="1">+V28+U28</f>
        <v>-308274.55000000005</v>
      </c>
      <c r="X28" s="141">
        <v>0</v>
      </c>
      <c r="Y28" s="141">
        <v>1E-3</v>
      </c>
      <c r="Z28" s="141" t="b">
        <f ca="1">IF(OR(U28&lt;&gt;0,V28&lt;&gt;0),ABS(((+U28*(1+X28))+V28)/IF(U28&lt;&gt;0,U28,1)),0)&lt;=Y28</f>
        <v>0</v>
      </c>
    </row>
    <row r="29" spans="1:29">
      <c r="B29" s="48" t="s">
        <v>51</v>
      </c>
      <c r="C29" s="48">
        <v>390</v>
      </c>
      <c r="D29" s="48">
        <v>584500</v>
      </c>
      <c r="E29" s="48" t="s">
        <v>83</v>
      </c>
      <c r="F29" s="48" t="s">
        <v>84</v>
      </c>
      <c r="G29" s="45">
        <v>800</v>
      </c>
      <c r="I29" s="48" t="s">
        <v>6</v>
      </c>
      <c r="J29" s="81">
        <f>+G29</f>
        <v>800</v>
      </c>
      <c r="K29" s="48">
        <v>604050</v>
      </c>
      <c r="L29" s="48" t="s">
        <v>83</v>
      </c>
      <c r="M29" s="48" t="s">
        <v>84</v>
      </c>
      <c r="N29" s="83">
        <v>100</v>
      </c>
      <c r="O29" s="83"/>
      <c r="P29" s="138"/>
      <c r="Q29" s="75">
        <v>-33435.129999999997</v>
      </c>
      <c r="R29" s="75">
        <v>33455.83</v>
      </c>
      <c r="S29" s="76">
        <f ca="1">+R29+Q29</f>
        <v>20.700000000004366</v>
      </c>
      <c r="U29" s="75">
        <v>-167175.65</v>
      </c>
      <c r="V29" s="75">
        <v>166089.15000000002</v>
      </c>
      <c r="W29" s="76">
        <f ca="1">+V29+U29</f>
        <v>-1086.4999999999709</v>
      </c>
      <c r="X29" s="141">
        <v>0</v>
      </c>
      <c r="Y29" s="141">
        <v>1E-3</v>
      </c>
      <c r="Z29" s="141" t="b">
        <f ca="1">IF(OR(U29&lt;&gt;0,V29&lt;&gt;0),ABS(((+U29*(1+X29))+V29)/IF(U29&lt;&gt;0,U29,1)),0)&lt;=Y29</f>
        <v>0</v>
      </c>
    </row>
    <row r="30" spans="1:29" s="70" customFormat="1" ht="17.25" thickBot="1">
      <c r="E30" s="79" t="s">
        <v>134</v>
      </c>
      <c r="F30" s="79"/>
      <c r="G30" s="79"/>
      <c r="N30" s="79"/>
      <c r="O30" s="79"/>
      <c r="P30" s="138"/>
      <c r="Q30" s="107">
        <f ca="1">+SUMIF($D$1:$D29,"subtotal",Q$1:Q29)</f>
        <v>-157273.87</v>
      </c>
      <c r="R30" s="107">
        <f ca="1">+SUMIF($D$1:$D29,"subtotal",R$1:R29)</f>
        <v>157273.22</v>
      </c>
      <c r="S30" s="107">
        <f ca="1">+SUMIF($D$1:$D29,"subtotal",S$1:S29)</f>
        <v>-0.65000000000009095</v>
      </c>
      <c r="T30" s="94"/>
      <c r="U30" s="107">
        <f ca="1">+SUMIF($D$1:$D29,"subtotal",U$1:U29)</f>
        <v>-671846.51</v>
      </c>
      <c r="V30" s="107">
        <f ca="1">+SUMIF($D$1:$D29,"subtotal",V$1:V29)</f>
        <v>671845.86</v>
      </c>
      <c r="W30" s="107">
        <f ca="1">+SUMIF($D$1:$D29,"subtotal",W$1:W29)</f>
        <v>-0.65000000000145519</v>
      </c>
      <c r="AA30" s="119"/>
      <c r="AB30" s="119"/>
      <c r="AC30" s="136"/>
    </row>
    <row r="31" spans="1:29" ht="17.25" thickTop="1">
      <c r="P31" s="138"/>
      <c r="Q31" s="82"/>
      <c r="R31" s="82"/>
      <c r="S31" s="82"/>
      <c r="U31" s="82"/>
      <c r="V31" s="82"/>
      <c r="W31" s="82"/>
    </row>
    <row r="32" spans="1:29">
      <c r="A32" s="140" t="s">
        <v>135</v>
      </c>
      <c r="P32" s="138"/>
    </row>
    <row r="33" spans="1:29">
      <c r="A33" s="72" t="s">
        <v>26</v>
      </c>
      <c r="P33" s="138"/>
    </row>
    <row r="34" spans="1:29">
      <c r="B34" s="81" t="s">
        <v>9</v>
      </c>
      <c r="C34" s="81">
        <v>500</v>
      </c>
      <c r="D34" s="81">
        <v>587500</v>
      </c>
      <c r="E34" s="48" t="s">
        <v>83</v>
      </c>
      <c r="F34" s="48" t="s">
        <v>84</v>
      </c>
      <c r="G34" s="83">
        <v>700</v>
      </c>
      <c r="I34" s="48" t="s">
        <v>101</v>
      </c>
      <c r="J34" s="81">
        <f>+G34</f>
        <v>700</v>
      </c>
      <c r="K34" s="48">
        <v>615510</v>
      </c>
      <c r="L34" s="48" t="s">
        <v>83</v>
      </c>
      <c r="M34" s="48" t="s">
        <v>84</v>
      </c>
      <c r="N34" s="83">
        <f>+C34</f>
        <v>500</v>
      </c>
      <c r="O34" s="83"/>
      <c r="P34" s="138"/>
      <c r="Q34" s="75">
        <v>-505.43999999999994</v>
      </c>
      <c r="R34" s="75">
        <v>0</v>
      </c>
      <c r="S34" s="76">
        <f ca="1">+R34+Q34</f>
        <v>-505.43999999999994</v>
      </c>
      <c r="U34" s="75">
        <v>-2578.4699999999998</v>
      </c>
      <c r="V34" s="75">
        <v>0</v>
      </c>
      <c r="W34" s="76">
        <f ca="1">+V34+U34</f>
        <v>-2578.4699999999998</v>
      </c>
      <c r="X34" s="141">
        <v>0</v>
      </c>
      <c r="Y34" s="141">
        <v>1E-3</v>
      </c>
      <c r="Z34" s="141" t="b">
        <f ca="1">IF(OR(U34&lt;&gt;0,V34&lt;&gt;0),ABS(((+U34*(1+X34))+V34)/IF(U34&lt;&gt;0,U34,1)),0)&lt;=Y34</f>
        <v>0</v>
      </c>
    </row>
    <row r="35" spans="1:29">
      <c r="B35" s="81" t="s">
        <v>11</v>
      </c>
      <c r="C35" s="81">
        <v>600</v>
      </c>
      <c r="D35" s="81">
        <v>587500</v>
      </c>
      <c r="E35" s="48" t="s">
        <v>83</v>
      </c>
      <c r="F35" s="48" t="s">
        <v>84</v>
      </c>
      <c r="G35" s="83">
        <v>700</v>
      </c>
      <c r="I35" s="48" t="s">
        <v>101</v>
      </c>
      <c r="J35" s="81">
        <f>+G35</f>
        <v>700</v>
      </c>
      <c r="K35" s="48">
        <v>615510</v>
      </c>
      <c r="L35" s="48" t="s">
        <v>83</v>
      </c>
      <c r="M35" s="48" t="s">
        <v>84</v>
      </c>
      <c r="N35" s="83">
        <f>+C35</f>
        <v>600</v>
      </c>
      <c r="O35" s="83"/>
      <c r="P35" s="138"/>
      <c r="Q35" s="75">
        <v>-1481.34</v>
      </c>
      <c r="R35" s="75">
        <v>0</v>
      </c>
      <c r="S35" s="76">
        <f ca="1">+R35+Q35</f>
        <v>-1481.34</v>
      </c>
      <c r="U35" s="75">
        <v>-8187.73</v>
      </c>
      <c r="V35" s="75">
        <v>0</v>
      </c>
      <c r="W35" s="76">
        <f ca="1">+V35+U35</f>
        <v>-8187.73</v>
      </c>
      <c r="X35" s="141">
        <v>0</v>
      </c>
      <c r="Y35" s="141">
        <v>1E-3</v>
      </c>
      <c r="Z35" s="141" t="b">
        <f ca="1">IF(OR(U35&lt;&gt;0,V35&lt;&gt;0),ABS(((+U35*(1+X35))+V35)/IF(U35&lt;&gt;0,U35,1)),0)&lt;=Y35</f>
        <v>0</v>
      </c>
    </row>
    <row r="36" spans="1:29">
      <c r="D36" s="48" t="s">
        <v>137</v>
      </c>
      <c r="P36" s="138"/>
      <c r="Q36" s="77">
        <f ca="1">SUM(Q34:Q35)</f>
        <v>-1986.7799999999997</v>
      </c>
      <c r="R36" s="77">
        <f ca="1">SUM(R34:R35)</f>
        <v>0</v>
      </c>
      <c r="S36" s="77">
        <f ca="1">SUM(S34:S35)</f>
        <v>-1986.7799999999997</v>
      </c>
      <c r="U36" s="77">
        <f ca="1">SUM(U34:U35)</f>
        <v>-10766.199999999999</v>
      </c>
      <c r="V36" s="77">
        <f ca="1">SUM(V34:V35)</f>
        <v>0</v>
      </c>
      <c r="W36" s="77">
        <f ca="1">SUM(W34:W35)</f>
        <v>-10766.199999999999</v>
      </c>
    </row>
    <row r="37" spans="1:29">
      <c r="P37" s="138"/>
      <c r="Q37" s="82"/>
      <c r="R37" s="82"/>
      <c r="S37" s="82"/>
      <c r="U37" s="82"/>
      <c r="V37" s="82"/>
      <c r="W37" s="82"/>
    </row>
    <row r="38" spans="1:29">
      <c r="A38" s="72" t="s">
        <v>300</v>
      </c>
      <c r="X38" s="142"/>
      <c r="Y38" s="143"/>
    </row>
    <row r="39" spans="1:29">
      <c r="A39" s="72"/>
      <c r="B39" s="48" t="s">
        <v>11</v>
      </c>
      <c r="C39" s="48">
        <v>600</v>
      </c>
      <c r="D39" s="48">
        <v>625045</v>
      </c>
      <c r="E39" s="48" t="s">
        <v>83</v>
      </c>
      <c r="F39" s="48" t="s">
        <v>84</v>
      </c>
      <c r="G39" s="83">
        <v>500</v>
      </c>
      <c r="I39" s="81" t="s">
        <v>9</v>
      </c>
      <c r="J39" s="81">
        <f>+G39</f>
        <v>500</v>
      </c>
      <c r="K39" s="48">
        <v>625045</v>
      </c>
      <c r="L39" s="48" t="s">
        <v>83</v>
      </c>
      <c r="M39" s="48" t="s">
        <v>84</v>
      </c>
      <c r="N39" s="83">
        <v>600</v>
      </c>
      <c r="Q39" s="75">
        <v>-4566.67</v>
      </c>
      <c r="R39" s="75">
        <v>4566.67</v>
      </c>
      <c r="S39" s="76">
        <f ca="1">+R39+Q39</f>
        <v>0</v>
      </c>
      <c r="U39" s="75">
        <v>-22833.35</v>
      </c>
      <c r="V39" s="75">
        <v>22833.35</v>
      </c>
      <c r="W39" s="76">
        <f ca="1">+V39+U39</f>
        <v>0</v>
      </c>
      <c r="X39" s="144">
        <v>0</v>
      </c>
      <c r="Y39" s="142">
        <v>1E-3</v>
      </c>
      <c r="Z39" s="141" t="b">
        <f ca="1">IF(OR(U39&lt;&gt;0,V39&lt;&gt;0),ABS(((+U39*(1+X39))+V39)/IF(U39&lt;&gt;0,U39,1)),0)&lt;=Y39</f>
        <v>1</v>
      </c>
    </row>
    <row r="40" spans="1:29" s="81" customFormat="1">
      <c r="B40" s="81" t="s">
        <v>11</v>
      </c>
      <c r="C40" s="81">
        <v>600</v>
      </c>
      <c r="D40" s="81">
        <v>625065</v>
      </c>
      <c r="E40" s="48" t="s">
        <v>83</v>
      </c>
      <c r="F40" s="48" t="s">
        <v>84</v>
      </c>
      <c r="G40" s="83">
        <v>500</v>
      </c>
      <c r="H40" s="83" t="s">
        <v>277</v>
      </c>
      <c r="I40" s="81" t="s">
        <v>9</v>
      </c>
      <c r="J40" s="81">
        <f>+G40</f>
        <v>500</v>
      </c>
      <c r="K40" s="81">
        <v>625065</v>
      </c>
      <c r="L40" s="48" t="s">
        <v>83</v>
      </c>
      <c r="M40" s="48" t="s">
        <v>84</v>
      </c>
      <c r="N40" s="83">
        <v>600</v>
      </c>
      <c r="O40" s="83" t="s">
        <v>277</v>
      </c>
      <c r="P40" s="71"/>
      <c r="Q40" s="75">
        <v>-3078.33</v>
      </c>
      <c r="R40" s="75">
        <v>3078.33</v>
      </c>
      <c r="S40" s="76">
        <f ca="1">+R40+Q40</f>
        <v>0</v>
      </c>
      <c r="T40" s="71"/>
      <c r="U40" s="75">
        <v>-20636.099999999999</v>
      </c>
      <c r="V40" s="75">
        <v>20636.099999999999</v>
      </c>
      <c r="W40" s="76">
        <f ca="1">+V40+U40</f>
        <v>0</v>
      </c>
      <c r="X40" s="144">
        <v>0</v>
      </c>
      <c r="Y40" s="142">
        <v>1E-3</v>
      </c>
      <c r="Z40" s="141" t="b">
        <f ca="1">IF(OR(U40&lt;&gt;0,V40&lt;&gt;0),ABS(((+U40*(1+X40))+V40)/IF(U40&lt;&gt;0,U40,1)),0)&lt;=Y40</f>
        <v>1</v>
      </c>
      <c r="AA40" s="145"/>
      <c r="AB40" s="145"/>
      <c r="AC40" s="146"/>
    </row>
    <row r="41" spans="1:29" s="81" customFormat="1">
      <c r="B41" s="81" t="s">
        <v>9</v>
      </c>
      <c r="C41" s="81">
        <v>500</v>
      </c>
      <c r="D41" s="81">
        <v>504500</v>
      </c>
      <c r="E41" s="48" t="s">
        <v>83</v>
      </c>
      <c r="F41" s="48" t="s">
        <v>84</v>
      </c>
      <c r="G41" s="83">
        <v>700</v>
      </c>
      <c r="H41" s="83"/>
      <c r="I41" s="81" t="s">
        <v>101</v>
      </c>
      <c r="J41" s="81">
        <v>700</v>
      </c>
      <c r="K41" s="81">
        <v>625065</v>
      </c>
      <c r="L41" s="81">
        <v>7100</v>
      </c>
      <c r="M41" s="48" t="s">
        <v>84</v>
      </c>
      <c r="N41" s="83">
        <v>500</v>
      </c>
      <c r="O41" s="83"/>
      <c r="P41" s="71"/>
      <c r="Q41" s="75">
        <v>0</v>
      </c>
      <c r="R41" s="75">
        <v>0</v>
      </c>
      <c r="S41" s="76">
        <f ca="1">+R41+Q41</f>
        <v>0</v>
      </c>
      <c r="T41" s="71"/>
      <c r="U41" s="75">
        <v>0</v>
      </c>
      <c r="V41" s="75">
        <v>0</v>
      </c>
      <c r="W41" s="76">
        <f ca="1">+V41+U41</f>
        <v>0</v>
      </c>
      <c r="X41" s="144">
        <v>0</v>
      </c>
      <c r="Y41" s="142">
        <v>1E-3</v>
      </c>
      <c r="Z41" s="141" t="b">
        <f ca="1">IF(OR(U41&lt;&gt;0,V41&lt;&gt;0),ABS(((+U41*(1+X41))+V41)/IF(U41&lt;&gt;0,U41,1)),0)&lt;=Y41</f>
        <v>1</v>
      </c>
      <c r="AA41" s="145"/>
      <c r="AB41" s="145"/>
      <c r="AC41" s="146"/>
    </row>
    <row r="42" spans="1:29">
      <c r="B42" s="48" t="s">
        <v>11</v>
      </c>
      <c r="C42" s="48">
        <v>600</v>
      </c>
      <c r="D42" s="48">
        <v>504500</v>
      </c>
      <c r="E42" s="48" t="s">
        <v>83</v>
      </c>
      <c r="F42" s="48" t="s">
        <v>84</v>
      </c>
      <c r="G42" s="45">
        <v>700</v>
      </c>
      <c r="I42" s="48" t="s">
        <v>101</v>
      </c>
      <c r="J42" s="81">
        <f>+G42</f>
        <v>700</v>
      </c>
      <c r="K42" s="48">
        <v>625065</v>
      </c>
      <c r="L42" s="48">
        <v>7100</v>
      </c>
      <c r="M42" s="48" t="s">
        <v>84</v>
      </c>
      <c r="N42" s="83">
        <v>600</v>
      </c>
      <c r="O42" s="83" t="s">
        <v>277</v>
      </c>
      <c r="Q42" s="75">
        <v>-8591</v>
      </c>
      <c r="R42" s="75">
        <v>0</v>
      </c>
      <c r="S42" s="76">
        <f ca="1">+R42+Q42</f>
        <v>-8591</v>
      </c>
      <c r="U42" s="75">
        <v>-41651.64</v>
      </c>
      <c r="V42" s="75">
        <v>0</v>
      </c>
      <c r="W42" s="76">
        <f ca="1">+V42+U42</f>
        <v>-41651.64</v>
      </c>
      <c r="X42" s="142">
        <v>0</v>
      </c>
      <c r="Y42" s="142">
        <v>1E-3</v>
      </c>
      <c r="Z42" s="141" t="b">
        <f ca="1">IF(OR(U42&lt;&gt;0,V42&lt;&gt;0),ABS(((+U42*(1+X42))+V42)/IF(U42&lt;&gt;0,U42,1)),0)&lt;=Y42</f>
        <v>0</v>
      </c>
      <c r="AA42" s="145"/>
      <c r="AB42" s="145"/>
      <c r="AC42" s="146" t="s">
        <v>332</v>
      </c>
    </row>
    <row r="43" spans="1:29">
      <c r="D43" s="48" t="s">
        <v>137</v>
      </c>
      <c r="Q43" s="77">
        <f ca="1">SUM(Q40:Q42)</f>
        <v>-11669.33</v>
      </c>
      <c r="R43" s="77">
        <f ca="1">SUM(R40:R42)</f>
        <v>3078.33</v>
      </c>
      <c r="S43" s="77">
        <f ca="1">SUM(S40:S42)</f>
        <v>-8591</v>
      </c>
      <c r="U43" s="77">
        <f ca="1">SUM(U40:U42)</f>
        <v>-62287.74</v>
      </c>
      <c r="V43" s="77">
        <f ca="1">SUM(V40:V42)</f>
        <v>20636.099999999999</v>
      </c>
      <c r="W43" s="77">
        <f ca="1">SUM(W40:W42)</f>
        <v>-41651.64</v>
      </c>
      <c r="X43" s="142"/>
      <c r="Y43" s="143"/>
    </row>
    <row r="44" spans="1:29">
      <c r="Q44" s="82"/>
      <c r="R44" s="82"/>
      <c r="S44" s="82"/>
      <c r="U44" s="82"/>
      <c r="V44" s="82"/>
      <c r="W44" s="82"/>
      <c r="X44" s="142"/>
      <c r="Y44" s="143"/>
    </row>
    <row r="45" spans="1:29">
      <c r="A45" s="72" t="s">
        <v>37</v>
      </c>
      <c r="I45" s="81"/>
      <c r="J45" s="81"/>
      <c r="K45" s="81"/>
      <c r="L45" s="81"/>
      <c r="M45" s="81"/>
      <c r="N45" s="83"/>
      <c r="O45" s="83"/>
      <c r="P45" s="138"/>
      <c r="Q45" s="81"/>
      <c r="R45" s="81"/>
      <c r="S45" s="81"/>
      <c r="U45" s="81"/>
      <c r="V45" s="81"/>
    </row>
    <row r="46" spans="1:29">
      <c r="B46" s="81" t="s">
        <v>11</v>
      </c>
      <c r="C46" s="81">
        <v>600</v>
      </c>
      <c r="D46" s="81">
        <v>586250</v>
      </c>
      <c r="E46" s="48" t="s">
        <v>83</v>
      </c>
      <c r="F46" s="48" t="s">
        <v>84</v>
      </c>
      <c r="G46" s="147" t="s">
        <v>80</v>
      </c>
      <c r="I46" s="81" t="s">
        <v>11</v>
      </c>
      <c r="J46" s="81">
        <v>600</v>
      </c>
      <c r="K46" s="81">
        <v>615510</v>
      </c>
      <c r="L46" s="48" t="s">
        <v>83</v>
      </c>
      <c r="M46" s="48" t="s">
        <v>84</v>
      </c>
      <c r="N46" s="83">
        <f>+C46</f>
        <v>600</v>
      </c>
      <c r="O46" s="83"/>
      <c r="P46" s="138"/>
      <c r="Q46" s="75">
        <v>0</v>
      </c>
      <c r="R46" s="75">
        <v>0</v>
      </c>
      <c r="S46" s="76">
        <f ca="1">+R46+Q46</f>
        <v>0</v>
      </c>
      <c r="U46" s="75">
        <v>0</v>
      </c>
      <c r="V46" s="75">
        <v>0</v>
      </c>
      <c r="W46" s="76">
        <f ca="1">+V46+U46</f>
        <v>0</v>
      </c>
      <c r="X46" s="142">
        <v>0</v>
      </c>
      <c r="Y46" s="142">
        <v>1E-3</v>
      </c>
      <c r="Z46" s="141" t="b">
        <f ca="1">IF(OR(U46&lt;&gt;0,V46&lt;&gt;0),ABS(((+U46*(1+X46))+V46)/IF(U46&lt;&gt;0,U46,1)),0)&lt;=Y46</f>
        <v>1</v>
      </c>
    </row>
    <row r="47" spans="1:29">
      <c r="B47" s="81" t="s">
        <v>9</v>
      </c>
      <c r="C47" s="81">
        <v>500</v>
      </c>
      <c r="D47" s="81">
        <v>586250</v>
      </c>
      <c r="E47" s="48" t="s">
        <v>83</v>
      </c>
      <c r="F47" s="48" t="s">
        <v>84</v>
      </c>
      <c r="G47" s="147" t="s">
        <v>79</v>
      </c>
      <c r="H47" s="46"/>
      <c r="I47" s="148" t="s">
        <v>9</v>
      </c>
      <c r="J47" s="148">
        <v>500</v>
      </c>
      <c r="K47" s="148">
        <v>615510</v>
      </c>
      <c r="L47" s="46" t="s">
        <v>83</v>
      </c>
      <c r="M47" s="46" t="s">
        <v>84</v>
      </c>
      <c r="N47" s="147" t="s">
        <v>79</v>
      </c>
      <c r="O47" s="149"/>
      <c r="P47" s="138"/>
      <c r="Q47" s="75">
        <v>0</v>
      </c>
      <c r="R47" s="75">
        <v>0</v>
      </c>
      <c r="S47" s="76">
        <f ca="1">+R47+Q47</f>
        <v>0</v>
      </c>
      <c r="U47" s="75">
        <v>0</v>
      </c>
      <c r="V47" s="75">
        <v>0</v>
      </c>
      <c r="W47" s="76">
        <f ca="1">+V47+U47</f>
        <v>0</v>
      </c>
      <c r="X47" s="142">
        <v>0</v>
      </c>
      <c r="Y47" s="142">
        <v>1E-3</v>
      </c>
      <c r="Z47" s="141" t="b">
        <f ca="1">IF(OR(U47&lt;&gt;0,V47&lt;&gt;0),ABS(((+U47*(1+X47))+V47)/IF(U47&lt;&gt;0,U47,1)),0)&lt;=Y47</f>
        <v>1</v>
      </c>
    </row>
    <row r="48" spans="1:29">
      <c r="D48" s="48" t="s">
        <v>137</v>
      </c>
      <c r="I48" s="81"/>
      <c r="J48" s="81"/>
      <c r="K48" s="81"/>
      <c r="L48" s="81"/>
      <c r="M48" s="81"/>
      <c r="N48" s="83"/>
      <c r="O48" s="83"/>
      <c r="P48" s="138"/>
      <c r="Q48" s="150">
        <f ca="1">SUM(Q46:Q47)</f>
        <v>0</v>
      </c>
      <c r="R48" s="150">
        <f ca="1">SUM(R46:R47)</f>
        <v>0</v>
      </c>
      <c r="S48" s="150">
        <f ca="1">SUM(S46:S47)</f>
        <v>0</v>
      </c>
      <c r="U48" s="150">
        <f ca="1">SUM(U46:U47)</f>
        <v>0</v>
      </c>
      <c r="V48" s="150">
        <f ca="1">SUM(V46:V47)</f>
        <v>0</v>
      </c>
      <c r="W48" s="77">
        <f ca="1">SUM(W46:W47)</f>
        <v>0</v>
      </c>
      <c r="X48" s="143"/>
      <c r="Y48" s="143"/>
    </row>
    <row r="49" spans="1:29">
      <c r="I49" s="81"/>
      <c r="J49" s="81"/>
      <c r="K49" s="81"/>
      <c r="L49" s="81"/>
      <c r="M49" s="81"/>
      <c r="N49" s="83"/>
      <c r="O49" s="83"/>
      <c r="P49" s="138"/>
      <c r="Q49" s="151"/>
      <c r="R49" s="151"/>
      <c r="S49" s="151"/>
      <c r="U49" s="151"/>
      <c r="V49" s="151"/>
      <c r="W49" s="82"/>
      <c r="X49" s="143"/>
      <c r="Y49" s="143"/>
    </row>
    <row r="50" spans="1:29">
      <c r="A50" s="72" t="s">
        <v>27</v>
      </c>
      <c r="P50" s="138"/>
      <c r="X50" s="143"/>
      <c r="Y50" s="143"/>
    </row>
    <row r="51" spans="1:29">
      <c r="B51" s="48" t="s">
        <v>9</v>
      </c>
      <c r="C51" s="48">
        <v>500</v>
      </c>
      <c r="D51" s="48">
        <v>584500</v>
      </c>
      <c r="E51" s="48" t="s">
        <v>83</v>
      </c>
      <c r="F51" s="48" t="s">
        <v>84</v>
      </c>
      <c r="G51" s="45">
        <v>400</v>
      </c>
      <c r="I51" s="48" t="s">
        <v>7</v>
      </c>
      <c r="J51" s="81">
        <f>+G51</f>
        <v>400</v>
      </c>
      <c r="K51" s="48">
        <v>604050</v>
      </c>
      <c r="L51" s="48" t="s">
        <v>83</v>
      </c>
      <c r="M51" s="48" t="s">
        <v>84</v>
      </c>
      <c r="N51" s="83">
        <f>+C51</f>
        <v>500</v>
      </c>
      <c r="O51" s="83"/>
      <c r="P51" s="138"/>
      <c r="Q51" s="75">
        <v>0</v>
      </c>
      <c r="R51" s="75">
        <v>0</v>
      </c>
      <c r="S51" s="76">
        <f ca="1">+R51+Q51</f>
        <v>0</v>
      </c>
      <c r="U51" s="75">
        <v>0</v>
      </c>
      <c r="V51" s="75">
        <v>0</v>
      </c>
      <c r="W51" s="76">
        <f ca="1">+V51+U51</f>
        <v>0</v>
      </c>
      <c r="X51" s="142">
        <v>0</v>
      </c>
      <c r="Y51" s="142">
        <v>1E-3</v>
      </c>
      <c r="Z51" s="141" t="b">
        <f ca="1">IF(OR(U51&lt;&gt;0,V51&lt;&gt;0),ABS(((+U51*(1+X51))+V51)/IF(U51&lt;&gt;0,U51,1)),0)&lt;=Y51</f>
        <v>1</v>
      </c>
    </row>
    <row r="52" spans="1:29">
      <c r="B52" s="48" t="s">
        <v>9</v>
      </c>
      <c r="C52" s="48">
        <v>500</v>
      </c>
      <c r="D52" s="48">
        <v>584500</v>
      </c>
      <c r="E52" s="48" t="s">
        <v>83</v>
      </c>
      <c r="F52" s="48" t="s">
        <v>84</v>
      </c>
      <c r="G52" s="45">
        <v>100</v>
      </c>
      <c r="I52" s="48" t="s">
        <v>51</v>
      </c>
      <c r="J52" s="81">
        <v>390</v>
      </c>
      <c r="K52" s="48">
        <v>604050</v>
      </c>
      <c r="L52" s="48" t="s">
        <v>83</v>
      </c>
      <c r="M52" s="48" t="s">
        <v>84</v>
      </c>
      <c r="N52" s="83">
        <v>500</v>
      </c>
      <c r="O52" s="83"/>
      <c r="P52" s="138"/>
      <c r="Q52" s="75">
        <v>-350</v>
      </c>
      <c r="R52" s="75">
        <v>350</v>
      </c>
      <c r="S52" s="76"/>
      <c r="U52" s="75">
        <v>-1750</v>
      </c>
      <c r="V52" s="75">
        <v>1750</v>
      </c>
      <c r="W52" s="76">
        <f ca="1">+V52+U52</f>
        <v>0</v>
      </c>
      <c r="X52" s="142">
        <v>0</v>
      </c>
      <c r="Y52" s="142">
        <v>1E-3</v>
      </c>
      <c r="Z52" s="141" t="b">
        <f ca="1">IF(OR(U52&lt;&gt;0,V52&lt;&gt;0),ABS(((+U52*(1+X52))+V52)/IF(U52&lt;&gt;0,U52,1)),0)&lt;=Y52</f>
        <v>1</v>
      </c>
    </row>
    <row r="53" spans="1:29">
      <c r="B53" s="48" t="s">
        <v>11</v>
      </c>
      <c r="C53" s="48">
        <v>600</v>
      </c>
      <c r="D53" s="48">
        <v>584500</v>
      </c>
      <c r="E53" s="48" t="s">
        <v>83</v>
      </c>
      <c r="F53" s="48" t="s">
        <v>84</v>
      </c>
      <c r="G53" s="45">
        <v>400</v>
      </c>
      <c r="I53" s="48" t="s">
        <v>7</v>
      </c>
      <c r="J53" s="81">
        <f>+G53</f>
        <v>400</v>
      </c>
      <c r="K53" s="48">
        <v>604050</v>
      </c>
      <c r="L53" s="48" t="s">
        <v>83</v>
      </c>
      <c r="M53" s="48" t="s">
        <v>84</v>
      </c>
      <c r="N53" s="83">
        <f>+C53</f>
        <v>600</v>
      </c>
      <c r="O53" s="83"/>
      <c r="P53" s="138"/>
      <c r="Q53" s="75">
        <v>0</v>
      </c>
      <c r="R53" s="75">
        <v>0</v>
      </c>
      <c r="S53" s="76">
        <f ca="1">+R53+Q53</f>
        <v>0</v>
      </c>
      <c r="U53" s="75">
        <v>0</v>
      </c>
      <c r="V53" s="75">
        <v>0</v>
      </c>
      <c r="W53" s="76">
        <f ca="1">+V53+U53</f>
        <v>0</v>
      </c>
      <c r="X53" s="142">
        <v>0</v>
      </c>
      <c r="Y53" s="142">
        <v>1E-3</v>
      </c>
      <c r="Z53" s="141" t="b">
        <f ca="1">IF(OR(U53&lt;&gt;0,V53&lt;&gt;0),ABS(((+U53*(1+X53))+V53)/IF(U53&lt;&gt;0,U53,1)),0)&lt;=Y53</f>
        <v>1</v>
      </c>
    </row>
    <row r="54" spans="1:29">
      <c r="B54" s="48" t="s">
        <v>11</v>
      </c>
      <c r="C54" s="48">
        <v>600</v>
      </c>
      <c r="D54" s="48">
        <v>584500</v>
      </c>
      <c r="E54" s="48" t="s">
        <v>83</v>
      </c>
      <c r="F54" s="48" t="s">
        <v>84</v>
      </c>
      <c r="G54" s="45">
        <v>100</v>
      </c>
      <c r="I54" s="48" t="s">
        <v>51</v>
      </c>
      <c r="J54" s="81">
        <v>390</v>
      </c>
      <c r="K54" s="48">
        <v>604050</v>
      </c>
      <c r="L54" s="48" t="s">
        <v>83</v>
      </c>
      <c r="M54" s="48" t="s">
        <v>84</v>
      </c>
      <c r="N54" s="147" t="s">
        <v>80</v>
      </c>
      <c r="O54" s="147" t="s">
        <v>275</v>
      </c>
      <c r="P54" s="138"/>
      <c r="Q54" s="75">
        <v>0</v>
      </c>
      <c r="R54" s="75">
        <v>0</v>
      </c>
      <c r="S54" s="76">
        <f ca="1">+R54+Q54</f>
        <v>0</v>
      </c>
      <c r="U54" s="75">
        <v>0</v>
      </c>
      <c r="V54" s="75">
        <v>0</v>
      </c>
      <c r="W54" s="76">
        <f ca="1">+V54+U54</f>
        <v>0</v>
      </c>
      <c r="X54" s="142">
        <v>0</v>
      </c>
      <c r="Y54" s="142">
        <v>1E-3</v>
      </c>
      <c r="Z54" s="141" t="b">
        <f ca="1">IF(OR(U54&lt;&gt;0,V54&lt;&gt;0),ABS(((+U54*(1+X54))+V54)/IF(U54&lt;&gt;0,U54,1)),0)&lt;=Y54</f>
        <v>1</v>
      </c>
    </row>
    <row r="55" spans="1:29">
      <c r="B55" s="48" t="s">
        <v>11</v>
      </c>
      <c r="C55" s="48">
        <v>600</v>
      </c>
      <c r="D55" s="48">
        <v>584500</v>
      </c>
      <c r="E55" s="48" t="s">
        <v>83</v>
      </c>
      <c r="F55" s="48" t="s">
        <v>84</v>
      </c>
      <c r="G55" s="45">
        <v>700</v>
      </c>
      <c r="I55" s="48" t="s">
        <v>101</v>
      </c>
      <c r="J55" s="81">
        <f>+G55</f>
        <v>700</v>
      </c>
      <c r="K55" s="48">
        <v>604050</v>
      </c>
      <c r="L55" s="48" t="s">
        <v>83</v>
      </c>
      <c r="M55" s="48" t="s">
        <v>84</v>
      </c>
      <c r="N55" s="83">
        <f>+C55</f>
        <v>600</v>
      </c>
      <c r="O55" s="83"/>
      <c r="P55" s="138"/>
      <c r="Q55" s="75">
        <v>-2</v>
      </c>
      <c r="R55" s="75">
        <v>0</v>
      </c>
      <c r="S55" s="76">
        <f ca="1">+R55+Q55</f>
        <v>-2</v>
      </c>
      <c r="U55" s="75">
        <v>-10</v>
      </c>
      <c r="V55" s="75">
        <v>0</v>
      </c>
      <c r="W55" s="76">
        <f ca="1">+V55+U55</f>
        <v>-10</v>
      </c>
      <c r="X55" s="142">
        <v>7.0000000000000007E-2</v>
      </c>
      <c r="Y55" s="142">
        <v>1E-3</v>
      </c>
      <c r="Z55" s="141" t="b">
        <f ca="1">IF(OR(U55&lt;&gt;0,V55&lt;&gt;0),ABS(((+U55*(1+X55))+V55)/IF(U55&lt;&gt;0,U55,1)),0)&lt;=Y55</f>
        <v>0</v>
      </c>
    </row>
    <row r="56" spans="1:29">
      <c r="D56" s="48" t="s">
        <v>137</v>
      </c>
      <c r="P56" s="138"/>
      <c r="Q56" s="77">
        <f ca="1">SUM(Q51:Q55)</f>
        <v>-352</v>
      </c>
      <c r="R56" s="77">
        <f ca="1">SUM(R51:R55)</f>
        <v>350</v>
      </c>
      <c r="S56" s="77">
        <f ca="1">SUM(S51:S55)</f>
        <v>-2</v>
      </c>
      <c r="U56" s="77">
        <f ca="1">SUM(U51:U55)</f>
        <v>-1760</v>
      </c>
      <c r="V56" s="77">
        <f ca="1">SUM(V51:V55)</f>
        <v>1750</v>
      </c>
      <c r="W56" s="77">
        <f ca="1">SUM(W51:W55)</f>
        <v>-10</v>
      </c>
      <c r="X56" s="143"/>
      <c r="Y56" s="143"/>
    </row>
    <row r="57" spans="1:29">
      <c r="P57" s="138"/>
      <c r="Q57" s="82"/>
      <c r="R57" s="82"/>
      <c r="S57" s="82"/>
      <c r="U57" s="82"/>
      <c r="V57" s="82"/>
      <c r="W57" s="82"/>
      <c r="X57" s="143"/>
      <c r="Y57" s="143"/>
    </row>
    <row r="58" spans="1:29">
      <c r="A58" s="72" t="s">
        <v>36</v>
      </c>
      <c r="P58" s="138"/>
      <c r="X58" s="143"/>
      <c r="Y58" s="143"/>
    </row>
    <row r="59" spans="1:29">
      <c r="B59" s="48" t="s">
        <v>11</v>
      </c>
      <c r="C59" s="48">
        <v>600</v>
      </c>
      <c r="D59" s="48">
        <v>586355</v>
      </c>
      <c r="E59" s="48" t="s">
        <v>83</v>
      </c>
      <c r="F59" s="48" t="s">
        <v>84</v>
      </c>
      <c r="G59" s="45">
        <v>500</v>
      </c>
      <c r="I59" s="81" t="s">
        <v>9</v>
      </c>
      <c r="J59" s="81">
        <f>+G59</f>
        <v>500</v>
      </c>
      <c r="K59" s="81">
        <v>612515</v>
      </c>
      <c r="L59" s="48" t="s">
        <v>83</v>
      </c>
      <c r="M59" s="48" t="s">
        <v>84</v>
      </c>
      <c r="N59" s="83">
        <f>+C59</f>
        <v>600</v>
      </c>
      <c r="O59" s="83"/>
      <c r="P59" s="138"/>
      <c r="Q59" s="75">
        <v>-8966.5499999999993</v>
      </c>
      <c r="R59" s="75">
        <v>9561.86</v>
      </c>
      <c r="S59" s="76">
        <f ca="1">+R59+Q59</f>
        <v>595.31000000000131</v>
      </c>
      <c r="U59" s="75">
        <v>-44832.75</v>
      </c>
      <c r="V59" s="75">
        <v>47809.3</v>
      </c>
      <c r="W59" s="76">
        <f ca="1">+V59+U59</f>
        <v>2976.5500000000029</v>
      </c>
      <c r="X59" s="142">
        <v>0</v>
      </c>
      <c r="Y59" s="142">
        <v>1E-3</v>
      </c>
      <c r="Z59" s="141" t="b">
        <f ca="1">IF(OR(U59&lt;&gt;0,V59&lt;&gt;0),ABS(((+U59*(1+X59))+V59)/IF(U59&lt;&gt;0,U59,1)),0)&lt;=Y59</f>
        <v>0</v>
      </c>
    </row>
    <row r="60" spans="1:29" s="81" customFormat="1">
      <c r="B60" s="81" t="s">
        <v>11</v>
      </c>
      <c r="C60" s="81">
        <v>600</v>
      </c>
      <c r="D60" s="81">
        <v>586355</v>
      </c>
      <c r="E60" s="81" t="s">
        <v>83</v>
      </c>
      <c r="F60" s="81" t="s">
        <v>84</v>
      </c>
      <c r="G60" s="83">
        <v>700</v>
      </c>
      <c r="I60" s="81" t="s">
        <v>101</v>
      </c>
      <c r="J60" s="81">
        <f>+G60</f>
        <v>700</v>
      </c>
      <c r="K60" s="81">
        <v>612515</v>
      </c>
      <c r="L60" s="81" t="s">
        <v>83</v>
      </c>
      <c r="M60" s="81" t="s">
        <v>84</v>
      </c>
      <c r="N60" s="83">
        <f>+C60</f>
        <v>600</v>
      </c>
      <c r="O60" s="83"/>
      <c r="P60" s="138"/>
      <c r="Q60" s="75">
        <v>-8504.5499999999993</v>
      </c>
      <c r="R60" s="75">
        <v>10581.2</v>
      </c>
      <c r="S60" s="152">
        <f ca="1">+R60+Q60</f>
        <v>2076.6500000000015</v>
      </c>
      <c r="T60" s="71"/>
      <c r="U60" s="75">
        <v>-42522.75</v>
      </c>
      <c r="V60" s="75">
        <v>53687.03</v>
      </c>
      <c r="W60" s="152">
        <f ca="1">+V60+U60</f>
        <v>11164.279999999999</v>
      </c>
      <c r="X60" s="144">
        <v>0</v>
      </c>
      <c r="Y60" s="144">
        <v>1E-3</v>
      </c>
      <c r="Z60" s="153" t="b">
        <f ca="1">IF(OR(U60&lt;&gt;0,V60&lt;&gt;0),ABS(((+U60*(1+X60))+V60)/IF(U60&lt;&gt;0,U60,1)),0)&lt;=Y60</f>
        <v>0</v>
      </c>
      <c r="AA60" s="145"/>
      <c r="AB60" s="145"/>
      <c r="AC60" s="146"/>
    </row>
    <row r="61" spans="1:29">
      <c r="D61" s="48" t="s">
        <v>137</v>
      </c>
      <c r="I61" s="81"/>
      <c r="J61" s="81"/>
      <c r="K61" s="81"/>
      <c r="L61" s="81"/>
      <c r="M61" s="81"/>
      <c r="N61" s="83"/>
      <c r="O61" s="83"/>
      <c r="P61" s="138"/>
      <c r="Q61" s="98">
        <f ca="1">SUM(Q59:Q60)</f>
        <v>-17471.099999999999</v>
      </c>
      <c r="R61" s="98">
        <f ca="1">SUM(R59:R60)</f>
        <v>20143.060000000001</v>
      </c>
      <c r="S61" s="150">
        <f ca="1">SUM(S59:S60)</f>
        <v>2671.9600000000028</v>
      </c>
      <c r="U61" s="150">
        <f ca="1">SUM(U59:U60)</f>
        <v>-87355.5</v>
      </c>
      <c r="V61" s="150">
        <f ca="1">SUM(V59:V60)</f>
        <v>101496.33</v>
      </c>
      <c r="W61" s="77">
        <f ca="1">SUM(W59:W60)</f>
        <v>14140.830000000002</v>
      </c>
      <c r="X61" s="143"/>
      <c r="Y61" s="143"/>
    </row>
    <row r="62" spans="1:29">
      <c r="I62" s="81"/>
      <c r="J62" s="81"/>
      <c r="K62" s="81"/>
      <c r="L62" s="81"/>
      <c r="M62" s="81"/>
      <c r="N62" s="83"/>
      <c r="O62" s="83"/>
      <c r="P62" s="138"/>
      <c r="Q62" s="151"/>
      <c r="R62" s="151"/>
      <c r="S62" s="151"/>
      <c r="U62" s="151"/>
      <c r="V62" s="151"/>
      <c r="W62" s="82"/>
      <c r="X62" s="143"/>
      <c r="Y62" s="143"/>
    </row>
    <row r="63" spans="1:29">
      <c r="A63" s="72" t="s">
        <v>48</v>
      </c>
      <c r="W63" s="76"/>
      <c r="X63" s="142"/>
      <c r="Y63" s="143"/>
    </row>
    <row r="64" spans="1:29">
      <c r="B64" s="48" t="s">
        <v>11</v>
      </c>
      <c r="C64" s="48">
        <v>600</v>
      </c>
      <c r="D64" s="48">
        <v>508350</v>
      </c>
      <c r="E64" s="48" t="s">
        <v>83</v>
      </c>
      <c r="F64" s="48" t="s">
        <v>84</v>
      </c>
      <c r="G64" s="147" t="s">
        <v>80</v>
      </c>
      <c r="H64" s="48" t="s">
        <v>286</v>
      </c>
      <c r="I64" s="48" t="s">
        <v>11</v>
      </c>
      <c r="J64" s="81">
        <v>600</v>
      </c>
      <c r="K64" s="48">
        <v>625045</v>
      </c>
      <c r="L64" s="48" t="s">
        <v>83</v>
      </c>
      <c r="M64" s="48" t="s">
        <v>84</v>
      </c>
      <c r="N64" s="154">
        <v>600</v>
      </c>
      <c r="O64" s="154" t="s">
        <v>278</v>
      </c>
      <c r="Q64" s="75">
        <v>-51705.46</v>
      </c>
      <c r="R64" s="75">
        <v>59087.78</v>
      </c>
      <c r="S64" s="76"/>
      <c r="U64" s="75">
        <v>-256711.49999999997</v>
      </c>
      <c r="V64" s="75">
        <v>293239.26</v>
      </c>
      <c r="X64" s="142"/>
      <c r="Y64" s="103"/>
      <c r="Z64" s="155"/>
    </row>
    <row r="65" spans="1:29">
      <c r="G65" s="154"/>
      <c r="I65" s="48" t="s">
        <v>11</v>
      </c>
      <c r="J65" s="81">
        <f>+J64</f>
        <v>600</v>
      </c>
      <c r="K65" s="48">
        <v>625065</v>
      </c>
      <c r="L65" s="48" t="s">
        <v>83</v>
      </c>
      <c r="M65" s="48" t="s">
        <v>84</v>
      </c>
      <c r="N65" s="154">
        <v>600</v>
      </c>
      <c r="O65" s="154" t="s">
        <v>277</v>
      </c>
      <c r="Q65" s="75"/>
      <c r="R65" s="75">
        <v>1148.8499999999999</v>
      </c>
      <c r="U65" s="75"/>
      <c r="V65" s="75">
        <v>5744.25</v>
      </c>
      <c r="W65" s="156"/>
      <c r="X65" s="142"/>
      <c r="Y65" s="103"/>
      <c r="Z65" s="155"/>
      <c r="AC65" s="114"/>
    </row>
    <row r="66" spans="1:29">
      <c r="G66" s="154"/>
      <c r="H66" s="88"/>
      <c r="I66" s="88"/>
      <c r="J66" s="88"/>
      <c r="K66" s="88"/>
      <c r="L66" s="88"/>
      <c r="M66" s="88"/>
      <c r="N66" s="157"/>
      <c r="O66" s="158"/>
      <c r="Q66" s="159">
        <f ca="1">SUM(Q64:Q65)</f>
        <v>-51705.46</v>
      </c>
      <c r="R66" s="159">
        <f ca="1">SUM(R64:R65)</f>
        <v>60236.63</v>
      </c>
      <c r="S66" s="76">
        <f ca="1">+R66+Q66</f>
        <v>8531.1699999999983</v>
      </c>
      <c r="U66" s="159">
        <f ca="1">SUM(U64:U65)</f>
        <v>-256711.49999999997</v>
      </c>
      <c r="V66" s="159">
        <f ca="1">SUM(V64:V65)</f>
        <v>298983.51</v>
      </c>
      <c r="W66" s="76">
        <f ca="1">+V66+U66</f>
        <v>42272.010000000038</v>
      </c>
      <c r="X66" s="142">
        <f>0.07+0.11</f>
        <v>0.18</v>
      </c>
      <c r="Y66" s="142">
        <v>0.1</v>
      </c>
      <c r="Z66" s="141" t="b">
        <f ca="1">IF(OR(U66&lt;&gt;0,V66&lt;&gt;0),ABS(((+U66*(1+X66))+V66)/IF(U66&lt;&gt;0,U66,1)),0)&lt;=Y66</f>
        <v>1</v>
      </c>
      <c r="AA66" s="119">
        <v>4</v>
      </c>
    </row>
    <row r="67" spans="1:29">
      <c r="G67" s="154"/>
      <c r="H67" s="88"/>
      <c r="I67" s="88"/>
      <c r="J67" s="88"/>
      <c r="K67" s="88"/>
      <c r="L67" s="88"/>
      <c r="M67" s="88"/>
      <c r="N67" s="157"/>
      <c r="O67" s="158"/>
      <c r="Q67" s="160"/>
      <c r="R67" s="160"/>
      <c r="S67" s="156"/>
      <c r="U67" s="160"/>
      <c r="V67" s="160"/>
      <c r="W67" s="156"/>
      <c r="X67" s="161"/>
      <c r="Y67" s="162"/>
      <c r="Z67" s="163"/>
    </row>
    <row r="68" spans="1:29" s="81" customFormat="1">
      <c r="B68" s="81" t="s">
        <v>9</v>
      </c>
      <c r="C68" s="81">
        <v>500</v>
      </c>
      <c r="D68" s="81">
        <v>508350</v>
      </c>
      <c r="E68" s="81" t="s">
        <v>83</v>
      </c>
      <c r="F68" s="81" t="s">
        <v>84</v>
      </c>
      <c r="G68" s="147" t="s">
        <v>79</v>
      </c>
      <c r="H68" s="81" t="s">
        <v>286</v>
      </c>
      <c r="I68" s="81" t="s">
        <v>9</v>
      </c>
      <c r="J68" s="81">
        <v>500</v>
      </c>
      <c r="K68" s="81">
        <v>625045</v>
      </c>
      <c r="L68" s="81" t="s">
        <v>83</v>
      </c>
      <c r="M68" s="81" t="s">
        <v>84</v>
      </c>
      <c r="N68" s="154">
        <v>500</v>
      </c>
      <c r="O68" s="154" t="s">
        <v>278</v>
      </c>
      <c r="P68" s="61"/>
      <c r="Q68" s="75">
        <v>-21798.23</v>
      </c>
      <c r="R68" s="75">
        <v>24465.3</v>
      </c>
      <c r="S68" s="152"/>
      <c r="T68" s="61"/>
      <c r="U68" s="75">
        <v>-107936.43999999999</v>
      </c>
      <c r="V68" s="75">
        <v>121731.15999999999</v>
      </c>
      <c r="W68" s="164"/>
      <c r="X68" s="144"/>
      <c r="Y68" s="165"/>
      <c r="Z68" s="166"/>
      <c r="AA68" s="145"/>
      <c r="AB68" s="145"/>
      <c r="AC68" s="146"/>
    </row>
    <row r="69" spans="1:29" s="81" customFormat="1">
      <c r="G69" s="83"/>
      <c r="I69" s="81" t="s">
        <v>9</v>
      </c>
      <c r="J69" s="81">
        <v>500</v>
      </c>
      <c r="K69" s="81">
        <v>625065</v>
      </c>
      <c r="L69" s="81" t="s">
        <v>83</v>
      </c>
      <c r="M69" s="81" t="s">
        <v>84</v>
      </c>
      <c r="N69" s="154">
        <v>500</v>
      </c>
      <c r="O69" s="154" t="s">
        <v>277</v>
      </c>
      <c r="P69" s="61"/>
      <c r="Q69" s="75"/>
      <c r="R69" s="75">
        <v>892.33</v>
      </c>
      <c r="T69" s="61"/>
      <c r="U69" s="75"/>
      <c r="V69" s="75">
        <v>4461.6500000000005</v>
      </c>
      <c r="W69" s="164"/>
      <c r="X69" s="144"/>
      <c r="Y69" s="167"/>
      <c r="Z69" s="168"/>
      <c r="AA69" s="145"/>
      <c r="AB69" s="145"/>
      <c r="AC69" s="113" t="s">
        <v>283</v>
      </c>
    </row>
    <row r="70" spans="1:29" s="81" customFormat="1">
      <c r="G70" s="83"/>
      <c r="H70" s="61"/>
      <c r="I70" s="61"/>
      <c r="J70" s="61"/>
      <c r="K70" s="61"/>
      <c r="L70" s="61"/>
      <c r="M70" s="61"/>
      <c r="N70" s="169"/>
      <c r="O70" s="169"/>
      <c r="P70" s="61"/>
      <c r="Q70" s="159">
        <f ca="1">SUM(Q68:Q69)</f>
        <v>-21798.23</v>
      </c>
      <c r="R70" s="159">
        <f ca="1">SUM(R68:R69)</f>
        <v>25357.63</v>
      </c>
      <c r="S70" s="152">
        <f ca="1">+R70+Q70</f>
        <v>3559.4000000000015</v>
      </c>
      <c r="T70" s="61"/>
      <c r="U70" s="159">
        <f ca="1">SUM(U68:U69)</f>
        <v>-107936.43999999999</v>
      </c>
      <c r="V70" s="159">
        <f ca="1">SUM(V68:V69)</f>
        <v>126192.80999999998</v>
      </c>
      <c r="W70" s="152">
        <f ca="1">+V70+U70</f>
        <v>18256.369999999995</v>
      </c>
      <c r="X70" s="144">
        <f>0.07+0.11</f>
        <v>0.18</v>
      </c>
      <c r="Y70" s="144">
        <v>0.1</v>
      </c>
      <c r="Z70" s="153" t="b">
        <f ca="1">IF(OR(U70&lt;&gt;0,V70&lt;&gt;0),ABS(((+U70*(1+X70))+V70)/IF(U70&lt;&gt;0,U70,1)),0)&lt;=Y70</f>
        <v>1</v>
      </c>
      <c r="AA70" s="145">
        <v>5</v>
      </c>
      <c r="AB70" s="145" t="s">
        <v>11</v>
      </c>
      <c r="AC70" s="146" t="s">
        <v>282</v>
      </c>
    </row>
    <row r="71" spans="1:29">
      <c r="D71" s="48" t="s">
        <v>137</v>
      </c>
      <c r="Q71" s="77">
        <f ca="1">+Q70+Q66</f>
        <v>-73503.69</v>
      </c>
      <c r="R71" s="77">
        <f t="shared" ref="R71:W71" ca="1" si="0">+R70+R66</f>
        <v>85594.26</v>
      </c>
      <c r="S71" s="77">
        <f t="shared" ca="1" si="0"/>
        <v>12090.57</v>
      </c>
      <c r="U71" s="77">
        <f ca="1">+U70+U66</f>
        <v>-364647.93999999994</v>
      </c>
      <c r="V71" s="77">
        <f ca="1">+V70+V66</f>
        <v>425176.32000000001</v>
      </c>
      <c r="W71" s="150">
        <f t="shared" ca="1" si="0"/>
        <v>60528.380000000034</v>
      </c>
      <c r="X71" s="142"/>
      <c r="Y71" s="143"/>
    </row>
    <row r="72" spans="1:29">
      <c r="Q72" s="82"/>
      <c r="R72" s="82"/>
      <c r="S72" s="82"/>
      <c r="T72" s="170"/>
      <c r="U72" s="82"/>
      <c r="V72" s="82"/>
      <c r="W72" s="82"/>
      <c r="X72" s="142"/>
      <c r="Y72" s="143"/>
    </row>
    <row r="73" spans="1:29">
      <c r="A73" s="72" t="s">
        <v>102</v>
      </c>
      <c r="X73" s="142"/>
      <c r="Y73" s="143"/>
    </row>
    <row r="74" spans="1:29" s="81" customFormat="1">
      <c r="B74" s="48" t="s">
        <v>9</v>
      </c>
      <c r="C74" s="48">
        <v>500</v>
      </c>
      <c r="D74" s="81">
        <v>586350</v>
      </c>
      <c r="E74" s="48" t="s">
        <v>83</v>
      </c>
      <c r="F74" s="48" t="s">
        <v>84</v>
      </c>
      <c r="G74" s="45">
        <v>700</v>
      </c>
      <c r="H74" s="81" t="s">
        <v>284</v>
      </c>
      <c r="I74" s="48" t="s">
        <v>101</v>
      </c>
      <c r="J74" s="81">
        <v>700</v>
      </c>
      <c r="K74" s="81">
        <v>612525</v>
      </c>
      <c r="L74" s="48" t="s">
        <v>83</v>
      </c>
      <c r="M74" s="48" t="s">
        <v>84</v>
      </c>
      <c r="N74" s="83">
        <v>500</v>
      </c>
      <c r="O74" s="83" t="s">
        <v>285</v>
      </c>
      <c r="P74" s="71"/>
      <c r="Q74" s="75">
        <v>-2403.2800000000002</v>
      </c>
      <c r="R74" s="75">
        <v>2571.52</v>
      </c>
      <c r="S74" s="76"/>
      <c r="T74" s="71"/>
      <c r="U74" s="75">
        <v>-11548.840000000002</v>
      </c>
      <c r="V74" s="75">
        <v>12116.000000000002</v>
      </c>
      <c r="W74" s="76"/>
      <c r="X74" s="144"/>
      <c r="Y74" s="171"/>
      <c r="Z74" s="166"/>
      <c r="AA74" s="145"/>
      <c r="AB74" s="145"/>
      <c r="AC74" s="146"/>
    </row>
    <row r="75" spans="1:29">
      <c r="D75" s="48" t="s">
        <v>137</v>
      </c>
      <c r="Q75" s="77">
        <f ca="1">SUM(Q74:Q74)</f>
        <v>-2403.2800000000002</v>
      </c>
      <c r="R75" s="77">
        <f ca="1">SUM(R74:R74)</f>
        <v>2571.52</v>
      </c>
      <c r="S75" s="77">
        <f>SUM(S74:S74)</f>
        <v>0</v>
      </c>
      <c r="U75" s="77">
        <f ca="1">SUM(U74:U74)</f>
        <v>-11548.840000000002</v>
      </c>
      <c r="V75" s="77">
        <f ca="1">SUM(V74:V74)</f>
        <v>12116.000000000002</v>
      </c>
      <c r="W75" s="76">
        <f ca="1">+V75+U75</f>
        <v>567.15999999999985</v>
      </c>
      <c r="X75" s="142">
        <v>7.0000000000000007E-2</v>
      </c>
      <c r="Y75" s="142">
        <v>0.01</v>
      </c>
      <c r="Z75" s="141" t="b">
        <f ca="1">IF(OR(U75&lt;&gt;0,V75&lt;&gt;0),ABS(((+U75*(1+X75))+V75)/IF(U75&lt;&gt;0,U75,1)),0)&lt;=Y75</f>
        <v>0</v>
      </c>
    </row>
    <row r="76" spans="1:29">
      <c r="Q76" s="82"/>
      <c r="R76" s="82"/>
      <c r="S76" s="82"/>
      <c r="U76" s="82"/>
      <c r="V76" s="82"/>
      <c r="W76" s="82"/>
      <c r="X76" s="142"/>
      <c r="Y76" s="143"/>
    </row>
    <row r="77" spans="1:29" s="81" customFormat="1">
      <c r="B77" s="81" t="s">
        <v>11</v>
      </c>
      <c r="C77" s="81">
        <v>600</v>
      </c>
      <c r="D77" s="81">
        <v>586350</v>
      </c>
      <c r="E77" s="81" t="s">
        <v>83</v>
      </c>
      <c r="F77" s="81" t="s">
        <v>84</v>
      </c>
      <c r="G77" s="83">
        <v>700</v>
      </c>
      <c r="H77" s="81" t="s">
        <v>284</v>
      </c>
      <c r="I77" s="81" t="s">
        <v>101</v>
      </c>
      <c r="J77" s="81">
        <v>700</v>
      </c>
      <c r="K77" s="81">
        <v>612525</v>
      </c>
      <c r="L77" s="81" t="s">
        <v>83</v>
      </c>
      <c r="M77" s="81" t="s">
        <v>84</v>
      </c>
      <c r="N77" s="83">
        <v>600</v>
      </c>
      <c r="O77" s="83" t="s">
        <v>285</v>
      </c>
      <c r="P77" s="71"/>
      <c r="Q77" s="75">
        <v>-4306.05</v>
      </c>
      <c r="R77" s="75">
        <v>16436.46</v>
      </c>
      <c r="S77" s="152"/>
      <c r="T77" s="71"/>
      <c r="U77" s="75">
        <v>-33151.07</v>
      </c>
      <c r="V77" s="75">
        <v>34917.339999999997</v>
      </c>
      <c r="W77" s="152"/>
      <c r="X77" s="144"/>
      <c r="Y77" s="165"/>
      <c r="Z77" s="166"/>
      <c r="AA77" s="145"/>
      <c r="AB77" s="145"/>
      <c r="AC77" s="146"/>
    </row>
    <row r="78" spans="1:29">
      <c r="D78" s="48" t="s">
        <v>137</v>
      </c>
      <c r="Q78" s="77">
        <f ca="1">SUM(Q77:Q77)</f>
        <v>-4306.05</v>
      </c>
      <c r="R78" s="77">
        <f ca="1">SUM(R77:R77)</f>
        <v>16436.46</v>
      </c>
      <c r="S78" s="76">
        <f ca="1">+R78+Q78</f>
        <v>12130.41</v>
      </c>
      <c r="U78" s="77">
        <f ca="1">SUM(U77:U77)</f>
        <v>-33151.07</v>
      </c>
      <c r="V78" s="77">
        <f ca="1">SUM(V77:V77)</f>
        <v>34917.339999999997</v>
      </c>
      <c r="W78" s="76">
        <f ca="1">+V78+U78</f>
        <v>1766.2699999999968</v>
      </c>
      <c r="X78" s="142">
        <v>7.0000000000000007E-2</v>
      </c>
      <c r="Y78" s="142">
        <v>1E-3</v>
      </c>
      <c r="Z78" s="141" t="b">
        <f ca="1">IF(OR(U78&lt;&gt;0,V78&lt;&gt;0),ABS(((+U78*(1+X78))+V78)/IF(U78&lt;&gt;0,U78,1)),0)&lt;=Y78</f>
        <v>0</v>
      </c>
    </row>
    <row r="79" spans="1:29">
      <c r="Q79" s="82"/>
      <c r="R79" s="82"/>
      <c r="S79" s="82"/>
      <c r="U79" s="82"/>
      <c r="V79" s="82"/>
      <c r="W79" s="82"/>
      <c r="X79" s="142"/>
      <c r="Y79" s="143"/>
    </row>
    <row r="80" spans="1:29">
      <c r="A80" s="72" t="s">
        <v>45</v>
      </c>
      <c r="X80" s="142"/>
      <c r="Y80" s="143"/>
    </row>
    <row r="81" spans="1:29" s="81" customFormat="1">
      <c r="B81" s="81" t="s">
        <v>11</v>
      </c>
      <c r="C81" s="81">
        <v>600</v>
      </c>
      <c r="D81" s="81">
        <v>586357</v>
      </c>
      <c r="E81" s="48" t="s">
        <v>83</v>
      </c>
      <c r="F81" s="48" t="s">
        <v>84</v>
      </c>
      <c r="G81" s="83">
        <v>500</v>
      </c>
      <c r="I81" s="81" t="s">
        <v>9</v>
      </c>
      <c r="J81" s="81">
        <f>+G81</f>
        <v>500</v>
      </c>
      <c r="K81" s="81">
        <v>615530</v>
      </c>
      <c r="L81" s="48">
        <v>6990</v>
      </c>
      <c r="M81" s="48" t="s">
        <v>84</v>
      </c>
      <c r="N81" s="83">
        <v>600</v>
      </c>
      <c r="O81" s="83" t="s">
        <v>288</v>
      </c>
      <c r="P81" s="71"/>
      <c r="Q81" s="75">
        <v>0</v>
      </c>
      <c r="R81" s="75">
        <v>0</v>
      </c>
      <c r="S81" s="76">
        <f ca="1">+R81+Q81</f>
        <v>0</v>
      </c>
      <c r="T81" s="71"/>
      <c r="U81" s="75">
        <v>0</v>
      </c>
      <c r="V81" s="75">
        <v>0</v>
      </c>
      <c r="W81" s="76">
        <f ca="1">+V81+U81</f>
        <v>0</v>
      </c>
      <c r="X81" s="144">
        <v>0</v>
      </c>
      <c r="Y81" s="142">
        <v>1E-3</v>
      </c>
      <c r="Z81" s="141" t="b">
        <f ca="1">IF(OR(U81&lt;&gt;0,V81&lt;&gt;0),ABS(((+U81*(1+X81))+V81)/IF(U81&lt;&gt;0,U81,1)),0)&lt;=Y81</f>
        <v>1</v>
      </c>
      <c r="AA81" s="145"/>
      <c r="AB81" s="145"/>
      <c r="AC81" s="146"/>
    </row>
    <row r="82" spans="1:29" s="81" customFormat="1">
      <c r="B82" s="81" t="s">
        <v>11</v>
      </c>
      <c r="C82" s="81">
        <v>600</v>
      </c>
      <c r="D82" s="81">
        <v>586357</v>
      </c>
      <c r="E82" s="81" t="s">
        <v>83</v>
      </c>
      <c r="F82" s="81" t="s">
        <v>84</v>
      </c>
      <c r="G82" s="83">
        <v>700</v>
      </c>
      <c r="I82" s="81" t="s">
        <v>101</v>
      </c>
      <c r="J82" s="81">
        <f>+G82</f>
        <v>700</v>
      </c>
      <c r="K82" s="81">
        <v>615530</v>
      </c>
      <c r="L82" s="81">
        <v>7100</v>
      </c>
      <c r="M82" s="81" t="s">
        <v>84</v>
      </c>
      <c r="N82" s="83">
        <v>600</v>
      </c>
      <c r="O82" s="83" t="s">
        <v>289</v>
      </c>
      <c r="P82" s="71"/>
      <c r="Q82" s="75">
        <v>0</v>
      </c>
      <c r="R82" s="75">
        <v>0</v>
      </c>
      <c r="S82" s="152">
        <f ca="1">+R82+Q82</f>
        <v>0</v>
      </c>
      <c r="T82" s="71"/>
      <c r="U82" s="75">
        <v>0</v>
      </c>
      <c r="V82" s="75">
        <v>0</v>
      </c>
      <c r="W82" s="152">
        <f ca="1">+V82+U82</f>
        <v>0</v>
      </c>
      <c r="X82" s="144">
        <v>0</v>
      </c>
      <c r="Y82" s="144">
        <v>1E-3</v>
      </c>
      <c r="Z82" s="153" t="b">
        <f ca="1">IF(OR(U82&lt;&gt;0,V82&lt;&gt;0),ABS(((+U82*(1+X82))+V82)/IF(U82&lt;&gt;0,U82,1)),0)&lt;=Y82</f>
        <v>1</v>
      </c>
      <c r="AA82" s="145"/>
      <c r="AB82" s="145"/>
      <c r="AC82" s="146"/>
    </row>
    <row r="83" spans="1:29">
      <c r="D83" s="48" t="s">
        <v>137</v>
      </c>
      <c r="Q83" s="77">
        <f ca="1">SUM(Q81:Q82)</f>
        <v>0</v>
      </c>
      <c r="R83" s="77">
        <f ca="1">SUM(R81:R82)</f>
        <v>0</v>
      </c>
      <c r="S83" s="77">
        <f ca="1">SUM(S81:S82)</f>
        <v>0</v>
      </c>
      <c r="U83" s="77">
        <f ca="1">SUM(U81:U82)</f>
        <v>0</v>
      </c>
      <c r="V83" s="77">
        <f ca="1">SUM(V81:V82)</f>
        <v>0</v>
      </c>
      <c r="W83" s="77">
        <f ca="1">SUM(W81:W82)</f>
        <v>0</v>
      </c>
      <c r="X83" s="142"/>
      <c r="Y83" s="143"/>
    </row>
    <row r="84" spans="1:29">
      <c r="Q84" s="82"/>
      <c r="R84" s="82"/>
      <c r="S84" s="82"/>
      <c r="U84" s="82"/>
      <c r="V84" s="82"/>
      <c r="W84" s="82"/>
      <c r="X84" s="142"/>
      <c r="Y84" s="143"/>
    </row>
    <row r="85" spans="1:29">
      <c r="A85" s="72" t="s">
        <v>29</v>
      </c>
      <c r="X85" s="142"/>
      <c r="Y85" s="143"/>
    </row>
    <row r="86" spans="1:29">
      <c r="B86" s="81" t="s">
        <v>11</v>
      </c>
      <c r="C86" s="48">
        <v>600</v>
      </c>
      <c r="D86" s="81">
        <v>586350</v>
      </c>
      <c r="E86" s="48" t="s">
        <v>83</v>
      </c>
      <c r="F86" s="48" t="s">
        <v>84</v>
      </c>
      <c r="G86" s="83">
        <v>400</v>
      </c>
      <c r="I86" s="48" t="s">
        <v>7</v>
      </c>
      <c r="J86" s="81">
        <f>+G86</f>
        <v>400</v>
      </c>
      <c r="K86" s="48">
        <v>615530</v>
      </c>
      <c r="L86" s="48" t="s">
        <v>83</v>
      </c>
      <c r="M86" s="48" t="s">
        <v>84</v>
      </c>
      <c r="N86" s="83">
        <f>+C86</f>
        <v>600</v>
      </c>
      <c r="O86" s="83"/>
      <c r="Q86" s="75">
        <v>0</v>
      </c>
      <c r="R86" s="75">
        <v>0</v>
      </c>
      <c r="S86" s="76">
        <f ca="1">+R86+Q86</f>
        <v>0</v>
      </c>
      <c r="U86" s="75">
        <v>0</v>
      </c>
      <c r="V86" s="75">
        <v>0</v>
      </c>
      <c r="W86" s="76">
        <f ca="1">+V86+U86</f>
        <v>0</v>
      </c>
      <c r="X86" s="142">
        <v>7.0000000000000007E-2</v>
      </c>
      <c r="Y86" s="142">
        <v>1E-3</v>
      </c>
      <c r="Z86" s="141" t="b">
        <f ca="1">IF(OR(U86&lt;&gt;0,V86&lt;&gt;0),ABS(((+U86*(1+X86))+V86)/IF(U86&lt;&gt;0,U86,1)),0)&lt;=Y86</f>
        <v>1</v>
      </c>
    </row>
    <row r="87" spans="1:29">
      <c r="B87" s="48" t="s">
        <v>11</v>
      </c>
      <c r="C87" s="48">
        <v>600</v>
      </c>
      <c r="D87" s="81">
        <v>586350</v>
      </c>
      <c r="E87" s="48" t="s">
        <v>83</v>
      </c>
      <c r="F87" s="48" t="s">
        <v>84</v>
      </c>
      <c r="G87" s="45">
        <v>100</v>
      </c>
      <c r="I87" s="48" t="s">
        <v>51</v>
      </c>
      <c r="J87" s="81">
        <v>390</v>
      </c>
      <c r="K87" s="48">
        <v>615530</v>
      </c>
      <c r="L87" s="48" t="s">
        <v>83</v>
      </c>
      <c r="M87" s="48" t="s">
        <v>84</v>
      </c>
      <c r="N87" s="147" t="s">
        <v>80</v>
      </c>
      <c r="O87" s="147" t="s">
        <v>274</v>
      </c>
      <c r="Q87" s="75">
        <v>0</v>
      </c>
      <c r="R87" s="75">
        <v>0</v>
      </c>
      <c r="S87" s="76">
        <f ca="1">+R87+Q87</f>
        <v>0</v>
      </c>
      <c r="U87" s="75">
        <v>0</v>
      </c>
      <c r="V87" s="75">
        <v>0</v>
      </c>
      <c r="W87" s="76">
        <f ca="1">+V87+U87</f>
        <v>0</v>
      </c>
      <c r="X87" s="142">
        <v>7.0000000000000007E-2</v>
      </c>
      <c r="Y87" s="142">
        <v>1E-3</v>
      </c>
      <c r="Z87" s="141" t="b">
        <f ca="1">IF(OR(U87&lt;&gt;0,V87&lt;&gt;0),ABS(((+U87*(1+X87))+V87)/IF(U87&lt;&gt;0,U87,1)),0)&lt;=Y87</f>
        <v>1</v>
      </c>
    </row>
    <row r="88" spans="1:29">
      <c r="B88" s="48" t="s">
        <v>11</v>
      </c>
      <c r="C88" s="48">
        <v>600</v>
      </c>
      <c r="D88" s="81">
        <v>586350</v>
      </c>
      <c r="E88" s="48" t="s">
        <v>83</v>
      </c>
      <c r="F88" s="48" t="s">
        <v>84</v>
      </c>
      <c r="G88" s="45">
        <v>500</v>
      </c>
      <c r="I88" s="48" t="s">
        <v>9</v>
      </c>
      <c r="J88" s="81">
        <f>+G88</f>
        <v>500</v>
      </c>
      <c r="K88" s="48">
        <v>615530</v>
      </c>
      <c r="L88" s="48">
        <v>6124</v>
      </c>
      <c r="M88" s="48" t="s">
        <v>84</v>
      </c>
      <c r="N88" s="83">
        <f>+C88</f>
        <v>600</v>
      </c>
      <c r="O88" s="83" t="s">
        <v>287</v>
      </c>
      <c r="Q88" s="75">
        <v>0</v>
      </c>
      <c r="R88" s="75">
        <v>0</v>
      </c>
      <c r="S88" s="76">
        <f ca="1">+R88+Q88</f>
        <v>0</v>
      </c>
      <c r="U88" s="75">
        <v>0</v>
      </c>
      <c r="V88" s="75">
        <v>0</v>
      </c>
      <c r="W88" s="76">
        <f ca="1">+V88+U88</f>
        <v>0</v>
      </c>
      <c r="X88" s="142">
        <v>7.0000000000000007E-2</v>
      </c>
      <c r="Y88" s="142">
        <v>1E-3</v>
      </c>
      <c r="Z88" s="141" t="b">
        <f ca="1">IF(OR(U88&lt;&gt;0,V88&lt;&gt;0),ABS(((+U88*(1+X88))+V88)/IF(U88&lt;&gt;0,U88,1)),0)&lt;=Y88</f>
        <v>1</v>
      </c>
    </row>
    <row r="89" spans="1:29">
      <c r="B89" s="48" t="s">
        <v>11</v>
      </c>
      <c r="C89" s="48">
        <v>600</v>
      </c>
      <c r="D89" s="81">
        <v>586350</v>
      </c>
      <c r="E89" s="48" t="s">
        <v>83</v>
      </c>
      <c r="F89" s="48" t="s">
        <v>84</v>
      </c>
      <c r="G89" s="45">
        <v>800</v>
      </c>
      <c r="I89" s="48" t="s">
        <v>6</v>
      </c>
      <c r="J89" s="81">
        <f>+G89</f>
        <v>800</v>
      </c>
      <c r="K89" s="48">
        <v>615530</v>
      </c>
      <c r="L89" s="48" t="s">
        <v>83</v>
      </c>
      <c r="M89" s="48" t="s">
        <v>84</v>
      </c>
      <c r="N89" s="83">
        <f>+C89</f>
        <v>600</v>
      </c>
      <c r="O89" s="83"/>
      <c r="Q89" s="75">
        <v>0</v>
      </c>
      <c r="R89" s="75">
        <v>0</v>
      </c>
      <c r="S89" s="76">
        <f ca="1">+R89+Q89</f>
        <v>0</v>
      </c>
      <c r="U89" s="75">
        <v>0</v>
      </c>
      <c r="V89" s="75">
        <v>0</v>
      </c>
      <c r="W89" s="76">
        <f ca="1">+V89+U89</f>
        <v>0</v>
      </c>
      <c r="X89" s="142">
        <v>7.0000000000000007E-2</v>
      </c>
      <c r="Y89" s="142">
        <v>1E-3</v>
      </c>
      <c r="Z89" s="141" t="b">
        <f ca="1">IF(OR(U89&lt;&gt;0,V89&lt;&gt;0),ABS(((+U89*(1+X89))+V89)/IF(U89&lt;&gt;0,U89,1)),0)&lt;=Y89</f>
        <v>1</v>
      </c>
    </row>
    <row r="90" spans="1:29">
      <c r="D90" s="48" t="s">
        <v>137</v>
      </c>
      <c r="Q90" s="77">
        <f ca="1">SUM(Q86:Q89)</f>
        <v>0</v>
      </c>
      <c r="R90" s="77">
        <f ca="1">SUM(R86:R89)</f>
        <v>0</v>
      </c>
      <c r="S90" s="77">
        <f ca="1">SUM(S86:S89)</f>
        <v>0</v>
      </c>
      <c r="U90" s="77">
        <f ca="1">SUM(U86:U89)</f>
        <v>0</v>
      </c>
      <c r="V90" s="77">
        <f ca="1">SUM(V86:V89)</f>
        <v>0</v>
      </c>
      <c r="W90" s="77">
        <f ca="1">SUM(W86:W89)</f>
        <v>0</v>
      </c>
      <c r="X90" s="142"/>
      <c r="Y90" s="143"/>
    </row>
    <row r="91" spans="1:29" s="70" customFormat="1" ht="14.25" thickBot="1">
      <c r="E91" s="79" t="s">
        <v>134</v>
      </c>
      <c r="F91" s="79"/>
      <c r="G91" s="79"/>
      <c r="H91" s="48"/>
      <c r="I91" s="81"/>
      <c r="J91" s="81"/>
      <c r="K91" s="81"/>
      <c r="L91" s="81"/>
      <c r="M91" s="81"/>
      <c r="N91" s="83"/>
      <c r="O91" s="83"/>
      <c r="P91" s="138"/>
      <c r="Q91" s="107">
        <f ca="1">+SUMIF($D$25:$D90,"subtotal",Q$25:Q90)</f>
        <v>-111692.23</v>
      </c>
      <c r="R91" s="107">
        <f ca="1">+SUMIF($D$25:$D90,"subtotal",R$25:R90)</f>
        <v>128173.63</v>
      </c>
      <c r="S91" s="107">
        <f ca="1">+SUMIF($D$25:$D90,"subtotal",S$25:S90)</f>
        <v>16313.160000000003</v>
      </c>
      <c r="T91" s="172">
        <f>T56+T36+T61+T48</f>
        <v>0</v>
      </c>
      <c r="U91" s="107">
        <f ca="1">+SUMIF($D$25:$D90,"subtotal",U$25:U90)</f>
        <v>-571517.2899999998</v>
      </c>
      <c r="V91" s="107">
        <f ca="1">+SUMIF($D$25:$D90,"subtotal",V$25:V90)</f>
        <v>596092.09</v>
      </c>
      <c r="W91" s="107">
        <f ca="1">+SUMIF($D$25:$D90,"subtotal",W$25:W90)</f>
        <v>24574.800000000036</v>
      </c>
      <c r="X91" s="103"/>
      <c r="Y91" s="103"/>
      <c r="AA91" s="133"/>
      <c r="AB91" s="133"/>
      <c r="AC91" s="46"/>
    </row>
    <row r="92" spans="1:29" ht="17.25" thickTop="1">
      <c r="I92" s="81"/>
      <c r="J92" s="81"/>
      <c r="K92" s="81"/>
      <c r="L92" s="81"/>
      <c r="M92" s="81"/>
      <c r="N92" s="83"/>
      <c r="O92" s="83"/>
      <c r="P92" s="138"/>
      <c r="Q92" s="81"/>
      <c r="R92" s="81"/>
      <c r="S92" s="81"/>
      <c r="U92" s="81"/>
      <c r="V92" s="81"/>
      <c r="X92" s="143"/>
      <c r="Y92" s="143"/>
    </row>
    <row r="93" spans="1:29">
      <c r="A93" s="140" t="s">
        <v>133</v>
      </c>
      <c r="I93" s="81"/>
      <c r="J93" s="81"/>
      <c r="K93" s="81"/>
      <c r="L93" s="81"/>
      <c r="M93" s="81"/>
      <c r="N93" s="83"/>
      <c r="O93" s="83"/>
      <c r="P93" s="138"/>
      <c r="Q93" s="81"/>
      <c r="R93" s="81"/>
      <c r="S93" s="81"/>
      <c r="U93" s="81"/>
      <c r="V93" s="81"/>
      <c r="X93" s="143"/>
      <c r="Y93" s="143"/>
    </row>
    <row r="94" spans="1:29">
      <c r="A94" s="72" t="s">
        <v>32</v>
      </c>
      <c r="I94" s="81"/>
      <c r="J94" s="81"/>
      <c r="K94" s="81"/>
      <c r="L94" s="81"/>
      <c r="M94" s="81"/>
      <c r="N94" s="83"/>
      <c r="O94" s="83"/>
      <c r="P94" s="138"/>
      <c r="Q94" s="81"/>
      <c r="R94" s="81"/>
      <c r="S94" s="81"/>
      <c r="U94" s="81"/>
      <c r="V94" s="81"/>
      <c r="X94" s="143"/>
      <c r="Y94" s="143"/>
    </row>
    <row r="95" spans="1:29">
      <c r="B95" s="48" t="s">
        <v>7</v>
      </c>
      <c r="C95" s="48">
        <v>400</v>
      </c>
      <c r="D95" s="48">
        <v>551500</v>
      </c>
      <c r="E95" s="48" t="s">
        <v>83</v>
      </c>
      <c r="F95" s="48" t="s">
        <v>84</v>
      </c>
      <c r="G95" s="45">
        <v>500</v>
      </c>
      <c r="I95" s="81" t="s">
        <v>9</v>
      </c>
      <c r="J95" s="81">
        <f>+G95</f>
        <v>500</v>
      </c>
      <c r="K95" s="81">
        <v>630025</v>
      </c>
      <c r="L95" s="48" t="s">
        <v>83</v>
      </c>
      <c r="M95" s="48" t="s">
        <v>84</v>
      </c>
      <c r="N95" s="83">
        <f>+C95</f>
        <v>400</v>
      </c>
      <c r="O95" s="83"/>
      <c r="P95" s="138"/>
      <c r="Q95" s="75">
        <v>0</v>
      </c>
      <c r="R95" s="75">
        <v>0</v>
      </c>
      <c r="S95" s="76">
        <f ca="1">+R95+Q95</f>
        <v>0</v>
      </c>
      <c r="U95" s="75">
        <v>0</v>
      </c>
      <c r="V95" s="75">
        <v>0</v>
      </c>
      <c r="W95" s="152">
        <f ca="1">+V95+U95</f>
        <v>0</v>
      </c>
      <c r="X95" s="142">
        <v>0</v>
      </c>
      <c r="Y95" s="142">
        <v>1E-3</v>
      </c>
      <c r="Z95" s="141" t="b">
        <f ca="1">IF(OR(U95&lt;&gt;0,V95&lt;&gt;0),ABS(((+U95*(1+X95))+V95)/IF(U95&lt;&gt;0,U95,1)),0)&lt;=Y95</f>
        <v>1</v>
      </c>
    </row>
    <row r="96" spans="1:29">
      <c r="B96" s="48" t="s">
        <v>7</v>
      </c>
      <c r="C96" s="48">
        <v>400</v>
      </c>
      <c r="D96" s="48">
        <v>551500</v>
      </c>
      <c r="E96" s="48" t="s">
        <v>83</v>
      </c>
      <c r="F96" s="48" t="s">
        <v>84</v>
      </c>
      <c r="G96" s="45">
        <v>600</v>
      </c>
      <c r="I96" s="81" t="s">
        <v>11</v>
      </c>
      <c r="J96" s="81">
        <f>+G96</f>
        <v>600</v>
      </c>
      <c r="K96" s="81">
        <v>630025</v>
      </c>
      <c r="L96" s="48" t="s">
        <v>83</v>
      </c>
      <c r="M96" s="48" t="s">
        <v>84</v>
      </c>
      <c r="N96" s="83">
        <f>+C96</f>
        <v>400</v>
      </c>
      <c r="O96" s="173"/>
      <c r="P96" s="138"/>
      <c r="Q96" s="75">
        <v>0</v>
      </c>
      <c r="R96" s="75">
        <v>0</v>
      </c>
      <c r="S96" s="76">
        <f ca="1">+R96+Q96</f>
        <v>0</v>
      </c>
      <c r="U96" s="75">
        <v>0</v>
      </c>
      <c r="V96" s="75">
        <v>0</v>
      </c>
      <c r="W96" s="76">
        <f ca="1">+V96+U96</f>
        <v>0</v>
      </c>
      <c r="X96" s="142">
        <v>0</v>
      </c>
      <c r="Y96" s="142">
        <v>1E-3</v>
      </c>
      <c r="Z96" s="141" t="b">
        <f ca="1">IF(OR(U96&lt;&gt;0,V96&lt;&gt;0),ABS(((+U96*(1+X96))+V96)/IF(U96&lt;&gt;0,U96,1)),0)&lt;=Y96</f>
        <v>1</v>
      </c>
    </row>
    <row r="97" spans="1:29">
      <c r="B97" s="48" t="s">
        <v>7</v>
      </c>
      <c r="C97" s="48">
        <v>400</v>
      </c>
      <c r="D97" s="48">
        <v>551500</v>
      </c>
      <c r="E97" s="48" t="s">
        <v>83</v>
      </c>
      <c r="F97" s="48" t="s">
        <v>84</v>
      </c>
      <c r="G97" s="45">
        <v>700</v>
      </c>
      <c r="I97" s="48" t="s">
        <v>101</v>
      </c>
      <c r="J97" s="81">
        <f>+G97</f>
        <v>700</v>
      </c>
      <c r="K97" s="48">
        <v>630025</v>
      </c>
      <c r="L97" s="48" t="s">
        <v>83</v>
      </c>
      <c r="M97" s="48" t="s">
        <v>84</v>
      </c>
      <c r="N97" s="83">
        <f>+C97</f>
        <v>400</v>
      </c>
      <c r="O97" s="83"/>
      <c r="Q97" s="75">
        <v>0</v>
      </c>
      <c r="R97" s="75">
        <v>0</v>
      </c>
      <c r="S97" s="76">
        <f ca="1">+R97+Q97</f>
        <v>0</v>
      </c>
      <c r="U97" s="75">
        <v>0</v>
      </c>
      <c r="V97" s="75">
        <v>0</v>
      </c>
      <c r="W97" s="76">
        <f ca="1">+V97+U97</f>
        <v>0</v>
      </c>
      <c r="X97" s="142">
        <v>0</v>
      </c>
      <c r="Y97" s="142">
        <v>1E-3</v>
      </c>
      <c r="Z97" s="141" t="b">
        <f ca="1">IF(OR(U97&lt;&gt;0,V97&lt;&gt;0),ABS(((+U97*(1+X97))+V97)/IF(U97&lt;&gt;0,U97,1)),0)&lt;=Y97</f>
        <v>1</v>
      </c>
    </row>
    <row r="98" spans="1:29">
      <c r="D98" s="48" t="s">
        <v>137</v>
      </c>
      <c r="Q98" s="77">
        <f ca="1">SUM(Q94:Q97)</f>
        <v>0</v>
      </c>
      <c r="R98" s="77">
        <f ca="1">SUM(R94:R97)</f>
        <v>0</v>
      </c>
      <c r="S98" s="77">
        <f ca="1">SUM(S94:S97)</f>
        <v>0</v>
      </c>
      <c r="U98" s="77">
        <f ca="1">SUM(U94:U97)</f>
        <v>0</v>
      </c>
      <c r="V98" s="77">
        <f ca="1">SUM(V94:V97)</f>
        <v>0</v>
      </c>
      <c r="W98" s="77">
        <f ca="1">SUM(W94:W97)</f>
        <v>0</v>
      </c>
      <c r="X98" s="143"/>
      <c r="Y98" s="143"/>
    </row>
    <row r="99" spans="1:29" s="70" customFormat="1" ht="17.25" thickBot="1">
      <c r="E99" s="79" t="s">
        <v>134</v>
      </c>
      <c r="F99" s="79"/>
      <c r="G99" s="79"/>
      <c r="H99" s="48"/>
      <c r="I99" s="48"/>
      <c r="J99" s="48"/>
      <c r="K99" s="48"/>
      <c r="L99" s="48"/>
      <c r="M99" s="48"/>
      <c r="N99" s="45"/>
      <c r="O99" s="45"/>
      <c r="P99" s="71"/>
      <c r="Q99" s="107">
        <f ca="1">+SUMIF($D$92:$D98,"subtotal",Q$92:Q98)</f>
        <v>0</v>
      </c>
      <c r="R99" s="107">
        <f ca="1">+SUMIF($D$92:$D98,"subtotal",R$92:R98)</f>
        <v>0</v>
      </c>
      <c r="S99" s="107">
        <f ca="1">+SUMIF($D$92:$D98,"subtotal",S$92:S98)</f>
        <v>0</v>
      </c>
      <c r="T99" s="94"/>
      <c r="U99" s="107">
        <f ca="1">+SUMIF($D$92:$D98,"subtotal",U$92:U98)</f>
        <v>0</v>
      </c>
      <c r="V99" s="107">
        <f ca="1">+SUMIF($D$92:$D98,"subtotal",V$92:V98)</f>
        <v>0</v>
      </c>
      <c r="W99" s="107">
        <f ca="1">+SUMIF($D$92:$D98,"subtotal",W$92:W98)</f>
        <v>0</v>
      </c>
      <c r="X99" s="103"/>
      <c r="Y99" s="103"/>
      <c r="AA99" s="119"/>
      <c r="AB99" s="119"/>
      <c r="AC99" s="136"/>
    </row>
    <row r="100" spans="1:29" s="70" customFormat="1" ht="17.25" thickTop="1">
      <c r="D100" s="93"/>
      <c r="E100" s="93"/>
      <c r="F100" s="93"/>
      <c r="G100" s="79"/>
      <c r="H100" s="48"/>
      <c r="I100" s="48"/>
      <c r="J100" s="48"/>
      <c r="K100" s="48"/>
      <c r="L100" s="48"/>
      <c r="M100" s="48"/>
      <c r="N100" s="45"/>
      <c r="O100" s="45"/>
      <c r="P100" s="71"/>
      <c r="Q100" s="48"/>
      <c r="R100" s="48"/>
      <c r="S100" s="174"/>
      <c r="T100" s="94"/>
      <c r="U100" s="48"/>
      <c r="V100" s="48"/>
      <c r="W100" s="174"/>
      <c r="X100" s="103"/>
      <c r="Y100" s="103"/>
      <c r="AA100" s="119"/>
      <c r="AB100" s="119"/>
      <c r="AC100" s="136"/>
    </row>
    <row r="101" spans="1:29">
      <c r="A101" s="140" t="s">
        <v>132</v>
      </c>
      <c r="X101" s="143"/>
      <c r="Y101" s="143"/>
    </row>
    <row r="102" spans="1:29">
      <c r="A102" s="72" t="s">
        <v>131</v>
      </c>
      <c r="X102" s="143"/>
      <c r="Y102" s="143"/>
    </row>
    <row r="103" spans="1:29">
      <c r="B103" s="48" t="s">
        <v>6</v>
      </c>
      <c r="C103" s="48">
        <v>800</v>
      </c>
      <c r="D103" s="48">
        <v>585500</v>
      </c>
      <c r="E103" s="48" t="s">
        <v>83</v>
      </c>
      <c r="F103" s="48" t="s">
        <v>84</v>
      </c>
      <c r="G103" s="45">
        <v>400</v>
      </c>
      <c r="I103" s="48" t="s">
        <v>7</v>
      </c>
      <c r="J103" s="81">
        <f>+G103</f>
        <v>400</v>
      </c>
      <c r="K103" s="48">
        <v>615500</v>
      </c>
      <c r="L103" s="48" t="s">
        <v>83</v>
      </c>
      <c r="M103" s="48" t="s">
        <v>84</v>
      </c>
      <c r="N103" s="175">
        <v>800</v>
      </c>
      <c r="O103" s="173"/>
      <c r="Q103" s="75">
        <v>-533.37</v>
      </c>
      <c r="R103" s="75">
        <v>533.37</v>
      </c>
      <c r="S103" s="76">
        <f ca="1">+R103+Q103</f>
        <v>0</v>
      </c>
      <c r="U103" s="75">
        <v>-4784.63</v>
      </c>
      <c r="V103" s="75">
        <v>4784.63</v>
      </c>
      <c r="W103" s="76">
        <f ca="1">+V103+U103</f>
        <v>0</v>
      </c>
      <c r="X103" s="142">
        <v>0</v>
      </c>
      <c r="Y103" s="142">
        <v>1E-3</v>
      </c>
      <c r="Z103" s="141" t="b">
        <f ca="1">IF(OR(U103&lt;&gt;0,V103&lt;&gt;0),ABS(((+U103*(1+X103))+V103)/IF(U103&lt;&gt;0,U103,1)),0)&lt;=Y103</f>
        <v>1</v>
      </c>
    </row>
    <row r="104" spans="1:29">
      <c r="B104" s="48" t="s">
        <v>6</v>
      </c>
      <c r="C104" s="48">
        <v>800</v>
      </c>
      <c r="D104" s="48">
        <v>585500</v>
      </c>
      <c r="E104" s="48" t="s">
        <v>83</v>
      </c>
      <c r="F104" s="48" t="s">
        <v>84</v>
      </c>
      <c r="G104" s="45">
        <v>100</v>
      </c>
      <c r="I104" s="48" t="s">
        <v>51</v>
      </c>
      <c r="J104" s="81">
        <v>390</v>
      </c>
      <c r="K104" s="48">
        <v>615500</v>
      </c>
      <c r="L104" s="48" t="s">
        <v>83</v>
      </c>
      <c r="M104" s="48" t="s">
        <v>84</v>
      </c>
      <c r="N104" s="175">
        <v>800</v>
      </c>
      <c r="O104" s="154" t="s">
        <v>273</v>
      </c>
      <c r="Q104" s="75">
        <v>-414393.22</v>
      </c>
      <c r="R104" s="75">
        <v>414393.20999999996</v>
      </c>
      <c r="S104" s="76">
        <f ca="1">+R104+Q104</f>
        <v>-1.0000000009313226E-2</v>
      </c>
      <c r="U104" s="75">
        <v>-2034797.43</v>
      </c>
      <c r="V104" s="75">
        <v>2034797.4100000001</v>
      </c>
      <c r="W104" s="76">
        <f ca="1">+V104+U104</f>
        <v>-1.9999999785795808E-2</v>
      </c>
      <c r="X104" s="142">
        <v>0</v>
      </c>
      <c r="Y104" s="142">
        <v>1E-3</v>
      </c>
      <c r="Z104" s="141" t="b">
        <f ca="1">IF(OR(U104&lt;&gt;0,V104&lt;&gt;0),ABS(((+U104*(1+X104))+V104)/IF(U104&lt;&gt;0,U104,1)),0)&lt;=Y104</f>
        <v>1</v>
      </c>
    </row>
    <row r="105" spans="1:29">
      <c r="Q105" s="75"/>
      <c r="R105" s="75"/>
      <c r="S105" s="76"/>
      <c r="U105" s="75"/>
      <c r="V105" s="75"/>
      <c r="W105" s="76"/>
      <c r="X105" s="143"/>
      <c r="Y105" s="143"/>
    </row>
    <row r="106" spans="1:29">
      <c r="B106" s="48" t="s">
        <v>6</v>
      </c>
      <c r="C106" s="48">
        <v>800</v>
      </c>
      <c r="D106" s="48">
        <v>585500</v>
      </c>
      <c r="E106" s="48" t="s">
        <v>83</v>
      </c>
      <c r="F106" s="48" t="s">
        <v>84</v>
      </c>
      <c r="G106" s="45">
        <v>500</v>
      </c>
      <c r="I106" s="48" t="s">
        <v>9</v>
      </c>
      <c r="J106" s="81">
        <f>+G106</f>
        <v>500</v>
      </c>
      <c r="K106" s="48">
        <v>615500</v>
      </c>
      <c r="L106" s="48" t="s">
        <v>83</v>
      </c>
      <c r="M106" s="48" t="s">
        <v>84</v>
      </c>
      <c r="N106" s="83">
        <f>+C106</f>
        <v>800</v>
      </c>
      <c r="O106" s="83"/>
      <c r="Q106" s="75">
        <v>-64510.96</v>
      </c>
      <c r="R106" s="75">
        <v>63898.450000000004</v>
      </c>
      <c r="S106" s="76"/>
      <c r="U106" s="75">
        <v>-323197.01</v>
      </c>
      <c r="V106" s="75">
        <v>320340.50999999995</v>
      </c>
      <c r="X106" s="143"/>
      <c r="Y106" s="143"/>
    </row>
    <row r="107" spans="1:29">
      <c r="I107" s="48" t="s">
        <v>9</v>
      </c>
      <c r="J107" s="81">
        <f>+J106</f>
        <v>500</v>
      </c>
      <c r="K107" s="81">
        <v>754050</v>
      </c>
      <c r="L107" s="48" t="s">
        <v>83</v>
      </c>
      <c r="M107" s="48" t="s">
        <v>84</v>
      </c>
      <c r="N107" s="83">
        <f>+N106</f>
        <v>800</v>
      </c>
      <c r="O107" s="83"/>
      <c r="Q107" s="75"/>
      <c r="R107" s="75">
        <v>612.51</v>
      </c>
      <c r="U107" s="75"/>
      <c r="V107" s="75">
        <v>2856.5</v>
      </c>
      <c r="W107" s="76"/>
      <c r="X107" s="143"/>
      <c r="Y107" s="143"/>
    </row>
    <row r="108" spans="1:29">
      <c r="Q108" s="159">
        <f ca="1">SUM(Q106:Q107)</f>
        <v>-64510.96</v>
      </c>
      <c r="R108" s="159">
        <f ca="1">SUM(R106:R107)</f>
        <v>64510.960000000006</v>
      </c>
      <c r="S108" s="76">
        <f ca="1">+R108+Q108</f>
        <v>0</v>
      </c>
      <c r="U108" s="159">
        <f ca="1">SUM(U106:U107)</f>
        <v>-323197.01</v>
      </c>
      <c r="V108" s="159">
        <f ca="1">SUM(V106:V107)</f>
        <v>323197.00999999995</v>
      </c>
      <c r="W108" s="76">
        <f ca="1">+V108+U108</f>
        <v>0</v>
      </c>
      <c r="X108" s="142">
        <v>0</v>
      </c>
      <c r="Y108" s="142">
        <v>1E-3</v>
      </c>
      <c r="Z108" s="141" t="b">
        <f ca="1">IF(OR(U108&lt;&gt;0,V108&lt;&gt;0),ABS(((+U108*(1+X108))+V108)/IF(U108&lt;&gt;0,U108,1)),0)&lt;=Y108</f>
        <v>1</v>
      </c>
    </row>
    <row r="109" spans="1:29">
      <c r="Q109" s="160"/>
      <c r="R109" s="160"/>
      <c r="S109" s="76"/>
      <c r="U109" s="160"/>
      <c r="V109" s="160"/>
      <c r="W109" s="76"/>
      <c r="X109" s="143"/>
      <c r="Y109" s="143"/>
    </row>
    <row r="110" spans="1:29">
      <c r="B110" s="48" t="s">
        <v>6</v>
      </c>
      <c r="C110" s="48">
        <v>800</v>
      </c>
      <c r="D110" s="48">
        <v>585500</v>
      </c>
      <c r="E110" s="48" t="s">
        <v>83</v>
      </c>
      <c r="F110" s="48" t="s">
        <v>84</v>
      </c>
      <c r="G110" s="45">
        <v>600</v>
      </c>
      <c r="I110" s="81" t="s">
        <v>11</v>
      </c>
      <c r="J110" s="81">
        <f>+G110</f>
        <v>600</v>
      </c>
      <c r="K110" s="48">
        <v>615500</v>
      </c>
      <c r="L110" s="48" t="s">
        <v>83</v>
      </c>
      <c r="M110" s="48" t="s">
        <v>84</v>
      </c>
      <c r="N110" s="83">
        <f>+C110</f>
        <v>800</v>
      </c>
      <c r="O110" s="83"/>
      <c r="Q110" s="75">
        <v>-109083.62</v>
      </c>
      <c r="R110" s="75">
        <v>108046.05999999998</v>
      </c>
      <c r="S110" s="76"/>
      <c r="U110" s="75">
        <v>-523728.04000000004</v>
      </c>
      <c r="V110" s="75">
        <v>519276.57999999996</v>
      </c>
      <c r="W110" s="76"/>
      <c r="X110" s="143"/>
      <c r="Y110" s="143"/>
    </row>
    <row r="111" spans="1:29">
      <c r="I111" s="81" t="s">
        <v>11</v>
      </c>
      <c r="J111" s="81">
        <f>+J110</f>
        <v>600</v>
      </c>
      <c r="K111" s="81">
        <v>754050</v>
      </c>
      <c r="L111" s="48" t="s">
        <v>83</v>
      </c>
      <c r="M111" s="48" t="s">
        <v>84</v>
      </c>
      <c r="N111" s="83">
        <v>800</v>
      </c>
      <c r="O111" s="83"/>
      <c r="Q111" s="75"/>
      <c r="R111" s="75">
        <v>1037.56</v>
      </c>
      <c r="U111" s="75"/>
      <c r="V111" s="75">
        <v>4451.45</v>
      </c>
      <c r="W111" s="76"/>
      <c r="X111" s="143"/>
      <c r="Y111" s="143"/>
    </row>
    <row r="112" spans="1:29">
      <c r="Q112" s="159">
        <f ca="1">SUM(Q110:Q111)</f>
        <v>-109083.62</v>
      </c>
      <c r="R112" s="159">
        <f ca="1">SUM(R110:R111)</f>
        <v>109083.61999999998</v>
      </c>
      <c r="S112" s="156">
        <f ca="1">+R112+Q112</f>
        <v>0</v>
      </c>
      <c r="T112" s="176"/>
      <c r="U112" s="159">
        <f ca="1">SUM(U110:U111)</f>
        <v>-523728.04000000004</v>
      </c>
      <c r="V112" s="159">
        <f ca="1">SUM(V110:V111)</f>
        <v>523728.02999999997</v>
      </c>
      <c r="W112" s="156">
        <f ca="1">+V112+U112</f>
        <v>-1.0000000067520887E-2</v>
      </c>
      <c r="X112" s="142">
        <v>0</v>
      </c>
      <c r="Y112" s="142">
        <v>1E-3</v>
      </c>
      <c r="Z112" s="141" t="b">
        <f ca="1">IF(OR(U112&lt;&gt;0,V112&lt;&gt;0),ABS(((+U112*(1+X112))+V112)/IF(U112&lt;&gt;0,U112,1)),0)&lt;=Y112</f>
        <v>1</v>
      </c>
    </row>
    <row r="113" spans="1:31">
      <c r="Q113" s="160"/>
      <c r="R113" s="160"/>
      <c r="S113" s="156"/>
      <c r="T113" s="176"/>
      <c r="U113" s="160"/>
      <c r="V113" s="160"/>
      <c r="W113" s="156"/>
      <c r="X113" s="143"/>
      <c r="Y113" s="143"/>
    </row>
    <row r="114" spans="1:31">
      <c r="B114" s="48" t="s">
        <v>6</v>
      </c>
      <c r="C114" s="48">
        <v>800</v>
      </c>
      <c r="D114" s="48">
        <v>585500</v>
      </c>
      <c r="E114" s="48" t="s">
        <v>83</v>
      </c>
      <c r="F114" s="48" t="s">
        <v>84</v>
      </c>
      <c r="G114" s="45">
        <v>700</v>
      </c>
      <c r="I114" s="48" t="s">
        <v>101</v>
      </c>
      <c r="J114" s="81">
        <f>+G114</f>
        <v>700</v>
      </c>
      <c r="K114" s="48">
        <v>615500</v>
      </c>
      <c r="L114" s="48" t="s">
        <v>83</v>
      </c>
      <c r="M114" s="48" t="s">
        <v>84</v>
      </c>
      <c r="N114" s="83">
        <f>+C114</f>
        <v>800</v>
      </c>
      <c r="O114" s="83"/>
      <c r="Q114" s="75">
        <v>-107973.99</v>
      </c>
      <c r="R114" s="75">
        <v>107973.99</v>
      </c>
      <c r="S114" s="76">
        <f ca="1">+R114+Q114</f>
        <v>0</v>
      </c>
      <c r="U114" s="75">
        <v>-590084</v>
      </c>
      <c r="V114" s="75">
        <v>590083.99</v>
      </c>
      <c r="W114" s="76">
        <f ca="1">+V114+U114</f>
        <v>-1.0000000009313226E-2</v>
      </c>
      <c r="X114" s="142">
        <v>0</v>
      </c>
      <c r="Y114" s="142">
        <v>1E-3</v>
      </c>
      <c r="Z114" s="141" t="b">
        <f ca="1">IF(OR(U114&lt;&gt;0,V114&lt;&gt;0),ABS(((+U114*(1+X114))+V114)/IF(U114&lt;&gt;0,U114,1)),0)&lt;=Y114</f>
        <v>1</v>
      </c>
    </row>
    <row r="115" spans="1:31">
      <c r="D115" s="48" t="s">
        <v>137</v>
      </c>
      <c r="Q115" s="77">
        <f ca="1">+Q112+Q114+Q108+Q104+Q103</f>
        <v>-696495.16</v>
      </c>
      <c r="R115" s="77">
        <f ca="1">+R112+R114+R108+R104+R103</f>
        <v>696495.15</v>
      </c>
      <c r="S115" s="77">
        <f ca="1">+S112+S114+S108+S104+S103</f>
        <v>-1.0000000009313226E-2</v>
      </c>
      <c r="U115" s="77">
        <f ca="1">+U112+U114+U108+U104+U103</f>
        <v>-3476591.11</v>
      </c>
      <c r="V115" s="77">
        <f ca="1">+V112+V114+V108+V104+V103</f>
        <v>3476591.0700000003</v>
      </c>
      <c r="W115" s="77">
        <f ca="1">+W112+W114+W108+W104+W103</f>
        <v>-3.999999986262992E-2</v>
      </c>
      <c r="X115" s="143"/>
      <c r="Y115" s="143"/>
    </row>
    <row r="116" spans="1:31">
      <c r="Q116" s="82"/>
      <c r="R116" s="82"/>
      <c r="S116" s="82"/>
      <c r="U116" s="82"/>
      <c r="V116" s="82"/>
      <c r="W116" s="82"/>
      <c r="X116" s="143"/>
      <c r="Y116" s="143"/>
    </row>
    <row r="117" spans="1:31">
      <c r="A117" s="72" t="s">
        <v>28</v>
      </c>
      <c r="X117" s="143"/>
      <c r="Y117" s="143"/>
    </row>
    <row r="118" spans="1:31">
      <c r="B118" s="48" t="s">
        <v>6</v>
      </c>
      <c r="C118" s="48">
        <v>800</v>
      </c>
      <c r="D118" s="48">
        <v>585540</v>
      </c>
      <c r="E118" s="48" t="s">
        <v>83</v>
      </c>
      <c r="F118" s="48" t="s">
        <v>84</v>
      </c>
      <c r="G118" s="45">
        <v>100</v>
      </c>
      <c r="I118" s="48" t="s">
        <v>51</v>
      </c>
      <c r="J118" s="81">
        <v>390</v>
      </c>
      <c r="K118" s="48">
        <v>602520</v>
      </c>
      <c r="L118" s="48" t="s">
        <v>83</v>
      </c>
      <c r="M118" s="48" t="s">
        <v>84</v>
      </c>
      <c r="N118" s="177" t="s">
        <v>71</v>
      </c>
      <c r="O118" s="178" t="s">
        <v>272</v>
      </c>
      <c r="Q118" s="75">
        <v>0</v>
      </c>
      <c r="R118" s="75">
        <v>0</v>
      </c>
      <c r="S118" s="76">
        <f ca="1">+R118+Q118</f>
        <v>0</v>
      </c>
      <c r="U118" s="75">
        <v>0</v>
      </c>
      <c r="V118" s="75">
        <v>0</v>
      </c>
      <c r="W118" s="76">
        <f ca="1">+V118+U118</f>
        <v>0</v>
      </c>
      <c r="X118" s="142">
        <v>0</v>
      </c>
      <c r="Y118" s="142">
        <v>1E-3</v>
      </c>
      <c r="Z118" s="141" t="b">
        <f ca="1">IF(OR(U118&lt;&gt;0,V118&lt;&gt;0),ABS(((+U118*(1+X118))+V118)/IF(U118&lt;&gt;0,U118,1)),0)&lt;=Y118</f>
        <v>1</v>
      </c>
    </row>
    <row r="119" spans="1:31">
      <c r="B119" s="48" t="s">
        <v>6</v>
      </c>
      <c r="C119" s="48">
        <v>800</v>
      </c>
      <c r="D119" s="48">
        <v>585540</v>
      </c>
      <c r="E119" s="48" t="s">
        <v>83</v>
      </c>
      <c r="F119" s="48" t="s">
        <v>84</v>
      </c>
      <c r="G119" s="45">
        <v>500</v>
      </c>
      <c r="I119" s="48" t="s">
        <v>9</v>
      </c>
      <c r="J119" s="81">
        <f>+G119</f>
        <v>500</v>
      </c>
      <c r="K119" s="48">
        <v>602520</v>
      </c>
      <c r="L119" s="48" t="s">
        <v>83</v>
      </c>
      <c r="M119" s="48" t="s">
        <v>84</v>
      </c>
      <c r="N119" s="177" t="s">
        <v>71</v>
      </c>
      <c r="O119" s="177"/>
      <c r="Q119" s="75">
        <v>0</v>
      </c>
      <c r="R119" s="75">
        <v>0</v>
      </c>
      <c r="S119" s="76">
        <f ca="1">+R119+Q119</f>
        <v>0</v>
      </c>
      <c r="U119" s="75">
        <v>0</v>
      </c>
      <c r="V119" s="75">
        <v>0</v>
      </c>
      <c r="W119" s="76">
        <f ca="1">+V119+U119</f>
        <v>0</v>
      </c>
      <c r="X119" s="142">
        <v>0</v>
      </c>
      <c r="Y119" s="142">
        <v>1E-3</v>
      </c>
      <c r="Z119" s="141" t="b">
        <f ca="1">IF(OR(U119&lt;&gt;0,V119&lt;&gt;0),ABS(((+U119*(1+X119))+V119)/IF(U119&lt;&gt;0,U119,1)),0)&lt;=Y119</f>
        <v>1</v>
      </c>
    </row>
    <row r="120" spans="1:31">
      <c r="B120" s="48" t="s">
        <v>6</v>
      </c>
      <c r="C120" s="48">
        <v>800</v>
      </c>
      <c r="D120" s="48">
        <v>585540</v>
      </c>
      <c r="E120" s="48" t="s">
        <v>83</v>
      </c>
      <c r="F120" s="48" t="s">
        <v>84</v>
      </c>
      <c r="G120" s="45">
        <v>600</v>
      </c>
      <c r="I120" s="48" t="s">
        <v>11</v>
      </c>
      <c r="J120" s="81">
        <f>+G120</f>
        <v>600</v>
      </c>
      <c r="K120" s="48">
        <v>602520</v>
      </c>
      <c r="L120" s="48" t="s">
        <v>83</v>
      </c>
      <c r="M120" s="48" t="s">
        <v>84</v>
      </c>
      <c r="N120" s="177" t="s">
        <v>71</v>
      </c>
      <c r="O120" s="177"/>
      <c r="Q120" s="75">
        <v>0</v>
      </c>
      <c r="R120" s="75">
        <v>0</v>
      </c>
      <c r="S120" s="76">
        <f ca="1">+R120+Q120</f>
        <v>0</v>
      </c>
      <c r="U120" s="75">
        <v>0</v>
      </c>
      <c r="V120" s="75">
        <v>0</v>
      </c>
      <c r="W120" s="76">
        <f ca="1">+V120+U120</f>
        <v>0</v>
      </c>
      <c r="X120" s="142">
        <v>0</v>
      </c>
      <c r="Y120" s="142">
        <v>1E-3</v>
      </c>
      <c r="Z120" s="141" t="b">
        <f ca="1">IF(OR(U120&lt;&gt;0,V120&lt;&gt;0),ABS(((+U120*(1+X120))+V120)/IF(U120&lt;&gt;0,U120,1)),0)&lt;=Y120</f>
        <v>1</v>
      </c>
    </row>
    <row r="121" spans="1:31">
      <c r="B121" s="48" t="s">
        <v>6</v>
      </c>
      <c r="C121" s="48">
        <v>800</v>
      </c>
      <c r="D121" s="48">
        <v>585540</v>
      </c>
      <c r="E121" s="48" t="s">
        <v>83</v>
      </c>
      <c r="F121" s="48" t="s">
        <v>84</v>
      </c>
      <c r="G121" s="45">
        <v>700</v>
      </c>
      <c r="I121" s="48" t="s">
        <v>101</v>
      </c>
      <c r="J121" s="81">
        <f>+G121</f>
        <v>700</v>
      </c>
      <c r="K121" s="48">
        <v>602520</v>
      </c>
      <c r="L121" s="48" t="s">
        <v>83</v>
      </c>
      <c r="M121" s="48" t="s">
        <v>84</v>
      </c>
      <c r="N121" s="177" t="s">
        <v>71</v>
      </c>
      <c r="O121" s="177"/>
      <c r="Q121" s="75">
        <v>0</v>
      </c>
      <c r="R121" s="75">
        <v>0</v>
      </c>
      <c r="S121" s="76">
        <f ca="1">+R121+Q121</f>
        <v>0</v>
      </c>
      <c r="U121" s="75">
        <v>0</v>
      </c>
      <c r="V121" s="75">
        <v>0</v>
      </c>
      <c r="W121" s="76">
        <f ca="1">+V121+U121</f>
        <v>0</v>
      </c>
      <c r="X121" s="142">
        <v>0</v>
      </c>
      <c r="Y121" s="142">
        <v>1E-3</v>
      </c>
      <c r="Z121" s="141" t="b">
        <f ca="1">IF(OR(U121&lt;&gt;0,V121&lt;&gt;0),ABS(((+U121*(1+X121))+V121)/IF(U121&lt;&gt;0,U121,1)),0)&lt;=Y121</f>
        <v>1</v>
      </c>
    </row>
    <row r="122" spans="1:31">
      <c r="B122" s="48" t="s">
        <v>6</v>
      </c>
      <c r="C122" s="48">
        <v>800</v>
      </c>
      <c r="D122" s="48">
        <v>585540</v>
      </c>
      <c r="E122" s="48" t="s">
        <v>83</v>
      </c>
      <c r="F122" s="48" t="s">
        <v>84</v>
      </c>
      <c r="G122" s="45">
        <v>800</v>
      </c>
      <c r="I122" s="48" t="s">
        <v>101</v>
      </c>
      <c r="J122" s="81">
        <v>800</v>
      </c>
      <c r="K122" s="48">
        <v>602520</v>
      </c>
      <c r="L122" s="48" t="s">
        <v>83</v>
      </c>
      <c r="M122" s="48" t="s">
        <v>84</v>
      </c>
      <c r="N122" s="177" t="s">
        <v>71</v>
      </c>
      <c r="O122" s="177"/>
      <c r="Q122" s="75">
        <v>0</v>
      </c>
      <c r="R122" s="75">
        <v>0</v>
      </c>
      <c r="S122" s="76">
        <f ca="1">+R122+Q122</f>
        <v>0</v>
      </c>
      <c r="U122" s="75">
        <v>0</v>
      </c>
      <c r="V122" s="75">
        <v>0</v>
      </c>
      <c r="W122" s="76">
        <f ca="1">+V122+U122</f>
        <v>0</v>
      </c>
      <c r="X122" s="142">
        <v>0</v>
      </c>
      <c r="Y122" s="142">
        <v>1E-3</v>
      </c>
      <c r="Z122" s="141" t="b">
        <f ca="1">IF(OR(U122&lt;&gt;0,V122&lt;&gt;0),ABS(((+U122*(1+X122))+V122)/IF(U122&lt;&gt;0,U122,1)),0)&lt;=Y122</f>
        <v>1</v>
      </c>
    </row>
    <row r="123" spans="1:31">
      <c r="D123" s="48" t="s">
        <v>137</v>
      </c>
      <c r="Q123" s="77">
        <f ca="1">SUM(Q118:Q121)</f>
        <v>0</v>
      </c>
      <c r="R123" s="77">
        <f ca="1">SUM(R118:R121)</f>
        <v>0</v>
      </c>
      <c r="S123" s="77">
        <f ca="1">SUM(S118:S121)</f>
        <v>0</v>
      </c>
      <c r="U123" s="77">
        <f ca="1">SUM(U118:U121)</f>
        <v>0</v>
      </c>
      <c r="V123" s="77">
        <f ca="1">SUM(V118:V121)</f>
        <v>0</v>
      </c>
      <c r="W123" s="77">
        <f ca="1">SUM(W118:W121)</f>
        <v>0</v>
      </c>
      <c r="X123" s="143"/>
      <c r="Y123" s="143"/>
    </row>
    <row r="124" spans="1:31" s="70" customFormat="1" ht="17.25" thickBot="1">
      <c r="E124" s="79" t="s">
        <v>134</v>
      </c>
      <c r="F124" s="79"/>
      <c r="G124" s="79"/>
      <c r="H124" s="48"/>
      <c r="I124" s="48"/>
      <c r="J124" s="48"/>
      <c r="K124" s="48"/>
      <c r="L124" s="48"/>
      <c r="M124" s="48"/>
      <c r="N124" s="45"/>
      <c r="O124" s="45"/>
      <c r="P124" s="71"/>
      <c r="Q124" s="107">
        <f ca="1">+SUMIF($D$100:$D123,"subtotal",Q$100:Q123)</f>
        <v>-696495.16</v>
      </c>
      <c r="R124" s="107">
        <f ca="1">+SUMIF($D$100:$D123,"subtotal",R$100:R123)</f>
        <v>696495.15</v>
      </c>
      <c r="S124" s="107">
        <f ca="1">+SUMIF($D$100:$D123,"subtotal",S$100:S123)</f>
        <v>-1.0000000009313226E-2</v>
      </c>
      <c r="T124" s="94"/>
      <c r="U124" s="107">
        <f ca="1">+SUMIF($D$100:$D123,"subtotal",U$100:U123)</f>
        <v>-3476591.11</v>
      </c>
      <c r="V124" s="107">
        <f ca="1">+SUMIF($D$100:$D123,"subtotal",V$100:V123)</f>
        <v>3476591.0700000003</v>
      </c>
      <c r="W124" s="107">
        <f ca="1">+SUMIF($D$100:$D123,"subtotal",W$100:W123)</f>
        <v>-3.999999986262992E-2</v>
      </c>
      <c r="X124" s="103"/>
      <c r="Y124" s="103"/>
      <c r="AA124" s="119"/>
      <c r="AB124" s="119"/>
      <c r="AC124" s="136"/>
    </row>
    <row r="125" spans="1:31" ht="17.25" thickTop="1">
      <c r="X125" s="143"/>
      <c r="Y125" s="143"/>
    </row>
    <row r="126" spans="1:31" ht="15.75">
      <c r="A126" s="140" t="s">
        <v>138</v>
      </c>
      <c r="X126" s="179"/>
      <c r="Y126" s="143"/>
      <c r="AA126" s="133"/>
      <c r="AB126" s="133"/>
      <c r="AC126" s="46"/>
    </row>
    <row r="127" spans="1:31" ht="14.25">
      <c r="A127" s="72" t="s">
        <v>35</v>
      </c>
      <c r="X127" s="180"/>
      <c r="Y127" s="143"/>
      <c r="AA127" s="133"/>
      <c r="AB127" s="133"/>
      <c r="AC127" s="46"/>
    </row>
    <row r="128" spans="1:31">
      <c r="B128" s="48" t="s">
        <v>101</v>
      </c>
      <c r="C128" s="48">
        <v>700</v>
      </c>
      <c r="D128" s="48">
        <v>504500</v>
      </c>
      <c r="E128" s="48" t="s">
        <v>83</v>
      </c>
      <c r="F128" s="48">
        <v>11500</v>
      </c>
      <c r="G128" s="45">
        <v>100</v>
      </c>
      <c r="H128" s="48" t="s">
        <v>291</v>
      </c>
      <c r="I128" s="48" t="s">
        <v>51</v>
      </c>
      <c r="J128" s="81">
        <v>390</v>
      </c>
      <c r="K128" s="48">
        <v>625065</v>
      </c>
      <c r="L128" s="48" t="s">
        <v>83</v>
      </c>
      <c r="M128" s="48" t="s">
        <v>84</v>
      </c>
      <c r="N128" s="178" t="s">
        <v>81</v>
      </c>
      <c r="O128" s="178" t="s">
        <v>290</v>
      </c>
      <c r="Q128" s="75">
        <v>0</v>
      </c>
      <c r="R128" s="75">
        <v>5482038.6099999994</v>
      </c>
      <c r="S128" s="76"/>
      <c r="U128" s="75">
        <v>0</v>
      </c>
      <c r="V128" s="75">
        <v>28104727.700000003</v>
      </c>
      <c r="W128" s="76"/>
      <c r="X128" s="181"/>
      <c r="Y128" s="162"/>
      <c r="Z128" s="163"/>
      <c r="AD128" s="36"/>
      <c r="AE128" s="36"/>
    </row>
    <row r="129" spans="2:31">
      <c r="B129" s="48" t="s">
        <v>101</v>
      </c>
      <c r="C129" s="48">
        <v>700</v>
      </c>
      <c r="D129" s="48">
        <v>504500</v>
      </c>
      <c r="E129" s="48" t="s">
        <v>83</v>
      </c>
      <c r="F129" s="48">
        <v>11600</v>
      </c>
      <c r="G129" s="45">
        <v>100</v>
      </c>
      <c r="H129" s="48" t="s">
        <v>293</v>
      </c>
      <c r="I129" s="48" t="s">
        <v>51</v>
      </c>
      <c r="J129" s="81">
        <v>390</v>
      </c>
      <c r="K129" s="48">
        <v>625015</v>
      </c>
      <c r="L129" s="48" t="s">
        <v>83</v>
      </c>
      <c r="M129" s="48" t="s">
        <v>84</v>
      </c>
      <c r="N129" s="178" t="s">
        <v>81</v>
      </c>
      <c r="O129" s="178" t="s">
        <v>299</v>
      </c>
      <c r="Q129" s="75">
        <v>0</v>
      </c>
      <c r="R129" s="75">
        <v>52096.78</v>
      </c>
      <c r="S129" s="76"/>
      <c r="U129" s="75">
        <v>0</v>
      </c>
      <c r="V129" s="75">
        <v>260483.9</v>
      </c>
      <c r="W129" s="76"/>
      <c r="X129" s="181"/>
      <c r="Y129" s="162"/>
      <c r="Z129" s="163"/>
      <c r="AD129" s="36"/>
      <c r="AE129" s="36"/>
    </row>
    <row r="130" spans="2:31">
      <c r="B130" s="48" t="s">
        <v>101</v>
      </c>
      <c r="C130" s="48">
        <v>700</v>
      </c>
      <c r="D130" s="48">
        <v>504500</v>
      </c>
      <c r="E130" s="48" t="s">
        <v>83</v>
      </c>
      <c r="F130" s="48">
        <v>11100</v>
      </c>
      <c r="G130" s="45">
        <v>100</v>
      </c>
      <c r="H130" s="48" t="s">
        <v>292</v>
      </c>
      <c r="J130" s="81"/>
      <c r="N130" s="178"/>
      <c r="O130" s="178"/>
      <c r="Q130" s="75">
        <v>0</v>
      </c>
      <c r="R130" s="75"/>
      <c r="S130" s="76"/>
      <c r="U130" s="75">
        <v>0</v>
      </c>
      <c r="V130" s="75"/>
      <c r="W130" s="76"/>
      <c r="X130" s="181"/>
      <c r="Y130" s="162"/>
      <c r="Z130" s="163"/>
      <c r="AD130" s="36"/>
      <c r="AE130" s="36"/>
    </row>
    <row r="131" spans="2:31">
      <c r="B131" s="48" t="s">
        <v>101</v>
      </c>
      <c r="C131" s="48">
        <v>700</v>
      </c>
      <c r="D131" s="48">
        <v>504500</v>
      </c>
      <c r="E131" s="48" t="s">
        <v>83</v>
      </c>
      <c r="F131" s="48">
        <v>11300</v>
      </c>
      <c r="G131" s="45">
        <v>100</v>
      </c>
      <c r="H131" s="48" t="s">
        <v>374</v>
      </c>
      <c r="J131" s="81"/>
      <c r="N131" s="178"/>
      <c r="O131" s="178"/>
      <c r="Q131" s="75">
        <v>0</v>
      </c>
      <c r="R131" s="75"/>
      <c r="S131" s="76"/>
      <c r="U131" s="75">
        <v>0</v>
      </c>
      <c r="V131" s="75"/>
      <c r="W131" s="76"/>
      <c r="X131" s="181"/>
      <c r="Y131" s="162"/>
      <c r="Z131" s="163"/>
      <c r="AD131" s="36"/>
      <c r="AE131" s="36"/>
    </row>
    <row r="132" spans="2:31">
      <c r="B132" s="48" t="s">
        <v>101</v>
      </c>
      <c r="C132" s="48">
        <v>700</v>
      </c>
      <c r="D132" s="48">
        <v>504500</v>
      </c>
      <c r="E132" s="48" t="s">
        <v>83</v>
      </c>
      <c r="F132" s="48">
        <v>11400</v>
      </c>
      <c r="G132" s="45">
        <v>100</v>
      </c>
      <c r="H132" s="48" t="s">
        <v>375</v>
      </c>
      <c r="J132" s="81"/>
      <c r="N132" s="178"/>
      <c r="O132" s="178"/>
      <c r="Q132" s="75">
        <v>0</v>
      </c>
      <c r="R132" s="75"/>
      <c r="S132" s="76"/>
      <c r="U132" s="75">
        <v>0</v>
      </c>
      <c r="V132" s="75"/>
      <c r="W132" s="76"/>
      <c r="X132" s="181"/>
      <c r="Y132" s="162"/>
      <c r="Z132" s="163"/>
      <c r="AD132" s="36"/>
      <c r="AE132" s="36"/>
    </row>
    <row r="133" spans="2:31">
      <c r="B133" s="48" t="s">
        <v>101</v>
      </c>
      <c r="C133" s="48">
        <v>700</v>
      </c>
      <c r="D133" s="48">
        <v>504500</v>
      </c>
      <c r="E133" s="48" t="s">
        <v>83</v>
      </c>
      <c r="F133" s="48">
        <v>15100</v>
      </c>
      <c r="G133" s="45">
        <v>100</v>
      </c>
      <c r="H133" s="48" t="s">
        <v>376</v>
      </c>
      <c r="J133" s="81"/>
      <c r="N133" s="178"/>
      <c r="O133" s="178"/>
      <c r="Q133" s="75">
        <v>0</v>
      </c>
      <c r="R133" s="75"/>
      <c r="S133" s="76"/>
      <c r="U133" s="75">
        <v>0</v>
      </c>
      <c r="V133" s="75"/>
      <c r="W133" s="76"/>
      <c r="X133" s="181"/>
      <c r="Y133" s="162"/>
      <c r="Z133" s="163"/>
      <c r="AD133" s="36"/>
      <c r="AE133" s="36"/>
    </row>
    <row r="134" spans="2:31">
      <c r="B134" s="48" t="s">
        <v>101</v>
      </c>
      <c r="C134" s="48">
        <v>700</v>
      </c>
      <c r="D134" s="48">
        <v>504500</v>
      </c>
      <c r="E134" s="48" t="s">
        <v>83</v>
      </c>
      <c r="F134" s="73" t="s">
        <v>70</v>
      </c>
      <c r="G134" s="45">
        <v>100</v>
      </c>
      <c r="H134" s="48" t="s">
        <v>377</v>
      </c>
      <c r="J134" s="81"/>
      <c r="N134" s="178"/>
      <c r="O134" s="178"/>
      <c r="Q134" s="75">
        <v>0</v>
      </c>
      <c r="R134" s="75"/>
      <c r="S134" s="76"/>
      <c r="U134" s="75">
        <v>0</v>
      </c>
      <c r="V134" s="75"/>
      <c r="W134" s="76"/>
      <c r="X134" s="181"/>
      <c r="Y134" s="162"/>
      <c r="Z134" s="163"/>
      <c r="AD134" s="36"/>
      <c r="AE134" s="36"/>
    </row>
    <row r="135" spans="2:31">
      <c r="J135" s="81"/>
      <c r="N135" s="178"/>
      <c r="O135" s="178"/>
      <c r="Q135" s="159">
        <f ca="1">SUM(Q126:Q134)</f>
        <v>0</v>
      </c>
      <c r="R135" s="159">
        <f ca="1">SUM(R126:R134)</f>
        <v>5534135.3899999997</v>
      </c>
      <c r="S135" s="76">
        <f ca="1">+R135+Q135</f>
        <v>5534135.3899999997</v>
      </c>
      <c r="U135" s="159">
        <f ca="1">SUM(U128:U134)</f>
        <v>0</v>
      </c>
      <c r="V135" s="159">
        <f ca="1">SUM(V128:V134)</f>
        <v>28365211.600000001</v>
      </c>
      <c r="W135" s="76">
        <f ca="1">+V135+U135</f>
        <v>28365211.600000001</v>
      </c>
      <c r="X135" s="142">
        <v>0</v>
      </c>
      <c r="Y135" s="142">
        <v>0.05</v>
      </c>
      <c r="Z135" s="141" t="b">
        <f ca="1">IF(OR(U135&lt;&gt;0,V135&lt;&gt;0),ABS(((+U135*(1+X135))+V135)/IF(U135&lt;&gt;0,U135,1)),0)&lt;=Y135</f>
        <v>0</v>
      </c>
      <c r="AD135" s="36"/>
      <c r="AE135" s="36"/>
    </row>
    <row r="136" spans="2:31">
      <c r="B136" s="48" t="s">
        <v>101</v>
      </c>
      <c r="C136" s="48">
        <v>700</v>
      </c>
      <c r="D136" s="48">
        <v>504500</v>
      </c>
      <c r="E136" s="48" t="s">
        <v>83</v>
      </c>
      <c r="F136" s="48">
        <v>11200</v>
      </c>
      <c r="G136" s="45">
        <v>100</v>
      </c>
      <c r="H136" s="48" t="s">
        <v>212</v>
      </c>
      <c r="I136" s="48" t="s">
        <v>51</v>
      </c>
      <c r="J136" s="81">
        <v>390</v>
      </c>
      <c r="K136" s="48">
        <v>605070</v>
      </c>
      <c r="L136" s="48" t="s">
        <v>83</v>
      </c>
      <c r="M136" s="48" t="s">
        <v>84</v>
      </c>
      <c r="N136" s="178" t="s">
        <v>81</v>
      </c>
      <c r="O136" s="178" t="s">
        <v>298</v>
      </c>
      <c r="Q136" s="75">
        <v>0</v>
      </c>
      <c r="R136" s="75">
        <v>242588.43</v>
      </c>
      <c r="S136" s="76">
        <f ca="1">+R136+Q136</f>
        <v>242588.43</v>
      </c>
      <c r="U136" s="75">
        <v>0</v>
      </c>
      <c r="V136" s="75">
        <v>1018140.2</v>
      </c>
      <c r="W136" s="76">
        <f ca="1">+V136+U136</f>
        <v>1018140.2</v>
      </c>
      <c r="X136" s="142">
        <v>0.1</v>
      </c>
      <c r="Y136" s="142">
        <v>0.05</v>
      </c>
      <c r="Z136" s="141" t="b">
        <f ca="1">IF(OR(U136&lt;&gt;0,V136&lt;&gt;0),ABS(((+U136*(1+X136))+V136)/IF(U136&lt;&gt;0,U136,1)),0)&lt;=Y136</f>
        <v>0</v>
      </c>
      <c r="AD136" s="36"/>
      <c r="AE136" s="36"/>
    </row>
    <row r="137" spans="2:31">
      <c r="H137" s="88"/>
      <c r="K137" s="88"/>
      <c r="L137" s="88"/>
      <c r="M137" s="88"/>
      <c r="N137" s="158"/>
      <c r="O137" s="158"/>
      <c r="Q137" s="159">
        <f ca="1">SUM(Q135:Q136)</f>
        <v>0</v>
      </c>
      <c r="R137" s="159">
        <f ca="1">SUM(R135:R136)</f>
        <v>5776723.8199999994</v>
      </c>
      <c r="S137" s="159">
        <f ca="1">SUM(S135:S136)</f>
        <v>5776723.8199999994</v>
      </c>
      <c r="U137" s="159">
        <f ca="1">SUM(U135:U136)</f>
        <v>0</v>
      </c>
      <c r="V137" s="159">
        <f ca="1">SUM(V135:V136)</f>
        <v>29383351.800000001</v>
      </c>
      <c r="W137" s="159">
        <f ca="1">SUM(W135:W136)</f>
        <v>29383351.800000001</v>
      </c>
      <c r="X137" s="161"/>
      <c r="Y137" s="143"/>
    </row>
    <row r="138" spans="2:31">
      <c r="H138" s="88"/>
      <c r="I138" s="88"/>
      <c r="J138" s="88"/>
      <c r="K138" s="88"/>
      <c r="L138" s="88"/>
      <c r="M138" s="88"/>
      <c r="N138" s="158"/>
      <c r="O138" s="158"/>
      <c r="Q138" s="160"/>
      <c r="R138" s="160"/>
      <c r="S138" s="156"/>
      <c r="U138" s="160"/>
      <c r="V138" s="160"/>
      <c r="W138" s="156"/>
      <c r="X138" s="161"/>
      <c r="Y138" s="143"/>
    </row>
    <row r="139" spans="2:31">
      <c r="B139" s="81" t="s">
        <v>101</v>
      </c>
      <c r="C139" s="81">
        <v>700</v>
      </c>
      <c r="D139" s="81">
        <v>504500</v>
      </c>
      <c r="E139" s="48" t="s">
        <v>83</v>
      </c>
      <c r="F139" s="48">
        <v>11400</v>
      </c>
      <c r="G139" s="83">
        <v>500</v>
      </c>
      <c r="H139" s="61" t="s">
        <v>209</v>
      </c>
      <c r="I139" s="61" t="s">
        <v>9</v>
      </c>
      <c r="J139" s="81">
        <f>+G139</f>
        <v>500</v>
      </c>
      <c r="K139" s="61">
        <v>625065</v>
      </c>
      <c r="L139" s="48" t="s">
        <v>373</v>
      </c>
      <c r="M139" s="48" t="s">
        <v>84</v>
      </c>
      <c r="N139" s="83">
        <f>+C139</f>
        <v>700</v>
      </c>
      <c r="O139" s="83" t="s">
        <v>277</v>
      </c>
      <c r="Q139" s="75">
        <v>0</v>
      </c>
      <c r="R139" s="75">
        <v>9093</v>
      </c>
      <c r="S139" s="76"/>
      <c r="U139" s="75">
        <v>0</v>
      </c>
      <c r="V139" s="75">
        <v>45465</v>
      </c>
      <c r="W139" s="76"/>
      <c r="X139" s="76"/>
      <c r="Y139" s="76"/>
      <c r="Z139" s="76"/>
    </row>
    <row r="140" spans="2:31">
      <c r="B140" s="81" t="s">
        <v>101</v>
      </c>
      <c r="C140" s="81">
        <v>700</v>
      </c>
      <c r="D140" s="81">
        <v>504500</v>
      </c>
      <c r="E140" s="48" t="s">
        <v>83</v>
      </c>
      <c r="F140" s="73" t="s">
        <v>70</v>
      </c>
      <c r="G140" s="83">
        <v>500</v>
      </c>
      <c r="H140" s="61"/>
      <c r="I140" s="61"/>
      <c r="J140" s="81"/>
      <c r="K140" s="61"/>
      <c r="N140" s="83"/>
      <c r="O140" s="83"/>
      <c r="Q140" s="75">
        <v>0</v>
      </c>
      <c r="R140" s="75"/>
      <c r="S140" s="76"/>
      <c r="U140" s="75">
        <v>0</v>
      </c>
      <c r="V140" s="75"/>
      <c r="W140" s="76"/>
      <c r="X140" s="76"/>
      <c r="Y140" s="76"/>
      <c r="Z140" s="76"/>
    </row>
    <row r="141" spans="2:31">
      <c r="B141" s="81" t="s">
        <v>101</v>
      </c>
      <c r="C141" s="81">
        <v>700</v>
      </c>
      <c r="D141" s="81">
        <v>504500</v>
      </c>
      <c r="E141" s="48" t="s">
        <v>83</v>
      </c>
      <c r="F141" s="48">
        <v>11600</v>
      </c>
      <c r="G141" s="83">
        <v>500</v>
      </c>
      <c r="H141" s="88" t="s">
        <v>211</v>
      </c>
      <c r="I141" s="61" t="s">
        <v>9</v>
      </c>
      <c r="J141" s="81">
        <v>500</v>
      </c>
      <c r="K141" s="88">
        <v>625045</v>
      </c>
      <c r="L141" s="62" t="s">
        <v>83</v>
      </c>
      <c r="M141" s="48" t="s">
        <v>84</v>
      </c>
      <c r="N141" s="147" t="s">
        <v>81</v>
      </c>
      <c r="O141" s="83" t="s">
        <v>278</v>
      </c>
      <c r="Q141" s="75">
        <v>0</v>
      </c>
      <c r="R141" s="75">
        <v>0</v>
      </c>
      <c r="S141" s="76"/>
      <c r="U141" s="75">
        <v>0</v>
      </c>
      <c r="V141" s="75">
        <v>0</v>
      </c>
      <c r="W141" s="76"/>
      <c r="X141" s="142"/>
      <c r="Y141" s="162"/>
      <c r="Z141" s="163"/>
    </row>
    <row r="142" spans="2:31">
      <c r="B142" s="81" t="s">
        <v>101</v>
      </c>
      <c r="C142" s="81">
        <v>700</v>
      </c>
      <c r="D142" s="81">
        <v>504500</v>
      </c>
      <c r="E142" s="48" t="s">
        <v>83</v>
      </c>
      <c r="F142" s="48">
        <v>11500</v>
      </c>
      <c r="G142" s="83">
        <v>500</v>
      </c>
      <c r="H142" s="88" t="s">
        <v>210</v>
      </c>
      <c r="I142" s="61" t="s">
        <v>9</v>
      </c>
      <c r="J142" s="81">
        <v>500</v>
      </c>
      <c r="K142" s="61">
        <v>625065</v>
      </c>
      <c r="L142" s="62">
        <v>6423</v>
      </c>
      <c r="M142" s="48" t="s">
        <v>84</v>
      </c>
      <c r="N142" s="147" t="s">
        <v>81</v>
      </c>
      <c r="O142" s="83" t="s">
        <v>315</v>
      </c>
      <c r="Q142" s="75">
        <v>0</v>
      </c>
      <c r="R142" s="75">
        <v>5966.12</v>
      </c>
      <c r="S142" s="76"/>
      <c r="U142" s="75">
        <v>0</v>
      </c>
      <c r="V142" s="75">
        <v>30059.93</v>
      </c>
      <c r="W142" s="182"/>
      <c r="X142" s="142"/>
      <c r="Y142" s="162"/>
      <c r="Z142" s="163"/>
    </row>
    <row r="143" spans="2:31">
      <c r="H143" s="88"/>
      <c r="K143" s="88"/>
      <c r="L143" s="88"/>
      <c r="M143" s="88"/>
      <c r="N143" s="158"/>
      <c r="O143" s="158"/>
      <c r="Q143" s="159">
        <f ca="1">SUM(Q139:Q142)</f>
        <v>0</v>
      </c>
      <c r="R143" s="159">
        <f ca="1">SUM(R139:R142)</f>
        <v>15059.119999999999</v>
      </c>
      <c r="S143" s="76">
        <f ca="1">+R143+Q143</f>
        <v>15059.119999999999</v>
      </c>
      <c r="U143" s="159">
        <f ca="1">SUM(U139:U142)</f>
        <v>0</v>
      </c>
      <c r="V143" s="159">
        <f ca="1">SUM(V139:V142)</f>
        <v>75524.929999999993</v>
      </c>
      <c r="W143" s="76">
        <f ca="1">+V143+U143</f>
        <v>75524.929999999993</v>
      </c>
      <c r="X143" s="142">
        <v>0</v>
      </c>
      <c r="Y143" s="142">
        <v>0.01</v>
      </c>
      <c r="Z143" s="141" t="b">
        <f ca="1">IF(OR(U143&lt;&gt;0,V143&lt;&gt;0),ABS(((+U143*(1+X143))+V143)/IF(U143&lt;&gt;0,U143,1)),0)&lt;=Y143</f>
        <v>0</v>
      </c>
      <c r="AB143" s="136"/>
    </row>
    <row r="144" spans="2:31">
      <c r="B144" s="81"/>
      <c r="C144" s="81"/>
      <c r="D144" s="81"/>
      <c r="G144" s="83"/>
      <c r="H144" s="61"/>
      <c r="I144" s="61"/>
      <c r="J144" s="81"/>
      <c r="K144" s="61"/>
      <c r="N144" s="83"/>
      <c r="O144" s="83"/>
      <c r="Q144" s="75"/>
      <c r="R144" s="75"/>
      <c r="S144" s="76"/>
      <c r="U144" s="75"/>
      <c r="V144" s="75"/>
      <c r="W144" s="76"/>
      <c r="X144" s="142"/>
      <c r="Y144" s="162"/>
      <c r="Z144" s="163"/>
    </row>
    <row r="145" spans="2:29">
      <c r="B145" s="48" t="s">
        <v>101</v>
      </c>
      <c r="C145" s="48">
        <v>700</v>
      </c>
      <c r="D145" s="81">
        <v>504500</v>
      </c>
      <c r="E145" s="48" t="s">
        <v>83</v>
      </c>
      <c r="F145" s="48">
        <v>11400</v>
      </c>
      <c r="G145" s="83">
        <v>600</v>
      </c>
      <c r="H145" s="61" t="s">
        <v>209</v>
      </c>
      <c r="I145" s="88" t="s">
        <v>11</v>
      </c>
      <c r="J145" s="81">
        <f>+G145</f>
        <v>600</v>
      </c>
      <c r="K145" s="88">
        <v>625065</v>
      </c>
      <c r="L145" s="62" t="s">
        <v>83</v>
      </c>
      <c r="M145" s="48" t="s">
        <v>84</v>
      </c>
      <c r="N145" s="83">
        <f>+C145</f>
        <v>700</v>
      </c>
      <c r="O145" s="83" t="s">
        <v>277</v>
      </c>
      <c r="Q145" s="75">
        <v>0</v>
      </c>
      <c r="R145" s="75">
        <v>25162.080000000002</v>
      </c>
      <c r="S145" s="76"/>
      <c r="U145" s="75">
        <v>0</v>
      </c>
      <c r="V145" s="75">
        <v>128527.23999999999</v>
      </c>
      <c r="W145" s="76"/>
      <c r="X145" s="142"/>
      <c r="Y145" s="162"/>
      <c r="Z145" s="163"/>
    </row>
    <row r="146" spans="2:29">
      <c r="B146" s="48" t="s">
        <v>101</v>
      </c>
      <c r="C146" s="48">
        <v>700</v>
      </c>
      <c r="D146" s="81">
        <v>504500</v>
      </c>
      <c r="E146" s="48" t="s">
        <v>83</v>
      </c>
      <c r="F146" s="48">
        <v>11600</v>
      </c>
      <c r="G146" s="83">
        <v>600</v>
      </c>
      <c r="H146" s="88" t="s">
        <v>211</v>
      </c>
      <c r="I146" s="88" t="s">
        <v>11</v>
      </c>
      <c r="J146" s="81">
        <f>+G146</f>
        <v>600</v>
      </c>
      <c r="K146" s="88">
        <v>625045</v>
      </c>
      <c r="L146" s="62" t="s">
        <v>83</v>
      </c>
      <c r="M146" s="48" t="s">
        <v>84</v>
      </c>
      <c r="N146" s="147" t="s">
        <v>81</v>
      </c>
      <c r="O146" s="83" t="s">
        <v>278</v>
      </c>
      <c r="Q146" s="75">
        <v>0</v>
      </c>
      <c r="R146" s="75">
        <v>20246.39</v>
      </c>
      <c r="S146" s="76"/>
      <c r="U146" s="75">
        <v>0</v>
      </c>
      <c r="V146" s="75">
        <v>82038.39</v>
      </c>
      <c r="W146" s="76"/>
      <c r="X146" s="142"/>
      <c r="Y146" s="162"/>
      <c r="Z146" s="163"/>
    </row>
    <row r="147" spans="2:29">
      <c r="B147" s="48" t="s">
        <v>101</v>
      </c>
      <c r="C147" s="48">
        <v>700</v>
      </c>
      <c r="D147" s="81">
        <v>504500</v>
      </c>
      <c r="E147" s="48" t="s">
        <v>83</v>
      </c>
      <c r="F147" s="48">
        <v>11300</v>
      </c>
      <c r="G147" s="83">
        <v>600</v>
      </c>
      <c r="H147" s="88"/>
      <c r="I147" s="88"/>
      <c r="J147" s="81"/>
      <c r="K147" s="88"/>
      <c r="L147" s="62"/>
      <c r="N147" s="147"/>
      <c r="O147" s="83"/>
      <c r="Q147" s="75">
        <v>0</v>
      </c>
      <c r="R147" s="75"/>
      <c r="S147" s="76"/>
      <c r="U147" s="75">
        <v>0</v>
      </c>
      <c r="V147" s="75"/>
      <c r="W147" s="76"/>
      <c r="X147" s="142"/>
      <c r="Y147" s="162"/>
      <c r="Z147" s="163"/>
    </row>
    <row r="148" spans="2:29">
      <c r="B148" s="48" t="s">
        <v>101</v>
      </c>
      <c r="C148" s="48">
        <v>700</v>
      </c>
      <c r="D148" s="81">
        <v>504500</v>
      </c>
      <c r="E148" s="48" t="s">
        <v>83</v>
      </c>
      <c r="F148" s="73" t="s">
        <v>70</v>
      </c>
      <c r="G148" s="83">
        <v>600</v>
      </c>
      <c r="H148" s="88"/>
      <c r="I148" s="88"/>
      <c r="J148" s="81"/>
      <c r="K148" s="88"/>
      <c r="L148" s="62"/>
      <c r="N148" s="147"/>
      <c r="O148" s="83"/>
      <c r="Q148" s="75">
        <v>0</v>
      </c>
      <c r="R148" s="75"/>
      <c r="S148" s="76"/>
      <c r="U148" s="75">
        <v>0</v>
      </c>
      <c r="V148" s="75"/>
      <c r="W148" s="76"/>
      <c r="X148" s="142"/>
      <c r="Y148" s="162"/>
      <c r="Z148" s="163"/>
    </row>
    <row r="149" spans="2:29">
      <c r="B149" s="48" t="s">
        <v>101</v>
      </c>
      <c r="C149" s="48">
        <v>700</v>
      </c>
      <c r="D149" s="81">
        <v>504500</v>
      </c>
      <c r="E149" s="48" t="s">
        <v>83</v>
      </c>
      <c r="F149" s="48">
        <v>19900</v>
      </c>
      <c r="G149" s="83">
        <v>600</v>
      </c>
      <c r="H149" s="88" t="s">
        <v>333</v>
      </c>
      <c r="I149" s="88" t="s">
        <v>11</v>
      </c>
      <c r="J149" s="81">
        <f>+G149</f>
        <v>600</v>
      </c>
      <c r="K149" s="88"/>
      <c r="L149" s="62" t="s">
        <v>83</v>
      </c>
      <c r="M149" s="48" t="s">
        <v>84</v>
      </c>
      <c r="N149" s="147" t="s">
        <v>81</v>
      </c>
      <c r="O149" s="83"/>
      <c r="Q149" s="75">
        <v>0</v>
      </c>
      <c r="R149" s="75" t="s">
        <v>392</v>
      </c>
      <c r="S149" s="76"/>
      <c r="U149" s="75">
        <v>0</v>
      </c>
      <c r="V149" s="75" t="s">
        <v>392</v>
      </c>
      <c r="W149" s="76"/>
      <c r="X149" s="142"/>
      <c r="Y149" s="162"/>
      <c r="Z149" s="163"/>
    </row>
    <row r="150" spans="2:29">
      <c r="B150" s="48" t="s">
        <v>101</v>
      </c>
      <c r="C150" s="48">
        <v>700</v>
      </c>
      <c r="D150" s="81">
        <v>504500</v>
      </c>
      <c r="E150" s="81" t="s">
        <v>83</v>
      </c>
      <c r="F150" s="48">
        <v>11500</v>
      </c>
      <c r="G150" s="83">
        <v>600</v>
      </c>
      <c r="H150" s="88" t="s">
        <v>210</v>
      </c>
      <c r="I150" s="61" t="s">
        <v>11</v>
      </c>
      <c r="J150" s="81">
        <f>+G150</f>
        <v>600</v>
      </c>
      <c r="K150" s="61">
        <v>625065</v>
      </c>
      <c r="L150" s="62">
        <v>6423</v>
      </c>
      <c r="M150" s="48" t="s">
        <v>84</v>
      </c>
      <c r="N150" s="147" t="s">
        <v>81</v>
      </c>
      <c r="O150" s="83" t="s">
        <v>315</v>
      </c>
      <c r="Q150" s="75">
        <v>0</v>
      </c>
      <c r="R150" s="75">
        <v>0</v>
      </c>
      <c r="U150" s="75">
        <v>0</v>
      </c>
      <c r="V150" s="75"/>
      <c r="W150" s="76"/>
      <c r="X150" s="142"/>
      <c r="Y150" s="162"/>
      <c r="Z150" s="163"/>
      <c r="AA150" s="119">
        <v>13</v>
      </c>
      <c r="AB150" s="119" t="s">
        <v>101</v>
      </c>
      <c r="AC150" s="136" t="s">
        <v>316</v>
      </c>
    </row>
    <row r="151" spans="2:29">
      <c r="H151" s="88"/>
      <c r="K151" s="88"/>
      <c r="L151" s="88"/>
      <c r="M151" s="88"/>
      <c r="N151" s="158"/>
      <c r="O151" s="158"/>
      <c r="Q151" s="159">
        <f ca="1">SUM(Q145:Q150)</f>
        <v>0</v>
      </c>
      <c r="R151" s="159">
        <f ca="1">SUM(R145:R150)</f>
        <v>45408.47</v>
      </c>
      <c r="S151" s="76">
        <f ca="1">+R151+Q151</f>
        <v>45408.47</v>
      </c>
      <c r="U151" s="159">
        <f ca="1">SUM(U145:U150)</f>
        <v>0</v>
      </c>
      <c r="V151" s="159">
        <f ca="1">SUM(V145:V150)</f>
        <v>210565.63</v>
      </c>
      <c r="W151" s="76">
        <f ca="1">+V151+U151</f>
        <v>210565.63</v>
      </c>
      <c r="X151" s="142">
        <v>0.1</v>
      </c>
      <c r="Y151" s="142">
        <v>2E-3</v>
      </c>
      <c r="Z151" s="141" t="b">
        <f ca="1">IF(OR(U151&lt;&gt;0,V151&lt;&gt;0),ABS(((+U151*(1+X151))+V151)/IF(U151&lt;&gt;0,U151,1)),0)&lt;=Y151</f>
        <v>0</v>
      </c>
      <c r="AA151" s="119">
        <v>13</v>
      </c>
      <c r="AB151" s="119" t="s">
        <v>11</v>
      </c>
      <c r="AC151" s="136" t="s">
        <v>317</v>
      </c>
    </row>
    <row r="152" spans="2:29">
      <c r="D152" s="81"/>
      <c r="G152" s="83"/>
      <c r="H152" s="88"/>
      <c r="I152" s="88"/>
      <c r="J152" s="81"/>
      <c r="K152" s="88"/>
      <c r="N152" s="83"/>
      <c r="O152" s="83"/>
      <c r="Q152" s="75"/>
      <c r="R152" s="75"/>
      <c r="S152" s="76"/>
      <c r="U152" s="75"/>
      <c r="V152" s="75"/>
      <c r="W152" s="76"/>
      <c r="X152" s="142"/>
      <c r="Y152" s="162"/>
      <c r="Z152" s="163"/>
    </row>
    <row r="153" spans="2:29">
      <c r="B153" s="48" t="s">
        <v>101</v>
      </c>
      <c r="C153" s="48">
        <v>700</v>
      </c>
      <c r="D153" s="48">
        <v>504500</v>
      </c>
      <c r="E153" s="48" t="s">
        <v>83</v>
      </c>
      <c r="F153" s="48" t="s">
        <v>84</v>
      </c>
      <c r="G153" s="45">
        <v>800</v>
      </c>
      <c r="H153" s="61" t="s">
        <v>209</v>
      </c>
      <c r="I153" s="88" t="s">
        <v>6</v>
      </c>
      <c r="J153" s="81">
        <f>+G153</f>
        <v>800</v>
      </c>
      <c r="K153" s="88">
        <v>625065</v>
      </c>
      <c r="L153" s="48" t="s">
        <v>83</v>
      </c>
      <c r="M153" s="48" t="s">
        <v>84</v>
      </c>
      <c r="N153" s="83">
        <f>+C153</f>
        <v>700</v>
      </c>
      <c r="O153" s="83" t="s">
        <v>276</v>
      </c>
      <c r="Q153" s="75">
        <v>0</v>
      </c>
      <c r="R153" s="75">
        <v>1245.55</v>
      </c>
      <c r="S153" s="76"/>
      <c r="U153" s="75">
        <v>0</v>
      </c>
      <c r="V153" s="75">
        <v>6227.75</v>
      </c>
      <c r="W153" s="76"/>
      <c r="X153" s="142"/>
      <c r="Y153" s="162"/>
      <c r="Z153" s="163"/>
    </row>
    <row r="154" spans="2:29">
      <c r="H154" s="88"/>
      <c r="I154" s="88"/>
      <c r="J154" s="88"/>
      <c r="K154" s="88"/>
      <c r="L154" s="88"/>
      <c r="M154" s="88"/>
      <c r="N154" s="158"/>
      <c r="O154" s="158"/>
      <c r="Q154" s="159">
        <f ca="1">SUM(Q153:Q153)</f>
        <v>0</v>
      </c>
      <c r="R154" s="159">
        <f ca="1">SUM(R153:R153)</f>
        <v>1245.55</v>
      </c>
      <c r="S154" s="76">
        <f ca="1">+R154+Q154</f>
        <v>1245.55</v>
      </c>
      <c r="U154" s="159">
        <f ca="1">SUM(U153:U153)</f>
        <v>0</v>
      </c>
      <c r="V154" s="159">
        <f ca="1">SUM(V153:V153)</f>
        <v>6227.75</v>
      </c>
      <c r="W154" s="76">
        <f ca="1">+V154+U154</f>
        <v>6227.75</v>
      </c>
      <c r="X154" s="142">
        <v>7.0000000000000007E-2</v>
      </c>
      <c r="Y154" s="142">
        <v>1E-3</v>
      </c>
      <c r="Z154" s="141" t="b">
        <f ca="1">IF(OR(U154&lt;&gt;0,V154&lt;&gt;0),ABS(((+U154*(1+X154))+V154)/IF(U154&lt;&gt;0,U154,1)),0)&lt;=Y154</f>
        <v>0</v>
      </c>
      <c r="AC154" s="146"/>
    </row>
    <row r="155" spans="2:29">
      <c r="H155" s="88"/>
      <c r="I155" s="88"/>
      <c r="J155" s="88"/>
      <c r="K155" s="88"/>
      <c r="L155" s="88"/>
      <c r="M155" s="88"/>
      <c r="N155" s="158"/>
      <c r="O155" s="158"/>
      <c r="Q155" s="160"/>
      <c r="R155" s="160"/>
      <c r="S155" s="76"/>
      <c r="U155" s="160"/>
      <c r="V155" s="160"/>
      <c r="W155" s="76"/>
      <c r="X155" s="142"/>
      <c r="Y155" s="142"/>
      <c r="Z155" s="141"/>
      <c r="AC155" s="146"/>
    </row>
    <row r="156" spans="2:29">
      <c r="B156" s="48" t="s">
        <v>101</v>
      </c>
      <c r="C156" s="48">
        <v>700</v>
      </c>
      <c r="D156" s="48">
        <v>542000</v>
      </c>
      <c r="E156" s="48" t="s">
        <v>83</v>
      </c>
      <c r="F156" s="48" t="s">
        <v>84</v>
      </c>
      <c r="G156" s="45">
        <v>500</v>
      </c>
      <c r="H156" s="61" t="s">
        <v>378</v>
      </c>
      <c r="I156" s="61" t="s">
        <v>9</v>
      </c>
      <c r="J156" s="81">
        <v>500</v>
      </c>
      <c r="K156" s="88">
        <v>625020</v>
      </c>
      <c r="L156" s="48" t="s">
        <v>83</v>
      </c>
      <c r="M156" s="48" t="s">
        <v>84</v>
      </c>
      <c r="N156" s="83">
        <f>+C156</f>
        <v>700</v>
      </c>
      <c r="O156" s="61" t="s">
        <v>378</v>
      </c>
      <c r="Q156" s="75">
        <v>0</v>
      </c>
      <c r="R156" s="75">
        <v>3482.18</v>
      </c>
      <c r="S156" s="76"/>
      <c r="U156" s="75">
        <v>0</v>
      </c>
      <c r="V156" s="75">
        <v>16378.880000000001</v>
      </c>
      <c r="W156" s="76"/>
      <c r="X156" s="142"/>
      <c r="Y156" s="162"/>
      <c r="Z156" s="163"/>
    </row>
    <row r="157" spans="2:29">
      <c r="B157" s="48" t="s">
        <v>101</v>
      </c>
      <c r="C157" s="48">
        <v>700</v>
      </c>
      <c r="D157" s="48">
        <v>542000</v>
      </c>
      <c r="E157" s="48" t="s">
        <v>83</v>
      </c>
      <c r="F157" s="48" t="s">
        <v>84</v>
      </c>
      <c r="G157" s="45">
        <v>600</v>
      </c>
      <c r="H157" s="61" t="s">
        <v>378</v>
      </c>
      <c r="I157" s="88" t="s">
        <v>11</v>
      </c>
      <c r="J157" s="81">
        <f>+G157</f>
        <v>600</v>
      </c>
      <c r="K157" s="88">
        <v>625020</v>
      </c>
      <c r="L157" s="48" t="s">
        <v>83</v>
      </c>
      <c r="M157" s="48" t="s">
        <v>84</v>
      </c>
      <c r="N157" s="83">
        <f>+C157</f>
        <v>700</v>
      </c>
      <c r="O157" s="61" t="s">
        <v>378</v>
      </c>
      <c r="Q157" s="75">
        <v>0</v>
      </c>
      <c r="R157" s="75">
        <v>0</v>
      </c>
      <c r="S157" s="76"/>
      <c r="U157" s="75">
        <v>0</v>
      </c>
      <c r="V157" s="75">
        <v>23984.05</v>
      </c>
      <c r="W157" s="76"/>
      <c r="X157" s="142"/>
      <c r="Y157" s="162"/>
      <c r="Z157" s="163"/>
    </row>
    <row r="158" spans="2:29">
      <c r="H158" s="88"/>
      <c r="I158" s="88"/>
      <c r="J158" s="88"/>
      <c r="K158" s="88"/>
      <c r="L158" s="88"/>
      <c r="M158" s="88"/>
      <c r="N158" s="158"/>
      <c r="O158" s="158"/>
      <c r="Q158" s="159">
        <f ca="1">SUM(Q156:Q157)</f>
        <v>0</v>
      </c>
      <c r="R158" s="159">
        <f ca="1">SUM(R156:R157)</f>
        <v>3482.18</v>
      </c>
      <c r="S158" s="76">
        <f ca="1">+R158+Q158</f>
        <v>3482.18</v>
      </c>
      <c r="U158" s="159">
        <f ca="1">SUM(U156:U157)</f>
        <v>0</v>
      </c>
      <c r="V158" s="159">
        <f ca="1">SUM(V156:V157)</f>
        <v>40362.93</v>
      </c>
      <c r="W158" s="76">
        <f ca="1">+V158+U158</f>
        <v>40362.93</v>
      </c>
      <c r="X158" s="142">
        <v>7.0000000000000007E-2</v>
      </c>
      <c r="Y158" s="142">
        <v>1E-3</v>
      </c>
      <c r="Z158" s="141" t="b">
        <f ca="1">IF(OR(U158&lt;&gt;0,V158&lt;&gt;0),ABS(((+U158*(1+X158))+V158)/IF(U158&lt;&gt;0,U158,1)),0)&lt;=Y158</f>
        <v>0</v>
      </c>
      <c r="AC158" s="146"/>
    </row>
    <row r="159" spans="2:29">
      <c r="D159" s="48" t="s">
        <v>137</v>
      </c>
      <c r="Q159" s="77">
        <f ca="1">+Q154+Q151+Q143+Q139+Q137+Q158</f>
        <v>0</v>
      </c>
      <c r="R159" s="77">
        <f t="shared" ref="R159:S159" ca="1" si="1">+R154+R151+R143+R139+R137+R158</f>
        <v>5851012.1399999987</v>
      </c>
      <c r="S159" s="77">
        <f t="shared" ca="1" si="1"/>
        <v>5841919.1399999987</v>
      </c>
      <c r="U159" s="77">
        <f t="shared" ref="U159:W159" ca="1" si="2">+U154+U151+U143+U139+U137+U158</f>
        <v>0</v>
      </c>
      <c r="V159" s="77">
        <f t="shared" ca="1" si="2"/>
        <v>29761498.039999999</v>
      </c>
      <c r="W159" s="77">
        <f t="shared" ca="1" si="2"/>
        <v>29716033.039999999</v>
      </c>
      <c r="X159" s="141"/>
    </row>
    <row r="160" spans="2:29">
      <c r="S160" s="82"/>
      <c r="W160" s="82"/>
      <c r="X160" s="141"/>
    </row>
    <row r="161" spans="1:29">
      <c r="A161" s="72" t="s">
        <v>47</v>
      </c>
      <c r="X161" s="141"/>
    </row>
    <row r="162" spans="1:29">
      <c r="B162" s="48" t="s">
        <v>101</v>
      </c>
      <c r="C162" s="48">
        <v>700</v>
      </c>
      <c r="D162" s="48">
        <v>510500</v>
      </c>
      <c r="E162" s="48" t="s">
        <v>83</v>
      </c>
      <c r="F162" s="48" t="s">
        <v>84</v>
      </c>
      <c r="G162" s="45">
        <v>100</v>
      </c>
      <c r="I162" s="48" t="s">
        <v>51</v>
      </c>
      <c r="J162" s="81">
        <v>390</v>
      </c>
      <c r="K162" s="48">
        <v>625010</v>
      </c>
      <c r="L162" s="48" t="s">
        <v>83</v>
      </c>
      <c r="M162" s="48" t="s">
        <v>84</v>
      </c>
      <c r="N162" s="178" t="s">
        <v>81</v>
      </c>
      <c r="O162" s="83" t="s">
        <v>371</v>
      </c>
      <c r="Q162" s="75">
        <v>0</v>
      </c>
      <c r="R162" s="75">
        <v>59.07</v>
      </c>
      <c r="S162" s="76">
        <f ca="1">+R162+Q162</f>
        <v>59.07</v>
      </c>
      <c r="U162" s="75">
        <v>0</v>
      </c>
      <c r="V162" s="75">
        <v>312.28999999999996</v>
      </c>
      <c r="W162" s="76">
        <f ca="1">+V162+U162</f>
        <v>312.28999999999996</v>
      </c>
      <c r="X162" s="142">
        <f>0.07+0.1</f>
        <v>0.17</v>
      </c>
      <c r="Y162" s="141">
        <f ca="1">+IF(ABS(W162)&lt;250,ABS(((+U162*(1+X162))+V162)/IF(U162&lt;&gt;0,U162,1))+0.1,10)</f>
        <v>10</v>
      </c>
      <c r="Z162" s="141" t="b">
        <f ca="1">IF(OR(U162&lt;&gt;0,V162&lt;&gt;0),ABS(((+U162*(1+X162))+V162)/IF(U162&lt;&gt;0,U162,1)),0)&lt;=Y162</f>
        <v>0</v>
      </c>
      <c r="AB162" s="119" t="s">
        <v>51</v>
      </c>
      <c r="AC162" s="183" t="s">
        <v>372</v>
      </c>
    </row>
    <row r="163" spans="1:29">
      <c r="B163" s="48" t="s">
        <v>101</v>
      </c>
      <c r="C163" s="48">
        <v>700</v>
      </c>
      <c r="D163" s="48">
        <v>510500</v>
      </c>
      <c r="E163" s="48" t="s">
        <v>83</v>
      </c>
      <c r="F163" s="48" t="s">
        <v>84</v>
      </c>
      <c r="G163" s="45">
        <v>500</v>
      </c>
      <c r="I163" s="48" t="s">
        <v>9</v>
      </c>
      <c r="J163" s="81">
        <f>+G163</f>
        <v>500</v>
      </c>
      <c r="K163" s="48">
        <v>605095</v>
      </c>
      <c r="L163" s="48" t="s">
        <v>83</v>
      </c>
      <c r="M163" s="48" t="s">
        <v>84</v>
      </c>
      <c r="N163" s="83">
        <f>+C163</f>
        <v>700</v>
      </c>
      <c r="O163" s="83" t="s">
        <v>279</v>
      </c>
      <c r="Q163" s="75">
        <v>0</v>
      </c>
      <c r="R163" s="75">
        <v>68.680000000000007</v>
      </c>
      <c r="S163" s="76">
        <f ca="1">+R163+Q163</f>
        <v>68.680000000000007</v>
      </c>
      <c r="U163" s="75">
        <v>0</v>
      </c>
      <c r="V163" s="75">
        <v>182.41</v>
      </c>
      <c r="W163" s="76">
        <f ca="1">+V163+U163</f>
        <v>182.41</v>
      </c>
      <c r="X163" s="142">
        <v>0.1</v>
      </c>
      <c r="Y163" s="141">
        <f ca="1">+IF(ABS(W163)&lt;250,ABS(((+U163*(1+X163))+V163)/IF(U163&lt;&gt;0,U163,1))+0.1,10)</f>
        <v>182.51</v>
      </c>
      <c r="Z163" s="141" t="b">
        <f ca="1">IF(OR(U163&lt;&gt;0,V163&lt;&gt;0),ABS(((+U163*(1+X163))+V163)/IF(U163&lt;&gt;0,U163,1)),0)&lt;=Y163</f>
        <v>1</v>
      </c>
    </row>
    <row r="164" spans="1:29">
      <c r="B164" s="48" t="s">
        <v>101</v>
      </c>
      <c r="C164" s="48">
        <v>700</v>
      </c>
      <c r="D164" s="48">
        <v>510500</v>
      </c>
      <c r="E164" s="48" t="s">
        <v>83</v>
      </c>
      <c r="F164" s="48" t="s">
        <v>84</v>
      </c>
      <c r="G164" s="45">
        <v>600</v>
      </c>
      <c r="I164" s="48" t="s">
        <v>11</v>
      </c>
      <c r="J164" s="81">
        <f>+G164</f>
        <v>600</v>
      </c>
      <c r="K164" s="48">
        <v>605095</v>
      </c>
      <c r="L164" s="48" t="s">
        <v>83</v>
      </c>
      <c r="M164" s="48" t="s">
        <v>84</v>
      </c>
      <c r="N164" s="83">
        <f>+C164</f>
        <v>700</v>
      </c>
      <c r="O164" s="83" t="s">
        <v>279</v>
      </c>
      <c r="Q164" s="75">
        <v>0</v>
      </c>
      <c r="R164" s="75">
        <v>195.7</v>
      </c>
      <c r="S164" s="76">
        <f ca="1">+R164+Q164</f>
        <v>195.7</v>
      </c>
      <c r="U164" s="75">
        <v>0</v>
      </c>
      <c r="V164" s="75">
        <v>971.90000000000009</v>
      </c>
      <c r="W164" s="76">
        <f ca="1">+V164+U164</f>
        <v>971.90000000000009</v>
      </c>
      <c r="X164" s="142">
        <v>0.1</v>
      </c>
      <c r="Y164" s="141">
        <f ca="1">+IF(ABS(W164)&lt;250,ABS(((+U164*(1+X164))+V164)/IF(U164&lt;&gt;0,U164,1))+0.1,10)</f>
        <v>10</v>
      </c>
      <c r="Z164" s="141" t="b">
        <f ca="1">IF(OR(U164&lt;&gt;0,V164&lt;&gt;0),ABS(((+U164*(1+X164))+V164)/IF(U164&lt;&gt;0,U164,1)),0)&lt;=Y164</f>
        <v>0</v>
      </c>
    </row>
    <row r="165" spans="1:29">
      <c r="B165" s="48" t="s">
        <v>101</v>
      </c>
      <c r="C165" s="48">
        <v>700</v>
      </c>
      <c r="D165" s="48">
        <v>510500</v>
      </c>
      <c r="E165" s="48" t="s">
        <v>83</v>
      </c>
      <c r="F165" s="48" t="s">
        <v>84</v>
      </c>
      <c r="G165" s="45">
        <v>800</v>
      </c>
      <c r="I165" s="48" t="s">
        <v>6</v>
      </c>
      <c r="J165" s="81">
        <f>+G165</f>
        <v>800</v>
      </c>
      <c r="K165" s="48">
        <v>605095</v>
      </c>
      <c r="L165" s="48" t="s">
        <v>83</v>
      </c>
      <c r="M165" s="48" t="s">
        <v>84</v>
      </c>
      <c r="N165" s="83">
        <f>+C165</f>
        <v>700</v>
      </c>
      <c r="O165" s="83" t="s">
        <v>279</v>
      </c>
      <c r="Q165" s="75">
        <v>0</v>
      </c>
      <c r="R165" s="75">
        <v>0</v>
      </c>
      <c r="S165" s="76">
        <f ca="1">+R165+Q165</f>
        <v>0</v>
      </c>
      <c r="U165" s="75">
        <v>0</v>
      </c>
      <c r="V165" s="75">
        <v>0</v>
      </c>
      <c r="W165" s="76">
        <f ca="1">+V165+U165</f>
        <v>0</v>
      </c>
      <c r="X165" s="142">
        <v>0.1</v>
      </c>
      <c r="Y165" s="141">
        <f ca="1">+IF(ABS(W165)&lt;250,ABS(((+U165*(1+X165))+V165)/IF(U165&lt;&gt;0,U165,1))+0.1,10)</f>
        <v>0.1</v>
      </c>
      <c r="Z165" s="141" t="b">
        <f ca="1">IF(OR(U165&lt;&gt;0,V165&lt;&gt;0),ABS(((+U165*(1+X165))+V165)/IF(U165&lt;&gt;0,U165,1)),0)&lt;=Y165</f>
        <v>1</v>
      </c>
    </row>
    <row r="166" spans="1:29">
      <c r="D166" s="48" t="s">
        <v>137</v>
      </c>
      <c r="Q166" s="77">
        <f ca="1">SUM(Q162:Q165)</f>
        <v>0</v>
      </c>
      <c r="R166" s="77">
        <f ca="1">SUM(R162:R165)</f>
        <v>323.45</v>
      </c>
      <c r="S166" s="77">
        <f ca="1">SUM(S162:S165)</f>
        <v>323.45</v>
      </c>
      <c r="U166" s="77">
        <f ca="1">SUM(U162:U165)</f>
        <v>0</v>
      </c>
      <c r="V166" s="77">
        <f ca="1">SUM(V162:V165)</f>
        <v>1466.6</v>
      </c>
      <c r="W166" s="77">
        <f ca="1">SUM(W162:W165)</f>
        <v>1466.6</v>
      </c>
      <c r="X166" s="142"/>
    </row>
    <row r="167" spans="1:29">
      <c r="S167" s="82"/>
      <c r="W167" s="82"/>
      <c r="X167" s="142"/>
    </row>
    <row r="168" spans="1:29">
      <c r="A168" s="72" t="s">
        <v>102</v>
      </c>
      <c r="X168" s="142"/>
    </row>
    <row r="169" spans="1:29" s="81" customFormat="1">
      <c r="B169" s="48" t="s">
        <v>101</v>
      </c>
      <c r="C169" s="48">
        <v>700</v>
      </c>
      <c r="D169" s="48">
        <v>586350</v>
      </c>
      <c r="E169" s="48" t="s">
        <v>83</v>
      </c>
      <c r="F169" s="48" t="s">
        <v>84</v>
      </c>
      <c r="G169" s="45">
        <v>600</v>
      </c>
      <c r="I169" s="48" t="s">
        <v>11</v>
      </c>
      <c r="J169" s="81">
        <v>600</v>
      </c>
      <c r="K169" s="81">
        <v>612525</v>
      </c>
      <c r="L169" s="48">
        <v>6423</v>
      </c>
      <c r="M169" s="48" t="s">
        <v>84</v>
      </c>
      <c r="N169" s="83">
        <v>700</v>
      </c>
      <c r="O169" s="83"/>
      <c r="P169" s="71"/>
      <c r="Q169" s="75">
        <v>0</v>
      </c>
      <c r="R169" s="75">
        <v>2379.36</v>
      </c>
      <c r="S169" s="76">
        <f ca="1">+R169+Q169</f>
        <v>2379.36</v>
      </c>
      <c r="T169" s="71"/>
      <c r="U169" s="75">
        <v>0</v>
      </c>
      <c r="V169" s="75">
        <v>-35904.719999999994</v>
      </c>
      <c r="W169" s="76">
        <f ca="1">+V169+U169</f>
        <v>-35904.719999999994</v>
      </c>
      <c r="X169" s="142">
        <v>7.0000000000000007E-2</v>
      </c>
      <c r="Y169" s="142">
        <v>1E-3</v>
      </c>
      <c r="Z169" s="141" t="b">
        <f ca="1">IF(OR(U169&lt;&gt;0,V169&lt;&gt;0),ABS(((+U169*(1+X169))+V169)/IF(U169&lt;&gt;0,U169,1)),0)&lt;=Y169</f>
        <v>0</v>
      </c>
      <c r="AA169" s="145"/>
      <c r="AB169" s="145"/>
      <c r="AC169" s="146"/>
    </row>
    <row r="170" spans="1:29" ht="15.75">
      <c r="B170" s="48" t="s">
        <v>101</v>
      </c>
      <c r="C170" s="48">
        <v>700</v>
      </c>
      <c r="D170" s="48">
        <v>586350</v>
      </c>
      <c r="E170" s="48" t="s">
        <v>83</v>
      </c>
      <c r="F170" s="48" t="s">
        <v>84</v>
      </c>
      <c r="G170" s="45">
        <v>500</v>
      </c>
      <c r="I170" s="48" t="s">
        <v>9</v>
      </c>
      <c r="J170" s="81">
        <v>500</v>
      </c>
      <c r="K170" s="81">
        <v>612525</v>
      </c>
      <c r="L170" s="48">
        <v>6423</v>
      </c>
      <c r="M170" s="48" t="s">
        <v>84</v>
      </c>
      <c r="N170" s="83">
        <v>700</v>
      </c>
      <c r="O170" s="83"/>
      <c r="Q170" s="75">
        <v>0</v>
      </c>
      <c r="R170" s="75">
        <v>0</v>
      </c>
      <c r="S170" s="76">
        <f ca="1">+R170+Q170</f>
        <v>0</v>
      </c>
      <c r="U170" s="75">
        <v>0</v>
      </c>
      <c r="V170" s="75">
        <v>0</v>
      </c>
      <c r="W170" s="76">
        <f ca="1">+V170+U170</f>
        <v>0</v>
      </c>
      <c r="X170" s="142">
        <v>7.0000000000000007E-2</v>
      </c>
      <c r="Y170" s="142">
        <v>1E-3</v>
      </c>
      <c r="Z170" s="141" t="b">
        <f ca="1">IF(OR(U170&lt;&gt;0,V170&lt;&gt;0),ABS(((+U170*(1+X170))+V170)/IF(U170&lt;&gt;0,U170,1)),0)&lt;=Y170</f>
        <v>1</v>
      </c>
      <c r="AA170" s="184"/>
      <c r="AB170" s="184"/>
      <c r="AC170" s="114"/>
    </row>
    <row r="171" spans="1:29">
      <c r="D171" s="48" t="s">
        <v>137</v>
      </c>
      <c r="Q171" s="77">
        <f ca="1">SUM(Q169:Q170)</f>
        <v>0</v>
      </c>
      <c r="R171" s="77">
        <f ca="1">SUM(R169:R170)</f>
        <v>2379.36</v>
      </c>
      <c r="S171" s="77">
        <f ca="1">SUM(S169:S170)</f>
        <v>2379.36</v>
      </c>
      <c r="U171" s="77">
        <f ca="1">SUM(U169:U170)</f>
        <v>0</v>
      </c>
      <c r="V171" s="77">
        <f ca="1">SUM(V169:V170)</f>
        <v>-35904.719999999994</v>
      </c>
      <c r="W171" s="77">
        <f ca="1">SUM(W169:W170)</f>
        <v>-35904.719999999994</v>
      </c>
      <c r="X171" s="142"/>
      <c r="Y171" s="142"/>
    </row>
    <row r="172" spans="1:29">
      <c r="Q172" s="82"/>
      <c r="R172" s="82"/>
      <c r="S172" s="82"/>
      <c r="U172" s="82"/>
      <c r="V172" s="82"/>
      <c r="W172" s="82"/>
      <c r="X172" s="142"/>
      <c r="Y172" s="143"/>
    </row>
    <row r="173" spans="1:29">
      <c r="A173" s="72" t="s">
        <v>46</v>
      </c>
      <c r="X173" s="143"/>
      <c r="Y173" s="143"/>
    </row>
    <row r="174" spans="1:29">
      <c r="B174" s="48" t="s">
        <v>101</v>
      </c>
      <c r="C174" s="48">
        <v>700</v>
      </c>
      <c r="D174" s="48">
        <v>585500</v>
      </c>
      <c r="E174" s="48" t="s">
        <v>83</v>
      </c>
      <c r="F174" s="48" t="s">
        <v>84</v>
      </c>
      <c r="G174" s="45">
        <v>400</v>
      </c>
      <c r="H174" s="48" t="s">
        <v>295</v>
      </c>
      <c r="I174" s="48" t="s">
        <v>7</v>
      </c>
      <c r="J174" s="81">
        <f>+G174</f>
        <v>400</v>
      </c>
      <c r="K174" s="48">
        <v>612555</v>
      </c>
      <c r="L174" s="48" t="s">
        <v>83</v>
      </c>
      <c r="M174" s="48" t="s">
        <v>84</v>
      </c>
      <c r="N174" s="83">
        <f>+C174</f>
        <v>700</v>
      </c>
      <c r="O174" s="83" t="s">
        <v>213</v>
      </c>
      <c r="Q174" s="75">
        <v>-299.81</v>
      </c>
      <c r="R174" s="75">
        <v>0</v>
      </c>
      <c r="S174" s="76">
        <f ca="1">+R174+Q174</f>
        <v>-299.81</v>
      </c>
      <c r="U174" s="75">
        <v>-1499.05</v>
      </c>
      <c r="V174" s="75">
        <v>0</v>
      </c>
      <c r="W174" s="76">
        <f ca="1">+V174+U174</f>
        <v>-1499.05</v>
      </c>
      <c r="X174" s="185">
        <v>0</v>
      </c>
      <c r="Y174" s="142">
        <v>1E-3</v>
      </c>
      <c r="Z174" s="141" t="b">
        <f ca="1">IF(OR(U174&lt;&gt;0,V174&lt;&gt;0),ABS(((+U174*(1+X174))+V174)/IF(U174&lt;&gt;0,U174,1)),0)&lt;=Y174</f>
        <v>0</v>
      </c>
      <c r="AB174" s="145"/>
      <c r="AC174" s="146"/>
    </row>
    <row r="175" spans="1:29">
      <c r="J175" s="81"/>
      <c r="N175" s="83"/>
      <c r="O175" s="83"/>
      <c r="Q175" s="75"/>
      <c r="R175" s="75"/>
      <c r="S175" s="76"/>
      <c r="U175" s="75"/>
      <c r="V175" s="75"/>
      <c r="W175" s="76"/>
      <c r="X175" s="142"/>
      <c r="Y175" s="162"/>
      <c r="Z175" s="163"/>
    </row>
    <row r="176" spans="1:29">
      <c r="B176" s="48" t="s">
        <v>101</v>
      </c>
      <c r="C176" s="48">
        <v>700</v>
      </c>
      <c r="D176" s="48">
        <v>585500</v>
      </c>
      <c r="E176" s="48" t="s">
        <v>83</v>
      </c>
      <c r="F176" s="48" t="s">
        <v>84</v>
      </c>
      <c r="G176" s="45">
        <v>100</v>
      </c>
      <c r="H176" s="48" t="s">
        <v>296</v>
      </c>
      <c r="I176" s="48" t="s">
        <v>51</v>
      </c>
      <c r="J176" s="81">
        <v>390</v>
      </c>
      <c r="K176" s="46">
        <v>612525</v>
      </c>
      <c r="L176" s="48" t="s">
        <v>83</v>
      </c>
      <c r="M176" s="48" t="s">
        <v>84</v>
      </c>
      <c r="N176" s="147" t="s">
        <v>81</v>
      </c>
      <c r="O176" s="147" t="s">
        <v>280</v>
      </c>
      <c r="Q176" s="75">
        <v>0</v>
      </c>
      <c r="R176" s="75">
        <v>0</v>
      </c>
      <c r="S176" s="76"/>
      <c r="U176" s="75">
        <v>-6537</v>
      </c>
      <c r="V176" s="75">
        <v>0</v>
      </c>
      <c r="W176" s="76"/>
      <c r="X176" s="142"/>
      <c r="Y176" s="162"/>
      <c r="Z176" s="163"/>
    </row>
    <row r="177" spans="1:29">
      <c r="J177" s="81"/>
      <c r="K177" s="186"/>
      <c r="N177" s="149"/>
      <c r="O177" s="149"/>
      <c r="Q177" s="75"/>
      <c r="R177" s="75"/>
      <c r="S177" s="76"/>
      <c r="U177" s="75"/>
      <c r="V177" s="75"/>
      <c r="W177" s="76"/>
      <c r="X177" s="142"/>
      <c r="Y177" s="187"/>
      <c r="Z177" s="163"/>
    </row>
    <row r="178" spans="1:29">
      <c r="Q178" s="77">
        <f ca="1">SUM(Q176:Q177)</f>
        <v>0</v>
      </c>
      <c r="R178" s="77">
        <f ca="1">SUM(R176:R177)</f>
        <v>0</v>
      </c>
      <c r="S178" s="76">
        <f ca="1">+R178+Q178</f>
        <v>0</v>
      </c>
      <c r="U178" s="77">
        <f ca="1">SUM(U176:U177)</f>
        <v>-6537</v>
      </c>
      <c r="V178" s="77">
        <f ca="1">SUM(V176:V177)</f>
        <v>0</v>
      </c>
      <c r="W178" s="76">
        <f ca="1">+V178+U178</f>
        <v>-6537</v>
      </c>
      <c r="X178" s="142">
        <v>0</v>
      </c>
      <c r="Y178" s="142">
        <v>1E-3</v>
      </c>
      <c r="Z178" s="141" t="b">
        <f ca="1">IF(OR(U178&lt;&gt;0,V178&lt;&gt;0),ABS(((+U178*(1+X178))+V178)/IF(U178&lt;&gt;0,U178,1)),0)&lt;=Y178</f>
        <v>0</v>
      </c>
      <c r="AA178" s="145">
        <v>8</v>
      </c>
      <c r="AB178" s="145" t="s">
        <v>101</v>
      </c>
      <c r="AC178" s="183" t="s">
        <v>370</v>
      </c>
    </row>
    <row r="179" spans="1:29">
      <c r="Q179" s="82"/>
      <c r="R179" s="82"/>
      <c r="S179" s="82"/>
      <c r="U179" s="82"/>
      <c r="V179" s="82"/>
      <c r="W179" s="82"/>
      <c r="X179" s="142"/>
      <c r="Y179" s="143"/>
    </row>
    <row r="180" spans="1:29">
      <c r="B180" s="48" t="s">
        <v>101</v>
      </c>
      <c r="C180" s="48">
        <v>700</v>
      </c>
      <c r="D180" s="48">
        <v>585500</v>
      </c>
      <c r="E180" s="48" t="s">
        <v>83</v>
      </c>
      <c r="F180" s="48" t="s">
        <v>84</v>
      </c>
      <c r="G180" s="45">
        <v>500</v>
      </c>
      <c r="H180" s="48" t="s">
        <v>295</v>
      </c>
      <c r="I180" s="48" t="s">
        <v>9</v>
      </c>
      <c r="J180" s="81">
        <f>+G180</f>
        <v>500</v>
      </c>
      <c r="K180" s="48">
        <v>612555</v>
      </c>
      <c r="L180" s="48" t="s">
        <v>83</v>
      </c>
      <c r="M180" s="48" t="s">
        <v>84</v>
      </c>
      <c r="N180" s="83">
        <f>+C180</f>
        <v>700</v>
      </c>
      <c r="O180" s="83" t="s">
        <v>213</v>
      </c>
      <c r="Q180" s="75">
        <v>-7431.48</v>
      </c>
      <c r="R180" s="75">
        <v>3405</v>
      </c>
      <c r="S180" s="76">
        <f ca="1">+R180+Q180</f>
        <v>-4026.4799999999996</v>
      </c>
      <c r="U180" s="75">
        <v>-37060.399999999994</v>
      </c>
      <c r="V180" s="75">
        <v>17025</v>
      </c>
      <c r="W180" s="76">
        <f ca="1">+V180+U180</f>
        <v>-20035.399999999994</v>
      </c>
      <c r="X180" s="185">
        <v>0</v>
      </c>
      <c r="Y180" s="142">
        <v>1E-3</v>
      </c>
      <c r="Z180" s="141" t="b">
        <f ca="1">IF(OR(U180&lt;&gt;0,V180&lt;&gt;0),ABS(((+U180*(1+X180))+V180)/IF(U180&lt;&gt;0,U180,1)),0)&lt;=Y180</f>
        <v>0</v>
      </c>
      <c r="AA180" s="119">
        <v>8</v>
      </c>
      <c r="AB180" s="145" t="s">
        <v>101</v>
      </c>
      <c r="AC180" s="183" t="s">
        <v>367</v>
      </c>
    </row>
    <row r="181" spans="1:29">
      <c r="B181" s="48" t="s">
        <v>101</v>
      </c>
      <c r="C181" s="48">
        <v>700</v>
      </c>
      <c r="D181" s="81">
        <v>586250</v>
      </c>
      <c r="E181" s="81" t="s">
        <v>83</v>
      </c>
      <c r="F181" s="48" t="s">
        <v>84</v>
      </c>
      <c r="G181" s="83">
        <v>500</v>
      </c>
      <c r="H181" s="81" t="s">
        <v>297</v>
      </c>
      <c r="I181" s="48" t="s">
        <v>9</v>
      </c>
      <c r="J181" s="81">
        <v>500</v>
      </c>
      <c r="K181" s="81">
        <v>615550</v>
      </c>
      <c r="L181" s="48" t="s">
        <v>83</v>
      </c>
      <c r="M181" s="48" t="s">
        <v>84</v>
      </c>
      <c r="N181" s="83">
        <f>+N180</f>
        <v>700</v>
      </c>
      <c r="O181" s="83" t="s">
        <v>214</v>
      </c>
      <c r="Q181" s="75">
        <v>0</v>
      </c>
      <c r="R181" s="75">
        <v>1741</v>
      </c>
      <c r="S181" s="76">
        <f ca="1">+R181+Q181</f>
        <v>1741</v>
      </c>
      <c r="U181" s="75">
        <v>0</v>
      </c>
      <c r="V181" s="75">
        <v>8608</v>
      </c>
      <c r="W181" s="76">
        <f ca="1">+V181+U181</f>
        <v>8608</v>
      </c>
      <c r="X181" s="185">
        <v>0</v>
      </c>
      <c r="Y181" s="142">
        <v>4.9899999999999996E-3</v>
      </c>
      <c r="Z181" s="141" t="b">
        <f ca="1">IF(OR(U181&lt;&gt;0,V181&lt;&gt;0),ABS(((+U181*(1+X181))+V181)/IF(U181&lt;&gt;0,U181,1)),0)&lt;=Y181</f>
        <v>0</v>
      </c>
    </row>
    <row r="182" spans="1:29">
      <c r="I182" s="61"/>
      <c r="J182" s="81"/>
      <c r="K182" s="61"/>
      <c r="L182" s="62"/>
      <c r="N182" s="83"/>
      <c r="O182" s="83"/>
      <c r="Q182" s="77">
        <f ca="1">SUM(Q180:Q181)</f>
        <v>-7431.48</v>
      </c>
      <c r="R182" s="77">
        <f ca="1">SUM(R180:R181)</f>
        <v>5146</v>
      </c>
      <c r="S182" s="77">
        <f ca="1">SUM(S180:S181)</f>
        <v>-2285.4799999999996</v>
      </c>
      <c r="U182" s="77">
        <f ca="1">SUM(U180:U181)</f>
        <v>-37060.399999999994</v>
      </c>
      <c r="V182" s="77">
        <f ca="1">SUM(V180:V181)</f>
        <v>25633</v>
      </c>
      <c r="W182" s="77">
        <f ca="1">SUM(W180:W181)</f>
        <v>-11427.399999999994</v>
      </c>
      <c r="X182" s="142"/>
      <c r="Y182" s="142"/>
      <c r="Z182" s="142"/>
    </row>
    <row r="183" spans="1:29">
      <c r="J183" s="81"/>
      <c r="N183" s="83"/>
      <c r="O183" s="83"/>
      <c r="Q183" s="82"/>
      <c r="R183" s="82"/>
      <c r="S183" s="82"/>
      <c r="U183" s="82"/>
      <c r="V183" s="82"/>
      <c r="W183" s="82"/>
      <c r="X183" s="142"/>
      <c r="Y183" s="142"/>
      <c r="Z183" s="142"/>
    </row>
    <row r="184" spans="1:29">
      <c r="B184" s="81"/>
      <c r="G184" s="83"/>
      <c r="I184" s="81" t="s">
        <v>11</v>
      </c>
      <c r="J184" s="81">
        <v>600</v>
      </c>
      <c r="K184" s="48">
        <v>605065</v>
      </c>
      <c r="L184" s="48" t="s">
        <v>83</v>
      </c>
      <c r="M184" s="48" t="s">
        <v>84</v>
      </c>
      <c r="N184" s="83">
        <v>700</v>
      </c>
      <c r="O184" s="83"/>
      <c r="Q184" s="75"/>
      <c r="R184" s="75">
        <v>194.8</v>
      </c>
      <c r="S184" s="76">
        <f ca="1">+R184+Q184</f>
        <v>194.8</v>
      </c>
      <c r="U184" s="75"/>
      <c r="V184" s="75">
        <v>1070.3</v>
      </c>
      <c r="W184" s="76">
        <f ca="1">+V184+U184</f>
        <v>1070.3</v>
      </c>
      <c r="X184" s="142"/>
      <c r="Y184" s="162"/>
      <c r="Z184" s="163"/>
      <c r="AA184" s="119">
        <v>8</v>
      </c>
      <c r="AB184" s="119" t="s">
        <v>101</v>
      </c>
      <c r="AC184" s="183" t="s">
        <v>368</v>
      </c>
    </row>
    <row r="185" spans="1:29">
      <c r="B185" s="81" t="s">
        <v>101</v>
      </c>
      <c r="C185" s="48">
        <v>700</v>
      </c>
      <c r="D185" s="48">
        <v>585500</v>
      </c>
      <c r="E185" s="48" t="s">
        <v>83</v>
      </c>
      <c r="F185" s="48" t="s">
        <v>84</v>
      </c>
      <c r="G185" s="83">
        <v>600</v>
      </c>
      <c r="H185" s="48" t="s">
        <v>295</v>
      </c>
      <c r="I185" s="81" t="s">
        <v>11</v>
      </c>
      <c r="J185" s="81">
        <f>+G185</f>
        <v>600</v>
      </c>
      <c r="K185" s="48">
        <v>612555</v>
      </c>
      <c r="L185" s="48" t="s">
        <v>83</v>
      </c>
      <c r="M185" s="48" t="s">
        <v>84</v>
      </c>
      <c r="N185" s="83">
        <f>+C185</f>
        <v>700</v>
      </c>
      <c r="O185" s="83" t="s">
        <v>213</v>
      </c>
      <c r="Q185" s="75">
        <v>-17247.62</v>
      </c>
      <c r="R185" s="75">
        <v>4278</v>
      </c>
      <c r="S185" s="76">
        <f ca="1">+R185+Q185</f>
        <v>-12969.619999999999</v>
      </c>
      <c r="U185" s="75">
        <v>-85835.099999999991</v>
      </c>
      <c r="V185" s="75">
        <v>21390</v>
      </c>
      <c r="W185" s="76">
        <f ca="1">+V185+U185</f>
        <v>-64445.099999999991</v>
      </c>
      <c r="X185" s="142"/>
      <c r="Y185" s="142"/>
      <c r="Z185" s="142"/>
      <c r="AB185" s="145"/>
    </row>
    <row r="186" spans="1:29">
      <c r="B186" s="81" t="s">
        <v>101</v>
      </c>
      <c r="C186" s="48">
        <v>700</v>
      </c>
      <c r="D186" s="81">
        <v>586250</v>
      </c>
      <c r="E186" s="81" t="s">
        <v>83</v>
      </c>
      <c r="F186" s="48" t="s">
        <v>84</v>
      </c>
      <c r="G186" s="83">
        <v>600</v>
      </c>
      <c r="H186" s="81" t="s">
        <v>297</v>
      </c>
      <c r="I186" s="81" t="s">
        <v>11</v>
      </c>
      <c r="J186" s="81">
        <v>600</v>
      </c>
      <c r="K186" s="81">
        <v>615550</v>
      </c>
      <c r="L186" s="48" t="s">
        <v>83</v>
      </c>
      <c r="M186" s="48" t="s">
        <v>84</v>
      </c>
      <c r="N186" s="83">
        <v>700</v>
      </c>
      <c r="O186" s="83" t="s">
        <v>214</v>
      </c>
      <c r="Q186" s="75">
        <v>0</v>
      </c>
      <c r="R186" s="75">
        <v>5133</v>
      </c>
      <c r="S186" s="76">
        <f ca="1">+R186+Q186</f>
        <v>5133</v>
      </c>
      <c r="U186" s="75">
        <v>0</v>
      </c>
      <c r="V186" s="75">
        <v>25262</v>
      </c>
      <c r="W186" s="76">
        <f ca="1">+V186+U186</f>
        <v>25262</v>
      </c>
      <c r="X186" s="142"/>
      <c r="Y186" s="142"/>
      <c r="Z186" s="142"/>
    </row>
    <row r="187" spans="1:29">
      <c r="H187" s="88"/>
      <c r="K187" s="88"/>
      <c r="L187" s="88"/>
      <c r="M187" s="88"/>
      <c r="N187" s="158"/>
      <c r="O187" s="158"/>
      <c r="Q187" s="159">
        <f ca="1">SUM(Q184:Q186)</f>
        <v>-17247.62</v>
      </c>
      <c r="R187" s="159">
        <f ca="1">SUM(R184:R186)</f>
        <v>9605.7999999999993</v>
      </c>
      <c r="S187" s="77">
        <f ca="1">SUM(S184:S186)</f>
        <v>-7641.82</v>
      </c>
      <c r="U187" s="159">
        <f ca="1">SUM(U184:U186)</f>
        <v>-85835.099999999991</v>
      </c>
      <c r="V187" s="159">
        <f ca="1">SUM(V184:V186)</f>
        <v>47722.3</v>
      </c>
      <c r="W187" s="77">
        <f ca="1">SUM(W184:W186)</f>
        <v>-38112.799999999988</v>
      </c>
      <c r="X187" s="185">
        <v>0</v>
      </c>
      <c r="Y187" s="142">
        <v>1E-3</v>
      </c>
      <c r="Z187" s="141" t="b">
        <f ca="1">IF(OR(U187&lt;&gt;0,V187&lt;&gt;0),ABS(((+U187*(1+X187))+V187)/IF(U187&lt;&gt;0,U187,1)),0)&lt;=Y187</f>
        <v>0</v>
      </c>
    </row>
    <row r="188" spans="1:29">
      <c r="H188" s="88"/>
      <c r="K188" s="88"/>
      <c r="L188" s="88"/>
      <c r="M188" s="88"/>
      <c r="N188" s="158"/>
      <c r="O188" s="158"/>
      <c r="Q188" s="160"/>
      <c r="R188" s="160"/>
      <c r="S188" s="76"/>
      <c r="U188" s="160"/>
      <c r="V188" s="160"/>
      <c r="W188" s="76"/>
      <c r="X188" s="161"/>
      <c r="Y188" s="162"/>
      <c r="Z188" s="163"/>
    </row>
    <row r="189" spans="1:29">
      <c r="B189" s="48" t="s">
        <v>101</v>
      </c>
      <c r="C189" s="48">
        <v>700</v>
      </c>
      <c r="D189" s="48">
        <v>585500</v>
      </c>
      <c r="E189" s="48" t="s">
        <v>83</v>
      </c>
      <c r="F189" s="48" t="s">
        <v>84</v>
      </c>
      <c r="G189" s="45">
        <v>800</v>
      </c>
      <c r="H189" s="48" t="s">
        <v>295</v>
      </c>
      <c r="I189" s="48" t="s">
        <v>6</v>
      </c>
      <c r="J189" s="81">
        <f>+G189</f>
        <v>800</v>
      </c>
      <c r="K189" s="48">
        <v>612555</v>
      </c>
      <c r="L189" s="48" t="s">
        <v>83</v>
      </c>
      <c r="M189" s="48" t="s">
        <v>84</v>
      </c>
      <c r="N189" s="83">
        <f>+C189</f>
        <v>700</v>
      </c>
      <c r="O189" s="83" t="s">
        <v>213</v>
      </c>
      <c r="Q189" s="75">
        <v>-8106</v>
      </c>
      <c r="R189" s="75">
        <v>8138.1</v>
      </c>
      <c r="S189" s="76">
        <f ca="1">+R189+Q189</f>
        <v>32.100000000000364</v>
      </c>
      <c r="U189" s="75">
        <v>-40530</v>
      </c>
      <c r="V189" s="75">
        <v>40626.300000000003</v>
      </c>
      <c r="W189" s="76">
        <f ca="1">+U189+V189</f>
        <v>96.30000000000291</v>
      </c>
      <c r="X189" s="185">
        <v>0</v>
      </c>
      <c r="Y189" s="142">
        <v>0.01</v>
      </c>
      <c r="Z189" s="141" t="b">
        <f ca="1">IF(OR(U189&lt;&gt;0,V189&lt;&gt;0),ABS(((+U189*(1+X189))+V189)/IF(U189&lt;&gt;0,U189,1)),0)&lt;=Y189</f>
        <v>1</v>
      </c>
    </row>
    <row r="190" spans="1:29">
      <c r="D190" s="48" t="s">
        <v>137</v>
      </c>
      <c r="Q190" s="77">
        <f ca="1">+Q189+Q187+Q182+Q178</f>
        <v>-32785.1</v>
      </c>
      <c r="R190" s="77">
        <f ca="1">+R189+R187+R182+R178</f>
        <v>22889.9</v>
      </c>
      <c r="S190" s="77">
        <f ca="1">+S189+S187+S182+S178</f>
        <v>-9895.1999999999989</v>
      </c>
      <c r="U190" s="77">
        <f ca="1">+U189+U187+U182+U178</f>
        <v>-169962.5</v>
      </c>
      <c r="V190" s="77">
        <f ca="1">+V189+V187+V182+V178</f>
        <v>113981.6</v>
      </c>
      <c r="W190" s="77">
        <f ca="1">+W189+W187+W182+W178</f>
        <v>-55980.89999999998</v>
      </c>
      <c r="X190" s="143"/>
      <c r="Y190" s="143"/>
    </row>
    <row r="191" spans="1:29">
      <c r="Q191" s="82"/>
      <c r="R191" s="82"/>
      <c r="S191" s="82"/>
      <c r="U191" s="82"/>
      <c r="V191" s="82"/>
      <c r="W191" s="82"/>
      <c r="X191" s="143"/>
      <c r="Y191" s="143"/>
    </row>
    <row r="192" spans="1:29">
      <c r="A192" s="72" t="s">
        <v>30</v>
      </c>
      <c r="X192" s="142"/>
      <c r="Y192" s="143"/>
    </row>
    <row r="193" spans="1:36">
      <c r="B193" s="81" t="s">
        <v>101</v>
      </c>
      <c r="C193" s="48">
        <v>700</v>
      </c>
      <c r="D193" s="81">
        <v>586353</v>
      </c>
      <c r="E193" s="48" t="s">
        <v>83</v>
      </c>
      <c r="F193" s="48" t="s">
        <v>84</v>
      </c>
      <c r="G193" s="83">
        <v>400</v>
      </c>
      <c r="H193" s="48" t="s">
        <v>294</v>
      </c>
      <c r="I193" s="48" t="s">
        <v>7</v>
      </c>
      <c r="J193" s="81">
        <f>+G193</f>
        <v>400</v>
      </c>
      <c r="K193" s="48">
        <v>615530</v>
      </c>
      <c r="L193" s="48" t="s">
        <v>83</v>
      </c>
      <c r="M193" s="48" t="s">
        <v>84</v>
      </c>
      <c r="N193" s="83">
        <f>+C193</f>
        <v>700</v>
      </c>
      <c r="O193" s="83" t="s">
        <v>215</v>
      </c>
      <c r="Q193" s="75">
        <v>0</v>
      </c>
      <c r="R193" s="75">
        <v>320.8</v>
      </c>
      <c r="S193" s="76">
        <f ca="1">+R193+Q193</f>
        <v>320.8</v>
      </c>
      <c r="U193" s="75">
        <v>0</v>
      </c>
      <c r="V193" s="75">
        <v>1604</v>
      </c>
      <c r="W193" s="76">
        <f ca="1">+V193+U193</f>
        <v>1604</v>
      </c>
      <c r="X193" s="142">
        <v>7.0000000000000007E-2</v>
      </c>
      <c r="Y193" s="142">
        <v>1E-3</v>
      </c>
      <c r="Z193" s="141" t="b">
        <f ca="1">IF(OR(U193&lt;&gt;0,V193&lt;&gt;0),ABS(((+U193*(1+X193))+V193)/IF(U193&lt;&gt;0,U193,1)),0)&lt;=Y193</f>
        <v>0</v>
      </c>
    </row>
    <row r="194" spans="1:36">
      <c r="B194" s="48" t="s">
        <v>101</v>
      </c>
      <c r="C194" s="48">
        <v>700</v>
      </c>
      <c r="D194" s="81">
        <v>586353</v>
      </c>
      <c r="E194" s="48" t="s">
        <v>83</v>
      </c>
      <c r="F194" s="48" t="s">
        <v>84</v>
      </c>
      <c r="G194" s="45">
        <v>500</v>
      </c>
      <c r="H194" s="48" t="s">
        <v>294</v>
      </c>
      <c r="I194" s="48" t="s">
        <v>9</v>
      </c>
      <c r="J194" s="81">
        <f>+G194</f>
        <v>500</v>
      </c>
      <c r="K194" s="48">
        <v>615530</v>
      </c>
      <c r="L194" s="48" t="s">
        <v>83</v>
      </c>
      <c r="M194" s="48" t="s">
        <v>84</v>
      </c>
      <c r="N194" s="83">
        <f>+C194</f>
        <v>700</v>
      </c>
      <c r="O194" s="83" t="s">
        <v>215</v>
      </c>
      <c r="Q194" s="75">
        <v>0</v>
      </c>
      <c r="R194" s="75">
        <v>2445.46</v>
      </c>
      <c r="S194" s="76">
        <f ca="1">+R194+Q194</f>
        <v>2445.46</v>
      </c>
      <c r="U194" s="75">
        <v>0</v>
      </c>
      <c r="V194" s="75">
        <v>12227.3</v>
      </c>
      <c r="W194" s="76">
        <f ca="1">+V194+U194</f>
        <v>12227.3</v>
      </c>
      <c r="X194" s="142">
        <v>7.0000000000000007E-2</v>
      </c>
      <c r="Y194" s="142">
        <v>0</v>
      </c>
      <c r="Z194" s="141" t="b">
        <f ca="1">IF(OR(U194&lt;&gt;0,V194&lt;&gt;0),ABS(((+U194*(1+X194))+V194)/IF(U194&lt;&gt;0,U194,1)),0)&lt;=Y194</f>
        <v>0</v>
      </c>
      <c r="AA194" s="119">
        <v>10</v>
      </c>
      <c r="AB194" s="119" t="s">
        <v>9</v>
      </c>
      <c r="AC194" s="183" t="s">
        <v>369</v>
      </c>
    </row>
    <row r="195" spans="1:36">
      <c r="B195" s="48" t="s">
        <v>101</v>
      </c>
      <c r="C195" s="48">
        <v>700</v>
      </c>
      <c r="D195" s="81">
        <v>586353</v>
      </c>
      <c r="E195" s="48" t="s">
        <v>83</v>
      </c>
      <c r="F195" s="48" t="s">
        <v>84</v>
      </c>
      <c r="G195" s="45">
        <v>600</v>
      </c>
      <c r="H195" s="48" t="s">
        <v>294</v>
      </c>
      <c r="I195" s="48" t="s">
        <v>11</v>
      </c>
      <c r="J195" s="81">
        <f>+G195</f>
        <v>600</v>
      </c>
      <c r="K195" s="48">
        <v>615530</v>
      </c>
      <c r="L195" s="48" t="s">
        <v>83</v>
      </c>
      <c r="M195" s="48" t="s">
        <v>84</v>
      </c>
      <c r="N195" s="83">
        <f>+C195</f>
        <v>700</v>
      </c>
      <c r="O195" s="83" t="s">
        <v>215</v>
      </c>
      <c r="Q195" s="75">
        <v>0</v>
      </c>
      <c r="R195" s="75">
        <v>5796.74</v>
      </c>
      <c r="S195" s="76">
        <f ca="1">+R195+Q195</f>
        <v>5796.74</v>
      </c>
      <c r="U195" s="75">
        <v>0</v>
      </c>
      <c r="V195" s="75">
        <v>28983.699999999997</v>
      </c>
      <c r="W195" s="76">
        <f ca="1">+V195+U195</f>
        <v>28983.699999999997</v>
      </c>
      <c r="X195" s="142">
        <v>7.0000000000000007E-2</v>
      </c>
      <c r="Y195" s="142">
        <v>1E-3</v>
      </c>
      <c r="Z195" s="141" t="b">
        <f ca="1">IF(OR(U195&lt;&gt;0,V195&lt;&gt;0),ABS(((+U195*(1+X195))+V195)/IF(U195&lt;&gt;0,U195,1)),0)&lt;=Y195</f>
        <v>0</v>
      </c>
      <c r="AJ195" s="188"/>
    </row>
    <row r="196" spans="1:36">
      <c r="D196" s="48" t="s">
        <v>137</v>
      </c>
      <c r="Q196" s="77">
        <f ca="1">SUM(Q193:Q195)</f>
        <v>0</v>
      </c>
      <c r="R196" s="77">
        <f ca="1">SUM(R193:R195)</f>
        <v>8563</v>
      </c>
      <c r="S196" s="77">
        <f ca="1">SUM(S193:S195)</f>
        <v>8563</v>
      </c>
      <c r="U196" s="77">
        <f ca="1">SUM(U193:U195)</f>
        <v>0</v>
      </c>
      <c r="V196" s="77">
        <f ca="1">SUM(V193:V195)</f>
        <v>42815</v>
      </c>
      <c r="W196" s="77">
        <f ca="1">SUM(W193:W195)</f>
        <v>42815</v>
      </c>
      <c r="X196" s="141"/>
    </row>
    <row r="197" spans="1:36" s="70" customFormat="1" ht="17.25" thickBot="1">
      <c r="E197" s="79" t="s">
        <v>134</v>
      </c>
      <c r="F197" s="79"/>
      <c r="G197" s="79"/>
      <c r="H197" s="48"/>
      <c r="I197" s="48"/>
      <c r="J197" s="48"/>
      <c r="K197" s="48"/>
      <c r="L197" s="48"/>
      <c r="M197" s="48"/>
      <c r="N197" s="45"/>
      <c r="O197" s="45"/>
      <c r="P197" s="71"/>
      <c r="Q197" s="107">
        <f ca="1">+SUMIF($D$126:$D196,"subtotal",Q$126:Q196)</f>
        <v>-32785.1</v>
      </c>
      <c r="R197" s="107">
        <f ca="1">+SUMIF($D$126:$D196,"subtotal",R$126:R196)</f>
        <v>5885167.8499999996</v>
      </c>
      <c r="S197" s="107">
        <f ca="1">+SUMIF($D$126:$D196,"subtotal",S$126:S196)</f>
        <v>5843289.7499999991</v>
      </c>
      <c r="T197" s="94"/>
      <c r="U197" s="107">
        <f ca="1">+SUMIF($D$126:$D196,"subtotal",U$126:U196)</f>
        <v>-169962.5</v>
      </c>
      <c r="V197" s="107">
        <f ca="1">+SUMIF($D$126:$D196,"subtotal",V$126:V196)</f>
        <v>29883856.520000003</v>
      </c>
      <c r="W197" s="107">
        <f ca="1">+SUMIF($D$126:$D196,"subtotal",W$126:W196)</f>
        <v>29668429.020000003</v>
      </c>
      <c r="AA197" s="119"/>
      <c r="AB197" s="119"/>
      <c r="AC197" s="136"/>
    </row>
    <row r="198" spans="1:36" ht="17.25" thickTop="1">
      <c r="Q198" s="82"/>
      <c r="S198" s="82"/>
      <c r="U198" s="82"/>
      <c r="W198" s="82"/>
      <c r="X198" s="141"/>
    </row>
    <row r="199" spans="1:36">
      <c r="Q199" s="82"/>
      <c r="S199" s="82"/>
      <c r="U199" s="82"/>
      <c r="W199" s="82"/>
      <c r="X199" s="141"/>
    </row>
    <row r="200" spans="1:36" s="189" customFormat="1">
      <c r="G200" s="190"/>
      <c r="N200" s="190"/>
      <c r="O200" s="190"/>
      <c r="P200" s="191"/>
      <c r="S200" s="192"/>
      <c r="T200" s="191"/>
      <c r="W200" s="192"/>
      <c r="AA200" s="193"/>
      <c r="AB200" s="193"/>
      <c r="AC200" s="194"/>
    </row>
    <row r="201" spans="1:36" hidden="1">
      <c r="A201" s="70" t="s">
        <v>302</v>
      </c>
      <c r="Q201" s="65" t="s">
        <v>88</v>
      </c>
      <c r="R201" s="65" t="s">
        <v>88</v>
      </c>
      <c r="S201" s="65"/>
      <c r="T201" s="68"/>
      <c r="U201" s="65" t="s">
        <v>89</v>
      </c>
      <c r="V201" s="65" t="s">
        <v>89</v>
      </c>
      <c r="W201" s="65"/>
    </row>
    <row r="202" spans="1:36" hidden="1">
      <c r="C202" s="48" t="s">
        <v>318</v>
      </c>
      <c r="Q202" s="67" t="s">
        <v>304</v>
      </c>
      <c r="R202" s="67" t="s">
        <v>303</v>
      </c>
      <c r="S202" s="67" t="s">
        <v>269</v>
      </c>
      <c r="T202" s="68"/>
      <c r="U202" s="67" t="s">
        <v>304</v>
      </c>
      <c r="V202" s="67" t="s">
        <v>303</v>
      </c>
      <c r="W202" s="67" t="s">
        <v>269</v>
      </c>
    </row>
    <row r="203" spans="1:36" hidden="1">
      <c r="A203" s="72" t="s">
        <v>309</v>
      </c>
      <c r="Q203" s="195"/>
      <c r="R203" s="195"/>
      <c r="S203" s="195"/>
      <c r="T203" s="68"/>
      <c r="U203" s="195"/>
      <c r="V203" s="195"/>
      <c r="W203" s="195"/>
    </row>
    <row r="204" spans="1:36" hidden="1">
      <c r="C204" s="48">
        <v>390</v>
      </c>
      <c r="D204" s="48" t="s">
        <v>307</v>
      </c>
      <c r="E204" s="48" t="s">
        <v>83</v>
      </c>
      <c r="F204" s="48" t="s">
        <v>84</v>
      </c>
      <c r="G204" s="83">
        <v>100</v>
      </c>
      <c r="H204" s="48" t="s">
        <v>305</v>
      </c>
      <c r="J204" s="48">
        <v>390</v>
      </c>
      <c r="K204" s="48" t="s">
        <v>308</v>
      </c>
      <c r="L204" s="48" t="s">
        <v>83</v>
      </c>
      <c r="M204" s="48" t="s">
        <v>84</v>
      </c>
      <c r="N204" s="83">
        <v>100</v>
      </c>
      <c r="O204" s="45" t="s">
        <v>306</v>
      </c>
      <c r="Q204" s="196">
        <f t="shared" ref="Q204:Q209" ca="1" si="3">+SUMIFS(U$1:U$200,$C$1:$C$200,$C204,$G$1:$G$200,$G204)</f>
        <v>0</v>
      </c>
      <c r="R204" s="197" t="e">
        <f ca="1">CFD($D$2,$C204,$E204,$F204,"J00",$D204,"000",$G204,$D$3,"A","Y","0",-3130824.76)</f>
        <v>#NAME?</v>
      </c>
      <c r="S204" s="198" t="e">
        <f t="shared" ref="S204:S209" ca="1" si="4">+Q204-R204</f>
        <v>#NAME?</v>
      </c>
      <c r="U204" s="196">
        <f t="shared" ref="U204:U209" ca="1" si="5">+SUMIFS(V$1:V$200,$J$1:$J$200,$J204,$N$1:$N$200,$N204)</f>
        <v>0</v>
      </c>
      <c r="V204" s="75" t="e">
        <f t="shared" ref="V204:V209" ca="1" si="6">CFD($D$2,$J204,$L204,$M204,"J00",$K204,"000",$N204,$D$3,"A","Y","0",0)</f>
        <v>#NAME?</v>
      </c>
      <c r="W204" s="198" t="e">
        <f t="shared" ref="W204:W209" ca="1" si="7">+U204-V204</f>
        <v>#NAME?</v>
      </c>
    </row>
    <row r="205" spans="1:36" hidden="1">
      <c r="C205" s="48">
        <v>390</v>
      </c>
      <c r="D205" s="48" t="s">
        <v>307</v>
      </c>
      <c r="E205" s="48" t="s">
        <v>83</v>
      </c>
      <c r="F205" s="48" t="s">
        <v>84</v>
      </c>
      <c r="G205" s="83">
        <v>400</v>
      </c>
      <c r="H205" s="48" t="s">
        <v>305</v>
      </c>
      <c r="J205" s="48">
        <v>390</v>
      </c>
      <c r="K205" s="48" t="s">
        <v>308</v>
      </c>
      <c r="L205" s="48" t="s">
        <v>83</v>
      </c>
      <c r="M205" s="48" t="s">
        <v>84</v>
      </c>
      <c r="N205" s="83">
        <v>400</v>
      </c>
      <c r="O205" s="45" t="s">
        <v>306</v>
      </c>
      <c r="Q205" s="196">
        <f t="shared" ca="1" si="3"/>
        <v>0</v>
      </c>
      <c r="R205" s="197" t="e">
        <f ca="1">CFD($D$2,$C205,$E205,$F205,"J00",$D205,"000",$G205,$D$3,"A","Y","0",0)</f>
        <v>#NAME?</v>
      </c>
      <c r="S205" s="198" t="e">
        <f t="shared" ca="1" si="4"/>
        <v>#NAME?</v>
      </c>
      <c r="U205" s="196">
        <f t="shared" ca="1" si="5"/>
        <v>0</v>
      </c>
      <c r="V205" s="75" t="e">
        <f t="shared" ca="1" si="6"/>
        <v>#NAME?</v>
      </c>
      <c r="W205" s="198" t="e">
        <f t="shared" ca="1" si="7"/>
        <v>#NAME?</v>
      </c>
    </row>
    <row r="206" spans="1:36" hidden="1">
      <c r="C206" s="48">
        <v>390</v>
      </c>
      <c r="D206" s="48" t="s">
        <v>307</v>
      </c>
      <c r="E206" s="48" t="s">
        <v>83</v>
      </c>
      <c r="F206" s="48" t="s">
        <v>84</v>
      </c>
      <c r="G206" s="83">
        <v>500</v>
      </c>
      <c r="H206" s="48" t="s">
        <v>305</v>
      </c>
      <c r="J206" s="48">
        <v>390</v>
      </c>
      <c r="K206" s="48" t="s">
        <v>308</v>
      </c>
      <c r="L206" s="48" t="s">
        <v>83</v>
      </c>
      <c r="M206" s="48" t="s">
        <v>84</v>
      </c>
      <c r="N206" s="83">
        <v>500</v>
      </c>
      <c r="O206" s="45" t="s">
        <v>306</v>
      </c>
      <c r="Q206" s="196">
        <f t="shared" ca="1" si="3"/>
        <v>0</v>
      </c>
      <c r="R206" s="197" t="e">
        <f ca="1">CFD($D$2,$C206,$E206,$F206,"J00",$D206,"000",$G206,$D$3,"A","Y","0",0)</f>
        <v>#NAME?</v>
      </c>
      <c r="S206" s="198" t="e">
        <f t="shared" ca="1" si="4"/>
        <v>#NAME?</v>
      </c>
      <c r="U206" s="196">
        <f t="shared" ca="1" si="5"/>
        <v>1750</v>
      </c>
      <c r="V206" s="75" t="e">
        <f t="shared" ca="1" si="6"/>
        <v>#NAME?</v>
      </c>
      <c r="W206" s="198" t="e">
        <f t="shared" ca="1" si="7"/>
        <v>#NAME?</v>
      </c>
    </row>
    <row r="207" spans="1:36" hidden="1">
      <c r="C207" s="48">
        <v>390</v>
      </c>
      <c r="D207" s="48" t="s">
        <v>307</v>
      </c>
      <c r="E207" s="48" t="s">
        <v>83</v>
      </c>
      <c r="F207" s="48" t="s">
        <v>84</v>
      </c>
      <c r="G207" s="83">
        <v>600</v>
      </c>
      <c r="H207" s="48" t="s">
        <v>305</v>
      </c>
      <c r="J207" s="48">
        <v>390</v>
      </c>
      <c r="K207" s="48" t="s">
        <v>308</v>
      </c>
      <c r="L207" s="48" t="s">
        <v>83</v>
      </c>
      <c r="M207" s="48" t="s">
        <v>84</v>
      </c>
      <c r="N207" s="83">
        <v>600</v>
      </c>
      <c r="O207" s="45" t="s">
        <v>306</v>
      </c>
      <c r="Q207" s="196">
        <f t="shared" ca="1" si="3"/>
        <v>0</v>
      </c>
      <c r="R207" s="197" t="e">
        <f ca="1">CFD($D$2,$C207,$E207,$F207,"J00",$D207,"000",$G207,$D$3,"A","Y","0",0)</f>
        <v>#NAME?</v>
      </c>
      <c r="S207" s="198" t="e">
        <f t="shared" ca="1" si="4"/>
        <v>#NAME?</v>
      </c>
      <c r="U207" s="196">
        <f t="shared" ca="1" si="5"/>
        <v>0</v>
      </c>
      <c r="V207" s="75" t="e">
        <f t="shared" ca="1" si="6"/>
        <v>#NAME?</v>
      </c>
      <c r="W207" s="198" t="e">
        <f t="shared" ca="1" si="7"/>
        <v>#NAME?</v>
      </c>
    </row>
    <row r="208" spans="1:36" hidden="1">
      <c r="C208" s="48">
        <v>390</v>
      </c>
      <c r="D208" s="48" t="s">
        <v>307</v>
      </c>
      <c r="E208" s="48" t="s">
        <v>83</v>
      </c>
      <c r="F208" s="48" t="s">
        <v>84</v>
      </c>
      <c r="G208" s="83">
        <v>700</v>
      </c>
      <c r="H208" s="48" t="s">
        <v>305</v>
      </c>
      <c r="J208" s="48">
        <v>390</v>
      </c>
      <c r="K208" s="48" t="s">
        <v>308</v>
      </c>
      <c r="L208" s="48" t="s">
        <v>83</v>
      </c>
      <c r="M208" s="48" t="s">
        <v>84</v>
      </c>
      <c r="N208" s="83">
        <v>700</v>
      </c>
      <c r="O208" s="45" t="s">
        <v>306</v>
      </c>
      <c r="Q208" s="196">
        <f t="shared" ca="1" si="3"/>
        <v>-308274.55000000005</v>
      </c>
      <c r="R208" s="197" t="e">
        <f ca="1">CFD($D$2,$C208,$E208,$F208,"J00",$D208,"000",$G208,$D$3,"A","Y","0",-524461.8)</f>
        <v>#NAME?</v>
      </c>
      <c r="S208" s="198" t="e">
        <f t="shared" ca="1" si="4"/>
        <v>#NAME?</v>
      </c>
      <c r="U208" s="196">
        <f t="shared" ca="1" si="5"/>
        <v>29383664.09</v>
      </c>
      <c r="V208" s="75" t="e">
        <f t="shared" ca="1" si="6"/>
        <v>#NAME?</v>
      </c>
      <c r="W208" s="198" t="e">
        <f t="shared" ca="1" si="7"/>
        <v>#NAME?</v>
      </c>
    </row>
    <row r="209" spans="1:23" hidden="1">
      <c r="C209" s="48">
        <v>390</v>
      </c>
      <c r="D209" s="48" t="s">
        <v>307</v>
      </c>
      <c r="E209" s="48" t="s">
        <v>83</v>
      </c>
      <c r="F209" s="48" t="s">
        <v>84</v>
      </c>
      <c r="G209" s="83">
        <v>800</v>
      </c>
      <c r="H209" s="48" t="s">
        <v>305</v>
      </c>
      <c r="J209" s="48">
        <v>390</v>
      </c>
      <c r="K209" s="48" t="s">
        <v>308</v>
      </c>
      <c r="L209" s="48" t="s">
        <v>83</v>
      </c>
      <c r="M209" s="48" t="s">
        <v>84</v>
      </c>
      <c r="N209" s="83">
        <v>800</v>
      </c>
      <c r="O209" s="45" t="s">
        <v>306</v>
      </c>
      <c r="Q209" s="196">
        <f t="shared" ca="1" si="3"/>
        <v>-167175.65</v>
      </c>
      <c r="R209" s="197" t="e">
        <f ca="1">CFD($D$2,$C209,$E209,$F209,"J00",$D209,"000",$G209,$D$3,"A","Y","0",-352962.48)</f>
        <v>#NAME?</v>
      </c>
      <c r="S209" s="198" t="e">
        <f t="shared" ca="1" si="4"/>
        <v>#NAME?</v>
      </c>
      <c r="U209" s="196">
        <f t="shared" ca="1" si="5"/>
        <v>2034797.4100000001</v>
      </c>
      <c r="V209" s="75" t="e">
        <f t="shared" ca="1" si="6"/>
        <v>#NAME?</v>
      </c>
      <c r="W209" s="198" t="e">
        <f t="shared" ca="1" si="7"/>
        <v>#NAME?</v>
      </c>
    </row>
    <row r="210" spans="1:23" hidden="1">
      <c r="A210" s="72" t="s">
        <v>310</v>
      </c>
      <c r="Q210" s="195"/>
      <c r="R210" s="195"/>
      <c r="S210" s="195"/>
      <c r="T210" s="68"/>
      <c r="U210" s="195"/>
      <c r="V210" s="195"/>
      <c r="W210" s="195"/>
    </row>
    <row r="211" spans="1:23" hidden="1">
      <c r="C211" s="48">
        <v>400</v>
      </c>
      <c r="D211" s="48" t="s">
        <v>307</v>
      </c>
      <c r="E211" s="48" t="s">
        <v>83</v>
      </c>
      <c r="F211" s="48" t="s">
        <v>84</v>
      </c>
      <c r="G211" s="83">
        <v>100</v>
      </c>
      <c r="H211" s="48" t="s">
        <v>305</v>
      </c>
      <c r="J211" s="48">
        <v>400</v>
      </c>
      <c r="K211" s="48" t="s">
        <v>308</v>
      </c>
      <c r="L211" s="48" t="s">
        <v>83</v>
      </c>
      <c r="M211" s="48" t="s">
        <v>84</v>
      </c>
      <c r="N211" s="83">
        <v>100</v>
      </c>
      <c r="O211" s="45" t="s">
        <v>306</v>
      </c>
      <c r="Q211" s="196">
        <f t="shared" ref="Q211:Q216" ca="1" si="8">+SUMIFS(U$1:U$200,$C$1:$C$200,$C211,$G$1:$G$200,$G211)</f>
        <v>0</v>
      </c>
      <c r="R211" s="197" t="e">
        <f ca="1">CFD($D$2,$C211,$E211,$F211,"J00",$D211,"000",$G211,$D$3,"A","Y","0",0)</f>
        <v>#NAME?</v>
      </c>
      <c r="S211" s="198" t="e">
        <f t="shared" ref="S211:S216" ca="1" si="9">+Q211-R211</f>
        <v>#NAME?</v>
      </c>
      <c r="U211" s="196">
        <f t="shared" ref="U211:U216" ca="1" si="10">+SUMIFS(V$1:V$200,$J$1:$J$200,$J211,$N$1:$N$200,$N211)</f>
        <v>0</v>
      </c>
      <c r="V211" s="75" t="e">
        <f t="shared" ref="V211:V216" ca="1" si="11">CFD($D$2,$J211,$L211,$M211,"J00",$K211,"000",$N211,$D$3,"A","Y","0",0)</f>
        <v>#NAME?</v>
      </c>
      <c r="W211" s="198" t="e">
        <f t="shared" ref="W211:W216" ca="1" si="12">+U211-V211</f>
        <v>#NAME?</v>
      </c>
    </row>
    <row r="212" spans="1:23" hidden="1">
      <c r="C212" s="48">
        <v>400</v>
      </c>
      <c r="D212" s="48" t="s">
        <v>307</v>
      </c>
      <c r="E212" s="48" t="s">
        <v>83</v>
      </c>
      <c r="F212" s="48" t="s">
        <v>84</v>
      </c>
      <c r="G212" s="83">
        <v>400</v>
      </c>
      <c r="H212" s="48" t="s">
        <v>305</v>
      </c>
      <c r="J212" s="48">
        <v>400</v>
      </c>
      <c r="K212" s="48" t="s">
        <v>308</v>
      </c>
      <c r="L212" s="48" t="s">
        <v>83</v>
      </c>
      <c r="M212" s="48" t="s">
        <v>84</v>
      </c>
      <c r="N212" s="83">
        <v>400</v>
      </c>
      <c r="O212" s="45" t="s">
        <v>306</v>
      </c>
      <c r="Q212" s="196">
        <f t="shared" ca="1" si="8"/>
        <v>0</v>
      </c>
      <c r="R212" s="197" t="e">
        <f ca="1">CFD($D$2,$C212,$E212,$F212,"J00",$D212,"000",$G212,$D$3,"A","Y","0",0)</f>
        <v>#NAME?</v>
      </c>
      <c r="S212" s="198" t="e">
        <f t="shared" ca="1" si="9"/>
        <v>#NAME?</v>
      </c>
      <c r="U212" s="196">
        <f t="shared" ca="1" si="10"/>
        <v>0</v>
      </c>
      <c r="V212" s="75" t="e">
        <f t="shared" ca="1" si="11"/>
        <v>#NAME?</v>
      </c>
      <c r="W212" s="198" t="e">
        <f t="shared" ca="1" si="12"/>
        <v>#NAME?</v>
      </c>
    </row>
    <row r="213" spans="1:23" hidden="1">
      <c r="C213" s="48">
        <v>400</v>
      </c>
      <c r="D213" s="48" t="s">
        <v>307</v>
      </c>
      <c r="E213" s="48" t="s">
        <v>83</v>
      </c>
      <c r="F213" s="48" t="s">
        <v>84</v>
      </c>
      <c r="G213" s="83">
        <v>500</v>
      </c>
      <c r="H213" s="48" t="s">
        <v>305</v>
      </c>
      <c r="J213" s="48">
        <v>400</v>
      </c>
      <c r="K213" s="48" t="s">
        <v>308</v>
      </c>
      <c r="L213" s="48" t="s">
        <v>83</v>
      </c>
      <c r="M213" s="48" t="s">
        <v>84</v>
      </c>
      <c r="N213" s="83">
        <v>500</v>
      </c>
      <c r="O213" s="45" t="s">
        <v>306</v>
      </c>
      <c r="Q213" s="196">
        <f t="shared" ca="1" si="8"/>
        <v>0</v>
      </c>
      <c r="R213" s="197" t="e">
        <f ca="1">CFD($D$2,$C213,$E213,$F213,"J00",$D213,"000",$G213,$D$3,"A","Y","0",-141949.02)</f>
        <v>#NAME?</v>
      </c>
      <c r="S213" s="198" t="e">
        <f t="shared" ca="1" si="9"/>
        <v>#NAME?</v>
      </c>
      <c r="U213" s="196">
        <f t="shared" ca="1" si="10"/>
        <v>0</v>
      </c>
      <c r="V213" s="75" t="e">
        <f t="shared" ca="1" si="11"/>
        <v>#NAME?</v>
      </c>
      <c r="W213" s="198" t="e">
        <f t="shared" ca="1" si="12"/>
        <v>#NAME?</v>
      </c>
    </row>
    <row r="214" spans="1:23" hidden="1">
      <c r="C214" s="48">
        <v>400</v>
      </c>
      <c r="D214" s="48" t="s">
        <v>307</v>
      </c>
      <c r="E214" s="48" t="s">
        <v>83</v>
      </c>
      <c r="F214" s="48" t="s">
        <v>84</v>
      </c>
      <c r="G214" s="83">
        <v>600</v>
      </c>
      <c r="H214" s="48" t="s">
        <v>305</v>
      </c>
      <c r="J214" s="48">
        <v>400</v>
      </c>
      <c r="K214" s="48" t="s">
        <v>308</v>
      </c>
      <c r="L214" s="48" t="s">
        <v>83</v>
      </c>
      <c r="M214" s="48" t="s">
        <v>84</v>
      </c>
      <c r="N214" s="83">
        <v>600</v>
      </c>
      <c r="O214" s="45" t="s">
        <v>306</v>
      </c>
      <c r="Q214" s="196">
        <f t="shared" ca="1" si="8"/>
        <v>0</v>
      </c>
      <c r="R214" s="197" t="e">
        <f ca="1">CFD($D$2,$C214,$E214,$F214,"J00",$D214,"000",$G214,$D$3,"A","Y","0",-233160.91)</f>
        <v>#NAME?</v>
      </c>
      <c r="S214" s="198" t="e">
        <f t="shared" ca="1" si="9"/>
        <v>#NAME?</v>
      </c>
      <c r="U214" s="196">
        <f t="shared" ca="1" si="10"/>
        <v>0</v>
      </c>
      <c r="V214" s="75" t="e">
        <f t="shared" ca="1" si="11"/>
        <v>#NAME?</v>
      </c>
      <c r="W214" s="198" t="e">
        <f t="shared" ca="1" si="12"/>
        <v>#NAME?</v>
      </c>
    </row>
    <row r="215" spans="1:23" hidden="1">
      <c r="C215" s="48">
        <v>400</v>
      </c>
      <c r="D215" s="48" t="s">
        <v>307</v>
      </c>
      <c r="E215" s="48" t="s">
        <v>83</v>
      </c>
      <c r="F215" s="48" t="s">
        <v>84</v>
      </c>
      <c r="G215" s="83">
        <v>700</v>
      </c>
      <c r="H215" s="48" t="s">
        <v>305</v>
      </c>
      <c r="J215" s="48">
        <v>400</v>
      </c>
      <c r="K215" s="48" t="s">
        <v>308</v>
      </c>
      <c r="L215" s="48" t="s">
        <v>83</v>
      </c>
      <c r="M215" s="48" t="s">
        <v>84</v>
      </c>
      <c r="N215" s="83">
        <v>700</v>
      </c>
      <c r="O215" s="45" t="s">
        <v>306</v>
      </c>
      <c r="Q215" s="196">
        <f t="shared" ca="1" si="8"/>
        <v>0</v>
      </c>
      <c r="R215" s="197" t="e">
        <f ca="1">CFD($D$2,$C215,$E215,$F215,"J00",$D215,"000",$G215,$D$3,"A","Y","0",-139768.63)</f>
        <v>#NAME?</v>
      </c>
      <c r="S215" s="198" t="e">
        <f t="shared" ca="1" si="9"/>
        <v>#NAME?</v>
      </c>
      <c r="U215" s="196">
        <f t="shared" ca="1" si="10"/>
        <v>1604</v>
      </c>
      <c r="V215" s="75" t="e">
        <f t="shared" ca="1" si="11"/>
        <v>#NAME?</v>
      </c>
      <c r="W215" s="198" t="e">
        <f t="shared" ca="1" si="12"/>
        <v>#NAME?</v>
      </c>
    </row>
    <row r="216" spans="1:23" hidden="1">
      <c r="C216" s="48">
        <v>400</v>
      </c>
      <c r="D216" s="48" t="s">
        <v>307</v>
      </c>
      <c r="E216" s="48" t="s">
        <v>83</v>
      </c>
      <c r="F216" s="48" t="s">
        <v>84</v>
      </c>
      <c r="G216" s="83">
        <v>800</v>
      </c>
      <c r="H216" s="48" t="s">
        <v>305</v>
      </c>
      <c r="J216" s="48">
        <v>400</v>
      </c>
      <c r="K216" s="48" t="s">
        <v>308</v>
      </c>
      <c r="L216" s="48" t="s">
        <v>83</v>
      </c>
      <c r="M216" s="48" t="s">
        <v>84</v>
      </c>
      <c r="N216" s="83">
        <v>800</v>
      </c>
      <c r="O216" s="45" t="s">
        <v>306</v>
      </c>
      <c r="Q216" s="196">
        <f t="shared" ca="1" si="8"/>
        <v>0</v>
      </c>
      <c r="R216" s="197" t="e">
        <f ca="1">CFD($D$2,$C216,$E216,$F216,"J00",$D216,"000",$G216,$D$3,"A","Y","0",0)</f>
        <v>#NAME?</v>
      </c>
      <c r="S216" s="198" t="e">
        <f t="shared" ca="1" si="9"/>
        <v>#NAME?</v>
      </c>
      <c r="U216" s="196">
        <f t="shared" ca="1" si="10"/>
        <v>4784.63</v>
      </c>
      <c r="V216" s="75" t="e">
        <f t="shared" ca="1" si="11"/>
        <v>#NAME?</v>
      </c>
      <c r="W216" s="198" t="e">
        <f t="shared" ca="1" si="12"/>
        <v>#NAME?</v>
      </c>
    </row>
    <row r="217" spans="1:23" hidden="1">
      <c r="A217" s="72" t="s">
        <v>311</v>
      </c>
      <c r="Q217" s="195"/>
      <c r="R217" s="195"/>
      <c r="S217" s="195"/>
      <c r="T217" s="68"/>
      <c r="U217" s="195"/>
      <c r="V217" s="195"/>
      <c r="W217" s="195"/>
    </row>
    <row r="218" spans="1:23" hidden="1">
      <c r="C218" s="48">
        <v>500</v>
      </c>
      <c r="D218" s="48" t="s">
        <v>307</v>
      </c>
      <c r="E218" s="48" t="s">
        <v>83</v>
      </c>
      <c r="F218" s="48" t="s">
        <v>84</v>
      </c>
      <c r="G218" s="83">
        <v>100</v>
      </c>
      <c r="H218" s="48" t="s">
        <v>305</v>
      </c>
      <c r="J218" s="48">
        <v>500</v>
      </c>
      <c r="K218" s="48" t="s">
        <v>308</v>
      </c>
      <c r="L218" s="48" t="s">
        <v>83</v>
      </c>
      <c r="M218" s="48" t="s">
        <v>84</v>
      </c>
      <c r="N218" s="83">
        <v>100</v>
      </c>
      <c r="O218" s="45" t="s">
        <v>306</v>
      </c>
      <c r="Q218" s="196">
        <f t="shared" ref="Q218:Q223" ca="1" si="13">+SUMIFS(U$1:U$200,$C$1:$C$200,$C218,$G$1:$G$200,$G218)</f>
        <v>-1750</v>
      </c>
      <c r="R218" s="197" t="e">
        <f ca="1">CFD($D$2,$C218,$E218,$F218,"J00",$D218,"000",$G218,$D$3,"A","Y","0",-3250)</f>
        <v>#NAME?</v>
      </c>
      <c r="S218" s="198" t="e">
        <f t="shared" ref="S218:S223" ca="1" si="14">+Q218-R218</f>
        <v>#NAME?</v>
      </c>
      <c r="U218" s="196">
        <f t="shared" ref="U218:U223" ca="1" si="15">+SUMIFS(V$1:V$200,$J$1:$J$200,$J218,$N$1:$N$200,$N218)</f>
        <v>0</v>
      </c>
      <c r="V218" s="75" t="e">
        <f t="shared" ref="V218:V223" ca="1" si="16">CFD($D$2,$J218,$L218,$M218,"J00",$K218,"000",$N218,$D$3,"A","Y","0",0)</f>
        <v>#NAME?</v>
      </c>
      <c r="W218" s="198" t="e">
        <f t="shared" ref="W218:W223" ca="1" si="17">+U218-V218</f>
        <v>#NAME?</v>
      </c>
    </row>
    <row r="219" spans="1:23" hidden="1">
      <c r="C219" s="48">
        <v>500</v>
      </c>
      <c r="D219" s="48" t="s">
        <v>307</v>
      </c>
      <c r="E219" s="48" t="s">
        <v>83</v>
      </c>
      <c r="F219" s="48" t="s">
        <v>84</v>
      </c>
      <c r="G219" s="83">
        <v>400</v>
      </c>
      <c r="H219" s="48" t="s">
        <v>305</v>
      </c>
      <c r="J219" s="48">
        <v>500</v>
      </c>
      <c r="K219" s="48" t="s">
        <v>308</v>
      </c>
      <c r="L219" s="48" t="s">
        <v>83</v>
      </c>
      <c r="M219" s="48" t="s">
        <v>84</v>
      </c>
      <c r="N219" s="83">
        <v>400</v>
      </c>
      <c r="O219" s="45" t="s">
        <v>306</v>
      </c>
      <c r="Q219" s="196">
        <f t="shared" ca="1" si="13"/>
        <v>0</v>
      </c>
      <c r="R219" s="197" t="e">
        <f ca="1">CFD($D$2,$C219,$E219,$F219,"J00",$D219,"000",$G219,$D$3,"A","Y","0",0)</f>
        <v>#NAME?</v>
      </c>
      <c r="S219" s="198" t="e">
        <f t="shared" ca="1" si="14"/>
        <v>#NAME?</v>
      </c>
      <c r="U219" s="196">
        <f t="shared" ca="1" si="15"/>
        <v>0</v>
      </c>
      <c r="V219" s="75" t="e">
        <f t="shared" ca="1" si="16"/>
        <v>#NAME?</v>
      </c>
      <c r="W219" s="198" t="e">
        <f t="shared" ca="1" si="17"/>
        <v>#NAME?</v>
      </c>
    </row>
    <row r="220" spans="1:23" hidden="1">
      <c r="C220" s="48">
        <v>500</v>
      </c>
      <c r="D220" s="48" t="s">
        <v>307</v>
      </c>
      <c r="E220" s="48" t="s">
        <v>83</v>
      </c>
      <c r="F220" s="48" t="s">
        <v>84</v>
      </c>
      <c r="G220" s="83">
        <v>500</v>
      </c>
      <c r="H220" s="48" t="s">
        <v>305</v>
      </c>
      <c r="J220" s="48">
        <v>500</v>
      </c>
      <c r="K220" s="48" t="s">
        <v>308</v>
      </c>
      <c r="L220" s="48" t="s">
        <v>83</v>
      </c>
      <c r="M220" s="48" t="s">
        <v>84</v>
      </c>
      <c r="N220" s="83">
        <v>500</v>
      </c>
      <c r="O220" s="45" t="s">
        <v>306</v>
      </c>
      <c r="Q220" s="196">
        <f t="shared" ca="1" si="13"/>
        <v>-107936.43999999999</v>
      </c>
      <c r="R220" s="197" t="e">
        <f ca="1">CFD($D$2,$C220,$E220,$F220,"J00",$D220,"000",$G220,$D$3,"A","Y","0",-358885.66)</f>
        <v>#NAME?</v>
      </c>
      <c r="S220" s="198" t="e">
        <f t="shared" ca="1" si="14"/>
        <v>#NAME?</v>
      </c>
      <c r="U220" s="196">
        <f t="shared" ca="1" si="15"/>
        <v>126192.80999999998</v>
      </c>
      <c r="V220" s="75" t="e">
        <f t="shared" ca="1" si="16"/>
        <v>#NAME?</v>
      </c>
      <c r="W220" s="198" t="e">
        <f t="shared" ca="1" si="17"/>
        <v>#NAME?</v>
      </c>
    </row>
    <row r="221" spans="1:23" hidden="1">
      <c r="C221" s="48">
        <v>500</v>
      </c>
      <c r="D221" s="48" t="s">
        <v>307</v>
      </c>
      <c r="E221" s="48" t="s">
        <v>83</v>
      </c>
      <c r="F221" s="48" t="s">
        <v>84</v>
      </c>
      <c r="G221" s="83">
        <v>600</v>
      </c>
      <c r="H221" s="48" t="s">
        <v>305</v>
      </c>
      <c r="J221" s="48">
        <v>500</v>
      </c>
      <c r="K221" s="48" t="s">
        <v>308</v>
      </c>
      <c r="L221" s="48" t="s">
        <v>83</v>
      </c>
      <c r="M221" s="48" t="s">
        <v>84</v>
      </c>
      <c r="N221" s="83">
        <v>600</v>
      </c>
      <c r="O221" s="45" t="s">
        <v>306</v>
      </c>
      <c r="Q221" s="196">
        <f t="shared" ca="1" si="13"/>
        <v>0</v>
      </c>
      <c r="R221" s="197" t="e">
        <f ca="1">CFD($D$2,$C221,$E221,$F221,"J00",$D221,"000",$G221,$D$3,"A","Y","0",0)</f>
        <v>#NAME?</v>
      </c>
      <c r="S221" s="198" t="e">
        <f t="shared" ca="1" si="14"/>
        <v>#NAME?</v>
      </c>
      <c r="U221" s="196">
        <f t="shared" ca="1" si="15"/>
        <v>91278.75</v>
      </c>
      <c r="V221" s="75" t="e">
        <f t="shared" ca="1" si="16"/>
        <v>#NAME?</v>
      </c>
      <c r="W221" s="198" t="e">
        <f t="shared" ca="1" si="17"/>
        <v>#NAME?</v>
      </c>
    </row>
    <row r="222" spans="1:23" hidden="1">
      <c r="C222" s="48">
        <v>500</v>
      </c>
      <c r="D222" s="48" t="s">
        <v>307</v>
      </c>
      <c r="E222" s="48" t="s">
        <v>83</v>
      </c>
      <c r="F222" s="48" t="s">
        <v>84</v>
      </c>
      <c r="G222" s="83">
        <v>700</v>
      </c>
      <c r="H222" s="48" t="s">
        <v>305</v>
      </c>
      <c r="J222" s="48">
        <v>500</v>
      </c>
      <c r="K222" s="48" t="s">
        <v>308</v>
      </c>
      <c r="L222" s="48" t="s">
        <v>83</v>
      </c>
      <c r="M222" s="48" t="s">
        <v>84</v>
      </c>
      <c r="N222" s="83">
        <v>700</v>
      </c>
      <c r="O222" s="45" t="s">
        <v>306</v>
      </c>
      <c r="Q222" s="196">
        <f t="shared" ca="1" si="13"/>
        <v>-24003.31</v>
      </c>
      <c r="R222" s="197" t="e">
        <f ca="1">CFD($D$2,$C222,$E222,$F222,"J00",$D222,"000",$G222,$D$3,"A","Y","0",-99159.41)</f>
        <v>#NAME?</v>
      </c>
      <c r="S222" s="198" t="e">
        <f t="shared" ca="1" si="14"/>
        <v>#NAME?</v>
      </c>
      <c r="U222" s="196">
        <f t="shared" ca="1" si="15"/>
        <v>129946.52</v>
      </c>
      <c r="V222" s="75" t="e">
        <f t="shared" ca="1" si="16"/>
        <v>#NAME?</v>
      </c>
      <c r="W222" s="198" t="e">
        <f t="shared" ca="1" si="17"/>
        <v>#NAME?</v>
      </c>
    </row>
    <row r="223" spans="1:23" hidden="1">
      <c r="C223" s="48">
        <v>500</v>
      </c>
      <c r="D223" s="48" t="s">
        <v>307</v>
      </c>
      <c r="E223" s="48" t="s">
        <v>83</v>
      </c>
      <c r="F223" s="48" t="s">
        <v>84</v>
      </c>
      <c r="G223" s="83">
        <v>800</v>
      </c>
      <c r="H223" s="48" t="s">
        <v>305</v>
      </c>
      <c r="J223" s="48">
        <v>500</v>
      </c>
      <c r="K223" s="48" t="s">
        <v>308</v>
      </c>
      <c r="L223" s="48" t="s">
        <v>83</v>
      </c>
      <c r="M223" s="48" t="s">
        <v>84</v>
      </c>
      <c r="N223" s="83">
        <v>800</v>
      </c>
      <c r="O223" s="45" t="s">
        <v>306</v>
      </c>
      <c r="Q223" s="196">
        <f t="shared" ca="1" si="13"/>
        <v>0</v>
      </c>
      <c r="R223" s="197" t="e">
        <f ca="1">CFD($D$2,$C223,$E223,$F223,"J00",$D223,"000",$G223,$D$3,"A","Y","0",0)</f>
        <v>#NAME?</v>
      </c>
      <c r="S223" s="198" t="e">
        <f t="shared" ca="1" si="14"/>
        <v>#NAME?</v>
      </c>
      <c r="U223" s="196">
        <f t="shared" ca="1" si="15"/>
        <v>323197.00999999995</v>
      </c>
      <c r="V223" s="75" t="e">
        <f t="shared" ca="1" si="16"/>
        <v>#NAME?</v>
      </c>
      <c r="W223" s="198" t="e">
        <f t="shared" ca="1" si="17"/>
        <v>#NAME?</v>
      </c>
    </row>
    <row r="224" spans="1:23" hidden="1">
      <c r="A224" s="72" t="s">
        <v>312</v>
      </c>
      <c r="Q224" s="195"/>
      <c r="R224" s="195"/>
      <c r="S224" s="195"/>
      <c r="T224" s="68"/>
      <c r="U224" s="195"/>
      <c r="V224" s="195"/>
      <c r="W224" s="195"/>
    </row>
    <row r="225" spans="1:23" hidden="1">
      <c r="C225" s="48">
        <v>600</v>
      </c>
      <c r="D225" s="48" t="s">
        <v>307</v>
      </c>
      <c r="E225" s="48" t="s">
        <v>83</v>
      </c>
      <c r="F225" s="48" t="s">
        <v>84</v>
      </c>
      <c r="G225" s="83">
        <v>100</v>
      </c>
      <c r="H225" s="48" t="s">
        <v>305</v>
      </c>
      <c r="J225" s="48">
        <v>600</v>
      </c>
      <c r="K225" s="48" t="s">
        <v>308</v>
      </c>
      <c r="L225" s="48" t="s">
        <v>83</v>
      </c>
      <c r="M225" s="48" t="s">
        <v>84</v>
      </c>
      <c r="N225" s="83">
        <v>100</v>
      </c>
      <c r="O225" s="45" t="s">
        <v>306</v>
      </c>
      <c r="Q225" s="196">
        <f t="shared" ref="Q225:Q230" ca="1" si="18">+SUMIFS(U$1:U$200,$C$1:$C$200,$C225,$G$1:$G$200,$G225)</f>
        <v>0</v>
      </c>
      <c r="R225" s="197" t="e">
        <f ca="1">CFD($D$2,$C225,$E225,$F225,"J00",$D225,"000",$G225,$D$3,"A","Y","0",-49480.8)</f>
        <v>#NAME?</v>
      </c>
      <c r="S225" s="198" t="e">
        <f t="shared" ref="S225:S230" ca="1" si="19">+Q225-R225</f>
        <v>#NAME?</v>
      </c>
      <c r="U225" s="196">
        <f t="shared" ref="U225:U230" ca="1" si="20">+SUMIFS(V$1:V$200,$J$1:$J$200,$J225,$N$1:$N$200,$N225)</f>
        <v>0</v>
      </c>
      <c r="V225" s="75" t="e">
        <f t="shared" ref="V225:V230" ca="1" si="21">CFD($D$2,$J225,$L225,$M225,"J00",$K225,"000",$N225,$D$3,"A","Y","0",0)</f>
        <v>#NAME?</v>
      </c>
      <c r="W225" s="198" t="e">
        <f t="shared" ref="W225:W230" ca="1" si="22">+U225-V225</f>
        <v>#NAME?</v>
      </c>
    </row>
    <row r="226" spans="1:23" hidden="1">
      <c r="C226" s="48">
        <v>600</v>
      </c>
      <c r="D226" s="48" t="s">
        <v>307</v>
      </c>
      <c r="E226" s="48" t="s">
        <v>83</v>
      </c>
      <c r="F226" s="48" t="s">
        <v>84</v>
      </c>
      <c r="G226" s="83">
        <v>400</v>
      </c>
      <c r="H226" s="48" t="s">
        <v>305</v>
      </c>
      <c r="J226" s="48">
        <v>600</v>
      </c>
      <c r="K226" s="48" t="s">
        <v>308</v>
      </c>
      <c r="L226" s="48" t="s">
        <v>83</v>
      </c>
      <c r="M226" s="48" t="s">
        <v>84</v>
      </c>
      <c r="N226" s="83">
        <v>400</v>
      </c>
      <c r="O226" s="45" t="s">
        <v>306</v>
      </c>
      <c r="Q226" s="196">
        <f t="shared" ca="1" si="18"/>
        <v>0</v>
      </c>
      <c r="R226" s="197" t="e">
        <f ca="1">CFD($D$2,$C226,$E226,$F226,"J00",$D226,"000",$G226,$D$3,"A","Y","0",0)</f>
        <v>#NAME?</v>
      </c>
      <c r="S226" s="198" t="e">
        <f t="shared" ca="1" si="19"/>
        <v>#NAME?</v>
      </c>
      <c r="U226" s="196">
        <f t="shared" ca="1" si="20"/>
        <v>0</v>
      </c>
      <c r="V226" s="75" t="e">
        <f t="shared" ca="1" si="21"/>
        <v>#NAME?</v>
      </c>
      <c r="W226" s="198" t="e">
        <f t="shared" ca="1" si="22"/>
        <v>#NAME?</v>
      </c>
    </row>
    <row r="227" spans="1:23" hidden="1">
      <c r="C227" s="48">
        <v>600</v>
      </c>
      <c r="D227" s="48" t="s">
        <v>307</v>
      </c>
      <c r="E227" s="48" t="s">
        <v>83</v>
      </c>
      <c r="F227" s="48" t="s">
        <v>84</v>
      </c>
      <c r="G227" s="83">
        <v>500</v>
      </c>
      <c r="H227" s="48" t="s">
        <v>305</v>
      </c>
      <c r="J227" s="48">
        <v>600</v>
      </c>
      <c r="K227" s="48" t="s">
        <v>308</v>
      </c>
      <c r="L227" s="48" t="s">
        <v>83</v>
      </c>
      <c r="M227" s="48" t="s">
        <v>84</v>
      </c>
      <c r="N227" s="83">
        <v>500</v>
      </c>
      <c r="O227" s="45" t="s">
        <v>306</v>
      </c>
      <c r="Q227" s="196">
        <f t="shared" ca="1" si="18"/>
        <v>-88302.2</v>
      </c>
      <c r="R227" s="197" t="e">
        <f ca="1">CFD($D$2,$C227,$E227,$F227,"J00",$D227,"000",$G227,$D$3,"A","Y","0",0)</f>
        <v>#NAME?</v>
      </c>
      <c r="S227" s="198" t="e">
        <f t="shared" ca="1" si="19"/>
        <v>#NAME?</v>
      </c>
      <c r="U227" s="196">
        <f t="shared" ca="1" si="20"/>
        <v>0</v>
      </c>
      <c r="V227" s="75" t="e">
        <f t="shared" ca="1" si="21"/>
        <v>#NAME?</v>
      </c>
      <c r="W227" s="198" t="e">
        <f t="shared" ca="1" si="22"/>
        <v>#NAME?</v>
      </c>
    </row>
    <row r="228" spans="1:23" hidden="1">
      <c r="C228" s="48">
        <v>600</v>
      </c>
      <c r="D228" s="48" t="s">
        <v>307</v>
      </c>
      <c r="E228" s="48" t="s">
        <v>83</v>
      </c>
      <c r="F228" s="48" t="s">
        <v>84</v>
      </c>
      <c r="G228" s="83">
        <v>600</v>
      </c>
      <c r="H228" s="48" t="s">
        <v>305</v>
      </c>
      <c r="J228" s="48">
        <v>600</v>
      </c>
      <c r="K228" s="48" t="s">
        <v>308</v>
      </c>
      <c r="L228" s="48" t="s">
        <v>83</v>
      </c>
      <c r="M228" s="48" t="s">
        <v>84</v>
      </c>
      <c r="N228" s="83">
        <v>600</v>
      </c>
      <c r="O228" s="45" t="s">
        <v>306</v>
      </c>
      <c r="Q228" s="196">
        <f t="shared" ca="1" si="18"/>
        <v>-256711.49999999997</v>
      </c>
      <c r="R228" s="197" t="e">
        <f ca="1">CFD($D$2,$C228,$E228,$F228,"J00",$D228,"000",$G228,$D$3,"A","Y","0",-628553.67)</f>
        <v>#NAME?</v>
      </c>
      <c r="S228" s="198" t="e">
        <f t="shared" ca="1" si="19"/>
        <v>#NAME?</v>
      </c>
      <c r="U228" s="196">
        <f t="shared" ca="1" si="20"/>
        <v>298983.51</v>
      </c>
      <c r="V228" s="75" t="e">
        <f t="shared" ca="1" si="21"/>
        <v>#NAME?</v>
      </c>
      <c r="W228" s="198" t="e">
        <f t="shared" ca="1" si="22"/>
        <v>#NAME?</v>
      </c>
    </row>
    <row r="229" spans="1:23" hidden="1">
      <c r="C229" s="48">
        <v>600</v>
      </c>
      <c r="D229" s="48" t="s">
        <v>307</v>
      </c>
      <c r="E229" s="48" t="s">
        <v>83</v>
      </c>
      <c r="F229" s="48" t="s">
        <v>84</v>
      </c>
      <c r="G229" s="83">
        <v>700</v>
      </c>
      <c r="H229" s="48" t="s">
        <v>305</v>
      </c>
      <c r="J229" s="48">
        <v>600</v>
      </c>
      <c r="K229" s="48" t="s">
        <v>308</v>
      </c>
      <c r="L229" s="48" t="s">
        <v>83</v>
      </c>
      <c r="M229" s="48" t="s">
        <v>84</v>
      </c>
      <c r="N229" s="83">
        <v>700</v>
      </c>
      <c r="O229" s="45" t="s">
        <v>306</v>
      </c>
      <c r="Q229" s="196">
        <f t="shared" ca="1" si="18"/>
        <v>-140876.85</v>
      </c>
      <c r="R229" s="197" t="e">
        <f ca="1">CFD($D$2,$C229,$E229,$F229,"J00",$D229,"000",$G229,$D$3,"A","Y","0",-253921.37)</f>
        <v>#NAME?</v>
      </c>
      <c r="S229" s="198" t="e">
        <f t="shared" ca="1" si="19"/>
        <v>#NAME?</v>
      </c>
      <c r="U229" s="196">
        <f t="shared" ca="1" si="20"/>
        <v>276322.86</v>
      </c>
      <c r="V229" s="75" t="e">
        <f t="shared" ca="1" si="21"/>
        <v>#NAME?</v>
      </c>
      <c r="W229" s="198" t="e">
        <f t="shared" ca="1" si="22"/>
        <v>#NAME?</v>
      </c>
    </row>
    <row r="230" spans="1:23" hidden="1">
      <c r="C230" s="48">
        <v>600</v>
      </c>
      <c r="D230" s="48" t="s">
        <v>307</v>
      </c>
      <c r="E230" s="48" t="s">
        <v>83</v>
      </c>
      <c r="F230" s="48" t="s">
        <v>84</v>
      </c>
      <c r="G230" s="83">
        <v>800</v>
      </c>
      <c r="H230" s="48" t="s">
        <v>305</v>
      </c>
      <c r="J230" s="48">
        <v>600</v>
      </c>
      <c r="K230" s="48" t="s">
        <v>308</v>
      </c>
      <c r="L230" s="48" t="s">
        <v>83</v>
      </c>
      <c r="M230" s="48" t="s">
        <v>84</v>
      </c>
      <c r="N230" s="83">
        <v>800</v>
      </c>
      <c r="O230" s="45" t="s">
        <v>306</v>
      </c>
      <c r="Q230" s="196">
        <f t="shared" ca="1" si="18"/>
        <v>0</v>
      </c>
      <c r="R230" s="197" t="e">
        <f ca="1">CFD($D$2,$C230,$E230,$F230,"J00",$D230,"000",$G230,$D$3,"A","Y","0",0)</f>
        <v>#NAME?</v>
      </c>
      <c r="S230" s="198" t="e">
        <f t="shared" ca="1" si="19"/>
        <v>#NAME?</v>
      </c>
      <c r="U230" s="196">
        <f t="shared" ca="1" si="20"/>
        <v>523728.02999999997</v>
      </c>
      <c r="V230" s="75" t="e">
        <f t="shared" ca="1" si="21"/>
        <v>#NAME?</v>
      </c>
      <c r="W230" s="198" t="e">
        <f t="shared" ca="1" si="22"/>
        <v>#NAME?</v>
      </c>
    </row>
    <row r="231" spans="1:23" hidden="1">
      <c r="A231" s="72" t="s">
        <v>313</v>
      </c>
      <c r="Q231" s="195"/>
      <c r="R231" s="195"/>
      <c r="S231" s="195"/>
      <c r="T231" s="68"/>
      <c r="U231" s="195"/>
      <c r="V231" s="195"/>
      <c r="W231" s="195"/>
    </row>
    <row r="232" spans="1:23" hidden="1">
      <c r="C232" s="48">
        <v>700</v>
      </c>
      <c r="D232" s="48" t="s">
        <v>307</v>
      </c>
      <c r="E232" s="48" t="s">
        <v>83</v>
      </c>
      <c r="F232" s="48" t="s">
        <v>84</v>
      </c>
      <c r="G232" s="83">
        <v>100</v>
      </c>
      <c r="H232" s="48" t="s">
        <v>305</v>
      </c>
      <c r="J232" s="48">
        <v>700</v>
      </c>
      <c r="K232" s="48" t="s">
        <v>308</v>
      </c>
      <c r="L232" s="48" t="s">
        <v>83</v>
      </c>
      <c r="M232" s="48" t="s">
        <v>84</v>
      </c>
      <c r="N232" s="83">
        <v>100</v>
      </c>
      <c r="O232" s="45" t="s">
        <v>306</v>
      </c>
      <c r="Q232" s="196">
        <f t="shared" ref="Q232:Q237" ca="1" si="23">+SUMIFS(U$1:U$200,$C$1:$C$200,$C232,$G$1:$G$200,$G232)</f>
        <v>-6537</v>
      </c>
      <c r="R232" s="197" t="e">
        <f ca="1">CFD($D$2,$C232,$E232,$F232,"J00",$D232,"000",$G232,$D$3,"A","Y","0",-39788397.17)</f>
        <v>#NAME?</v>
      </c>
      <c r="S232" s="198" t="e">
        <f t="shared" ref="S232:S237" ca="1" si="24">+Q232-R232</f>
        <v>#NAME?</v>
      </c>
      <c r="U232" s="196">
        <f t="shared" ref="U232:U237" ca="1" si="25">+SUMIFS(V$1:V$200,$J$1:$J$200,$J232,$N$1:$N$200,$N232)</f>
        <v>646616.85</v>
      </c>
      <c r="V232" s="75" t="e">
        <f t="shared" ref="V232:V237" ca="1" si="26">CFD($D$2,$J232,$L232,$M232,"J00",$K232,"000",$N232,$D$3,"A","Y","0",0)</f>
        <v>#NAME?</v>
      </c>
      <c r="W232" s="198" t="e">
        <f t="shared" ref="W232:W237" ca="1" si="27">+U232-V232</f>
        <v>#NAME?</v>
      </c>
    </row>
    <row r="233" spans="1:23" hidden="1">
      <c r="C233" s="48">
        <v>700</v>
      </c>
      <c r="D233" s="48" t="s">
        <v>307</v>
      </c>
      <c r="E233" s="48" t="s">
        <v>83</v>
      </c>
      <c r="F233" s="48" t="s">
        <v>84</v>
      </c>
      <c r="G233" s="83">
        <v>400</v>
      </c>
      <c r="H233" s="48" t="s">
        <v>305</v>
      </c>
      <c r="J233" s="48">
        <v>700</v>
      </c>
      <c r="K233" s="48" t="s">
        <v>308</v>
      </c>
      <c r="L233" s="48" t="s">
        <v>83</v>
      </c>
      <c r="M233" s="48" t="s">
        <v>84</v>
      </c>
      <c r="N233" s="83">
        <v>400</v>
      </c>
      <c r="O233" s="45" t="s">
        <v>306</v>
      </c>
      <c r="Q233" s="196">
        <f t="shared" ca="1" si="23"/>
        <v>-1499.05</v>
      </c>
      <c r="R233" s="197" t="e">
        <f ca="1">CFD($D$2,$C233,$E233,$F233,"J00",$D233,"000",$G233,$D$3,"A","Y","0",-3256)</f>
        <v>#NAME?</v>
      </c>
      <c r="S233" s="198" t="e">
        <f t="shared" ca="1" si="24"/>
        <v>#NAME?</v>
      </c>
      <c r="U233" s="196">
        <f t="shared" ca="1" si="25"/>
        <v>0</v>
      </c>
      <c r="V233" s="75" t="e">
        <f t="shared" ca="1" si="26"/>
        <v>#NAME?</v>
      </c>
      <c r="W233" s="198" t="e">
        <f t="shared" ca="1" si="27"/>
        <v>#NAME?</v>
      </c>
    </row>
    <row r="234" spans="1:23" hidden="1">
      <c r="C234" s="48">
        <v>700</v>
      </c>
      <c r="D234" s="48" t="s">
        <v>307</v>
      </c>
      <c r="E234" s="48" t="s">
        <v>83</v>
      </c>
      <c r="F234" s="48" t="s">
        <v>84</v>
      </c>
      <c r="G234" s="83">
        <v>500</v>
      </c>
      <c r="H234" s="48" t="s">
        <v>305</v>
      </c>
      <c r="J234" s="48">
        <v>700</v>
      </c>
      <c r="K234" s="48" t="s">
        <v>308</v>
      </c>
      <c r="L234" s="48" t="s">
        <v>83</v>
      </c>
      <c r="M234" s="48" t="s">
        <v>84</v>
      </c>
      <c r="N234" s="83">
        <v>500</v>
      </c>
      <c r="O234" s="45" t="s">
        <v>306</v>
      </c>
      <c r="Q234" s="196">
        <f t="shared" ca="1" si="23"/>
        <v>-37060.399999999994</v>
      </c>
      <c r="R234" s="197" t="e">
        <f ca="1">CFD($D$2,$C234,$E234,$F234,"J00",$D234,"000",$G234,$D$3,"A","Y","0",-219700.65)</f>
        <v>#NAME?</v>
      </c>
      <c r="S234" s="198" t="e">
        <f t="shared" ca="1" si="24"/>
        <v>#NAME?</v>
      </c>
      <c r="U234" s="196">
        <f t="shared" ca="1" si="25"/>
        <v>21991.35</v>
      </c>
      <c r="V234" s="75" t="e">
        <f t="shared" ca="1" si="26"/>
        <v>#NAME?</v>
      </c>
      <c r="W234" s="198" t="e">
        <f t="shared" ca="1" si="27"/>
        <v>#NAME?</v>
      </c>
    </row>
    <row r="235" spans="1:23" hidden="1">
      <c r="C235" s="48">
        <v>700</v>
      </c>
      <c r="D235" s="48" t="s">
        <v>307</v>
      </c>
      <c r="E235" s="48" t="s">
        <v>83</v>
      </c>
      <c r="F235" s="48" t="s">
        <v>84</v>
      </c>
      <c r="G235" s="83">
        <v>600</v>
      </c>
      <c r="H235" s="48" t="s">
        <v>305</v>
      </c>
      <c r="J235" s="48">
        <v>700</v>
      </c>
      <c r="K235" s="48" t="s">
        <v>308</v>
      </c>
      <c r="L235" s="48" t="s">
        <v>83</v>
      </c>
      <c r="M235" s="48" t="s">
        <v>84</v>
      </c>
      <c r="N235" s="83">
        <v>600</v>
      </c>
      <c r="O235" s="45" t="s">
        <v>306</v>
      </c>
      <c r="Q235" s="196">
        <f t="shared" ca="1" si="23"/>
        <v>-85835.099999999991</v>
      </c>
      <c r="R235" s="197" t="e">
        <f ca="1">CFD($D$2,$C235,$E235,$F235,"J00",$D235,"000",$G235,$D$3,"A","Y","0",-433963.66)</f>
        <v>#NAME?</v>
      </c>
      <c r="S235" s="198" t="e">
        <f t="shared" ca="1" si="24"/>
        <v>#NAME?</v>
      </c>
      <c r="U235" s="196">
        <f t="shared" ca="1" si="25"/>
        <v>103958.03</v>
      </c>
      <c r="V235" s="75" t="e">
        <f t="shared" ca="1" si="26"/>
        <v>#NAME?</v>
      </c>
      <c r="W235" s="198" t="e">
        <f t="shared" ca="1" si="27"/>
        <v>#NAME?</v>
      </c>
    </row>
    <row r="236" spans="1:23" hidden="1">
      <c r="C236" s="48">
        <v>700</v>
      </c>
      <c r="D236" s="48" t="s">
        <v>307</v>
      </c>
      <c r="E236" s="48" t="s">
        <v>83</v>
      </c>
      <c r="F236" s="48" t="s">
        <v>84</v>
      </c>
      <c r="G236" s="83">
        <v>700</v>
      </c>
      <c r="H236" s="48" t="s">
        <v>305</v>
      </c>
      <c r="J236" s="48">
        <v>700</v>
      </c>
      <c r="K236" s="48" t="s">
        <v>308</v>
      </c>
      <c r="L236" s="48" t="s">
        <v>83</v>
      </c>
      <c r="M236" s="48" t="s">
        <v>84</v>
      </c>
      <c r="N236" s="83">
        <v>700</v>
      </c>
      <c r="O236" s="45" t="s">
        <v>306</v>
      </c>
      <c r="Q236" s="196">
        <f t="shared" ca="1" si="23"/>
        <v>0</v>
      </c>
      <c r="R236" s="197" t="e">
        <f ca="1">CFD($D$2,$C236,$E236,$F236,"J00",$D236,"000",$G236,$D$3,"A","Y","0",0)</f>
        <v>#NAME?</v>
      </c>
      <c r="S236" s="198" t="e">
        <f t="shared" ca="1" si="24"/>
        <v>#NAME?</v>
      </c>
      <c r="U236" s="196">
        <f t="shared" ca="1" si="25"/>
        <v>0</v>
      </c>
      <c r="V236" s="75" t="e">
        <f t="shared" ca="1" si="26"/>
        <v>#NAME?</v>
      </c>
      <c r="W236" s="198" t="e">
        <f t="shared" ca="1" si="27"/>
        <v>#NAME?</v>
      </c>
    </row>
    <row r="237" spans="1:23" hidden="1">
      <c r="C237" s="48">
        <v>700</v>
      </c>
      <c r="D237" s="48" t="s">
        <v>307</v>
      </c>
      <c r="E237" s="48" t="s">
        <v>83</v>
      </c>
      <c r="F237" s="48" t="s">
        <v>84</v>
      </c>
      <c r="G237" s="83">
        <v>800</v>
      </c>
      <c r="H237" s="48" t="s">
        <v>305</v>
      </c>
      <c r="J237" s="48">
        <v>700</v>
      </c>
      <c r="K237" s="48" t="s">
        <v>308</v>
      </c>
      <c r="L237" s="48" t="s">
        <v>83</v>
      </c>
      <c r="M237" s="48" t="s">
        <v>84</v>
      </c>
      <c r="N237" s="83">
        <v>800</v>
      </c>
      <c r="O237" s="45" t="s">
        <v>306</v>
      </c>
      <c r="Q237" s="196">
        <f t="shared" ca="1" si="23"/>
        <v>-40530</v>
      </c>
      <c r="R237" s="197" t="e">
        <f ca="1">CFD($D$2,$C237,$E237,$F237,"J00",$D237,"000",$G237,$D$3,"A","Y","0",-94377.98)</f>
        <v>#NAME?</v>
      </c>
      <c r="S237" s="198" t="e">
        <f t="shared" ca="1" si="24"/>
        <v>#NAME?</v>
      </c>
      <c r="U237" s="196">
        <f t="shared" ca="1" si="25"/>
        <v>590083.99</v>
      </c>
      <c r="V237" s="75" t="e">
        <f t="shared" ca="1" si="26"/>
        <v>#NAME?</v>
      </c>
      <c r="W237" s="198" t="e">
        <f t="shared" ca="1" si="27"/>
        <v>#NAME?</v>
      </c>
    </row>
    <row r="238" spans="1:23" hidden="1">
      <c r="A238" s="72" t="s">
        <v>314</v>
      </c>
      <c r="Q238" s="195"/>
      <c r="R238" s="195"/>
      <c r="S238" s="195"/>
      <c r="T238" s="68"/>
      <c r="U238" s="195"/>
      <c r="V238" s="195"/>
      <c r="W238" s="195"/>
    </row>
    <row r="239" spans="1:23" hidden="1">
      <c r="C239" s="48">
        <v>800</v>
      </c>
      <c r="D239" s="48" t="s">
        <v>307</v>
      </c>
      <c r="E239" s="48" t="s">
        <v>83</v>
      </c>
      <c r="F239" s="48" t="s">
        <v>84</v>
      </c>
      <c r="G239" s="83">
        <v>100</v>
      </c>
      <c r="H239" s="48" t="s">
        <v>305</v>
      </c>
      <c r="J239" s="48">
        <v>800</v>
      </c>
      <c r="K239" s="48" t="s">
        <v>308</v>
      </c>
      <c r="L239" s="48" t="s">
        <v>83</v>
      </c>
      <c r="M239" s="48" t="s">
        <v>84</v>
      </c>
      <c r="N239" s="83">
        <v>100</v>
      </c>
      <c r="O239" s="45" t="s">
        <v>306</v>
      </c>
      <c r="Q239" s="196">
        <f t="shared" ref="Q239:Q244" ca="1" si="28">+SUMIFS(U$1:U$200,$C$1:$C$200,$C239,$G$1:$G$200,$G239)</f>
        <v>-2034797.43</v>
      </c>
      <c r="R239" s="197" t="e">
        <f ca="1">CFD($D$2,$C239,$E239,$F239,"J00",$D239,"000",$G239,$D$3,"A","Y","0",-58928593.86)</f>
        <v>#NAME?</v>
      </c>
      <c r="S239" s="198" t="e">
        <f t="shared" ref="S239:S244" ca="1" si="29">+Q239-R239</f>
        <v>#NAME?</v>
      </c>
      <c r="U239" s="196">
        <f t="shared" ref="U239:U244" ca="1" si="30">+SUMIFS(V$1:V$200,$J$1:$J$200,$J239,$N$1:$N$200,$N239)</f>
        <v>166089.15000000002</v>
      </c>
      <c r="V239" s="75" t="e">
        <f t="shared" ref="V239:V244" ca="1" si="31">CFD($D$2,$J239,$L239,$M239,"J00",$K239,"000",$N239,$D$3,"A","Y","0",0)</f>
        <v>#NAME?</v>
      </c>
      <c r="W239" s="198" t="e">
        <f t="shared" ref="W239:W244" ca="1" si="32">+U239-V239</f>
        <v>#NAME?</v>
      </c>
    </row>
    <row r="240" spans="1:23" hidden="1">
      <c r="C240" s="48">
        <v>800</v>
      </c>
      <c r="D240" s="48" t="s">
        <v>307</v>
      </c>
      <c r="E240" s="48" t="s">
        <v>83</v>
      </c>
      <c r="F240" s="48" t="s">
        <v>84</v>
      </c>
      <c r="G240" s="83">
        <v>400</v>
      </c>
      <c r="H240" s="48" t="s">
        <v>305</v>
      </c>
      <c r="J240" s="48">
        <v>800</v>
      </c>
      <c r="K240" s="48" t="s">
        <v>308</v>
      </c>
      <c r="L240" s="48" t="s">
        <v>83</v>
      </c>
      <c r="M240" s="48" t="s">
        <v>84</v>
      </c>
      <c r="N240" s="83">
        <v>400</v>
      </c>
      <c r="O240" s="45" t="s">
        <v>306</v>
      </c>
      <c r="Q240" s="196">
        <f t="shared" ca="1" si="28"/>
        <v>-4784.63</v>
      </c>
      <c r="R240" s="197" t="e">
        <f ca="1">CFD($D$2,$C240,$E240,$F240,"J00",$D240,"000",$G240,$D$3,"A","Y","0",58097.33)</f>
        <v>#NAME?</v>
      </c>
      <c r="S240" s="198" t="e">
        <f t="shared" ca="1" si="29"/>
        <v>#NAME?</v>
      </c>
      <c r="U240" s="196">
        <f t="shared" ca="1" si="30"/>
        <v>0</v>
      </c>
      <c r="V240" s="75" t="e">
        <f t="shared" ca="1" si="31"/>
        <v>#NAME?</v>
      </c>
      <c r="W240" s="198" t="e">
        <f t="shared" ca="1" si="32"/>
        <v>#NAME?</v>
      </c>
    </row>
    <row r="241" spans="3:23" hidden="1">
      <c r="C241" s="48">
        <v>800</v>
      </c>
      <c r="D241" s="48" t="s">
        <v>307</v>
      </c>
      <c r="E241" s="48" t="s">
        <v>83</v>
      </c>
      <c r="F241" s="48" t="s">
        <v>84</v>
      </c>
      <c r="G241" s="83">
        <v>500</v>
      </c>
      <c r="H241" s="48" t="s">
        <v>305</v>
      </c>
      <c r="J241" s="48">
        <v>800</v>
      </c>
      <c r="K241" s="48" t="s">
        <v>308</v>
      </c>
      <c r="L241" s="48" t="s">
        <v>83</v>
      </c>
      <c r="M241" s="48" t="s">
        <v>84</v>
      </c>
      <c r="N241" s="83">
        <v>500</v>
      </c>
      <c r="O241" s="45" t="s">
        <v>306</v>
      </c>
      <c r="Q241" s="196">
        <f t="shared" ca="1" si="28"/>
        <v>-323197.01</v>
      </c>
      <c r="R241" s="197" t="e">
        <f ca="1">CFD($D$2,$C241,$E241,$F241,"J00",$D241,"000",$G241,$D$3,"A","Y","0",-787614.7)</f>
        <v>#NAME?</v>
      </c>
      <c r="S241" s="198" t="e">
        <f t="shared" ca="1" si="29"/>
        <v>#NAME?</v>
      </c>
      <c r="U241" s="196">
        <f t="shared" ca="1" si="30"/>
        <v>0</v>
      </c>
      <c r="V241" s="75" t="e">
        <f t="shared" ca="1" si="31"/>
        <v>#NAME?</v>
      </c>
      <c r="W241" s="198" t="e">
        <f t="shared" ca="1" si="32"/>
        <v>#NAME?</v>
      </c>
    </row>
    <row r="242" spans="3:23" hidden="1">
      <c r="C242" s="48">
        <v>800</v>
      </c>
      <c r="D242" s="48" t="s">
        <v>307</v>
      </c>
      <c r="E242" s="48" t="s">
        <v>83</v>
      </c>
      <c r="F242" s="48" t="s">
        <v>84</v>
      </c>
      <c r="G242" s="83">
        <v>600</v>
      </c>
      <c r="H242" s="48" t="s">
        <v>305</v>
      </c>
      <c r="J242" s="48">
        <v>800</v>
      </c>
      <c r="K242" s="48" t="s">
        <v>308</v>
      </c>
      <c r="L242" s="48" t="s">
        <v>83</v>
      </c>
      <c r="M242" s="48" t="s">
        <v>84</v>
      </c>
      <c r="N242" s="83">
        <v>600</v>
      </c>
      <c r="O242" s="45" t="s">
        <v>306</v>
      </c>
      <c r="Q242" s="196">
        <f t="shared" ca="1" si="28"/>
        <v>-523728.04000000004</v>
      </c>
      <c r="R242" s="197" t="e">
        <f ca="1">CFD($D$2,$C242,$E242,$F242,"J00",$D242,"000",$G242,$D$3,"A","Y","0",-2076226.72)</f>
        <v>#NAME?</v>
      </c>
      <c r="S242" s="198" t="e">
        <f t="shared" ca="1" si="29"/>
        <v>#NAME?</v>
      </c>
      <c r="U242" s="196">
        <f t="shared" ca="1" si="30"/>
        <v>0</v>
      </c>
      <c r="V242" s="75" t="e">
        <f t="shared" ca="1" si="31"/>
        <v>#NAME?</v>
      </c>
      <c r="W242" s="198" t="e">
        <f t="shared" ca="1" si="32"/>
        <v>#NAME?</v>
      </c>
    </row>
    <row r="243" spans="3:23" hidden="1">
      <c r="C243" s="48">
        <v>800</v>
      </c>
      <c r="D243" s="48" t="s">
        <v>307</v>
      </c>
      <c r="E243" s="48" t="s">
        <v>83</v>
      </c>
      <c r="F243" s="48" t="s">
        <v>84</v>
      </c>
      <c r="G243" s="83">
        <v>700</v>
      </c>
      <c r="H243" s="48" t="s">
        <v>305</v>
      </c>
      <c r="J243" s="48">
        <v>800</v>
      </c>
      <c r="K243" s="48" t="s">
        <v>308</v>
      </c>
      <c r="L243" s="48" t="s">
        <v>83</v>
      </c>
      <c r="M243" s="48" t="s">
        <v>84</v>
      </c>
      <c r="N243" s="83">
        <v>700</v>
      </c>
      <c r="O243" s="45" t="s">
        <v>306</v>
      </c>
      <c r="Q243" s="196">
        <f t="shared" ca="1" si="28"/>
        <v>-590084</v>
      </c>
      <c r="R243" s="197" t="e">
        <f ca="1">CFD($D$2,$C243,$E243,$F243,"J00",$D243,"000",$G243,$D$3,"A","Y","0",-8692338.03)</f>
        <v>#NAME?</v>
      </c>
      <c r="S243" s="198" t="e">
        <f t="shared" ca="1" si="29"/>
        <v>#NAME?</v>
      </c>
      <c r="U243" s="196">
        <f t="shared" ca="1" si="30"/>
        <v>46854.05</v>
      </c>
      <c r="V243" s="75" t="e">
        <f t="shared" ca="1" si="31"/>
        <v>#NAME?</v>
      </c>
      <c r="W243" s="198" t="e">
        <f t="shared" ca="1" si="32"/>
        <v>#NAME?</v>
      </c>
    </row>
    <row r="244" spans="3:23" hidden="1">
      <c r="C244" s="48">
        <v>800</v>
      </c>
      <c r="D244" s="48" t="s">
        <v>307</v>
      </c>
      <c r="E244" s="48" t="s">
        <v>83</v>
      </c>
      <c r="F244" s="48" t="s">
        <v>84</v>
      </c>
      <c r="G244" s="83">
        <v>800</v>
      </c>
      <c r="H244" s="48" t="s">
        <v>305</v>
      </c>
      <c r="J244" s="48">
        <v>800</v>
      </c>
      <c r="K244" s="48" t="s">
        <v>308</v>
      </c>
      <c r="L244" s="48" t="s">
        <v>83</v>
      </c>
      <c r="M244" s="48" t="s">
        <v>84</v>
      </c>
      <c r="N244" s="83">
        <v>800</v>
      </c>
      <c r="O244" s="45" t="s">
        <v>306</v>
      </c>
      <c r="Q244" s="196">
        <f t="shared" ca="1" si="28"/>
        <v>0</v>
      </c>
      <c r="R244" s="197" t="e">
        <f ca="1">CFD($D$2,$C244,$E244,$F244,"J00",$D244,"000",$G244,$D$3,"A","Y","0",-96904)</f>
        <v>#NAME?</v>
      </c>
      <c r="S244" s="198" t="e">
        <f t="shared" ca="1" si="29"/>
        <v>#NAME?</v>
      </c>
      <c r="U244" s="196">
        <f t="shared" ca="1" si="30"/>
        <v>0</v>
      </c>
      <c r="V244" s="75" t="e">
        <f t="shared" ca="1" si="31"/>
        <v>#NAME?</v>
      </c>
      <c r="W244" s="198" t="e">
        <f t="shared" ca="1" si="32"/>
        <v>#NAME?</v>
      </c>
    </row>
  </sheetData>
  <mergeCells count="5">
    <mergeCell ref="A1:W1"/>
    <mergeCell ref="U5:W5"/>
    <mergeCell ref="Q5:S5"/>
    <mergeCell ref="B5:D5"/>
    <mergeCell ref="I5:K5"/>
  </mergeCells>
  <phoneticPr fontId="3" type="noConversion"/>
  <conditionalFormatting sqref="Z193:Z195 Z189 Z178 Z169:Z170 Z162:Z165 Z151 Z154:Z155 Z174 Z143 Z180:Z181 Z135:Z136 Z95:Z97 Z103:Z104 Z108 Z112 Z114 Z78 Z81:Z82 Z86:Z89 Z75 Z70 Z66 Z46:Z47 Z34:Z35 Z28:Z29 Z21:Z22 Z17:Z18 Z13:Z14 Z51:Z55 Z39:Z42 Z118:Z122 Z59:Z60">
    <cfRule type="cellIs" dxfId="3" priority="23" stopIfTrue="1" operator="equal">
      <formula>FALSE</formula>
    </cfRule>
  </conditionalFormatting>
  <conditionalFormatting sqref="Z187">
    <cfRule type="cellIs" dxfId="2" priority="3" stopIfTrue="1" operator="equal">
      <formula>FALSE</formula>
    </cfRule>
  </conditionalFormatting>
  <conditionalFormatting sqref="Z158">
    <cfRule type="cellIs" dxfId="1" priority="2" stopIfTrue="1" operator="equal">
      <formula>FALSE</formula>
    </cfRule>
  </conditionalFormatting>
  <conditionalFormatting sqref="Z9:Z10">
    <cfRule type="cellIs" dxfId="0" priority="1" stopIfTrue="1" operator="equal">
      <formula>FALSE</formula>
    </cfRule>
  </conditionalFormatting>
  <dataValidations count="1">
    <dataValidation allowBlank="1" showInputMessage="1" showErrorMessage="1" error="&lt;D$PICK&gt;" sqref="R3"/>
  </dataValidations>
  <pageMargins left="0.25" right="0.25" top="0.32" bottom="0.38" header="0.17" footer="0.17"/>
  <pageSetup scale="49" fitToHeight="0" orientation="portrait" r:id="rId1"/>
  <headerFooter alignWithMargins="0">
    <oddFooter>&amp;L&amp;D &amp;T&amp;RPage &amp;P/&amp;N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8</vt:i4>
      </vt:variant>
    </vt:vector>
  </HeadingPairs>
  <TitlesOfParts>
    <vt:vector size="11" baseType="lpstr">
      <vt:lpstr>INFO</vt:lpstr>
      <vt:lpstr>BalSheet</vt:lpstr>
      <vt:lpstr>IncStmt</vt:lpstr>
      <vt:lpstr>CSIFlag</vt:lpstr>
      <vt:lpstr>Cube</vt:lpstr>
      <vt:lpstr>Period</vt:lpstr>
      <vt:lpstr>BalSheet!Print_Area</vt:lpstr>
      <vt:lpstr>IncStmt!Print_Area</vt:lpstr>
      <vt:lpstr>BalSheet!Print_Titles</vt:lpstr>
      <vt:lpstr>IncStmt!Print_Titles</vt:lpstr>
      <vt:lpstr>Scenario</vt:lpstr>
    </vt:vector>
  </TitlesOfParts>
  <Company>Telapex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 Simmons</dc:creator>
  <cp:lastModifiedBy>Brooks A. Taylor</cp:lastModifiedBy>
  <cp:lastPrinted>2012-11-02T15:20:19Z</cp:lastPrinted>
  <dcterms:created xsi:type="dcterms:W3CDTF">2004-11-16T21:05:44Z</dcterms:created>
  <dcterms:modified xsi:type="dcterms:W3CDTF">2014-06-05T20:36:50Z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YSID">
    <vt:lpwstr>TPX</vt:lpwstr>
  </property>
  <property fmtid="{D5CDD505-2E9C-101B-9397-08002B2CF9AE}" pid="3" name="DATADIR">
    <vt:lpwstr>G:\TPXOracl\DATA\</vt:lpwstr>
  </property>
  <property fmtid="{D5CDD505-2E9C-101B-9397-08002B2CF9AE}" pid="4" name="SERVER">
    <vt:lpwstr/>
  </property>
  <property fmtid="{D5CDD505-2E9C-101B-9397-08002B2CF9AE}" pid="5" name="PORT">
    <vt:lpwstr>80</vt:lpwstr>
  </property>
  <property fmtid="{D5CDD505-2E9C-101B-9397-08002B2CF9AE}" pid="6" name="MODE">
    <vt:lpwstr>0</vt:lpwstr>
  </property>
</Properties>
</file>