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22.xml" ContentType="application/vnd.openxmlformats-officedocument.spreadsheetml.worksheet+xml"/>
  <Override PartName="/xl/tables/table1.xml" ContentType="application/vnd.openxmlformats-officedocument.spreadsheetml.table+xml"/>
</Types>
</file>

<file path=_rels/.rels><?xml version="1.0" encoding="UTF-8"?>
<Relationships xmlns="http://schemas.openxmlformats.org/package/2006/relationships"><Relationship Id="rId3" Target="docProps/core.xml" Type="http://schemas.openxmlformats.org/package/2006/relationships/metadata/core-properties"></Relationship><Relationship Id="rId2" Target="docMetadata/LabelInfo.xml" Type="http://schemas.microsoft.com/office/2020/02/relationships/classificationlabels"></Relationship><Relationship Id="rId1" Target="xl/workbook.xml" Type="http://schemas.openxmlformats.org/officeDocument/2006/relationships/officeDocument"></Relationship><Relationship Id="rId5" Target="docProps/custom.xml" Type="http://schemas.openxmlformats.org/officeDocument/2006/relationships/custom-properties"></Relationship><Relationship Id="rId4"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basf-my.sharepoint.com/personal/wangs135_basfad_basf_net/Documents/Desktop/Intelligence/Market Growth Model/2025.05 market growth model for APAC/"/>
    </mc:Choice>
  </mc:AlternateContent>
  <bookViews>
    <workbookView xWindow="-110" yWindow="-110" windowWidth="19420" windowHeight="11500"/>
  </bookViews>
  <sheets>
    <sheet name="Methodology" sheetId="14" r:id="rId1"/>
    <sheet name="Definition" sheetId="17" r:id="rId2"/>
    <sheet name="Raw Data" sheetId="21" r:id="rId3"/>
    <sheet name="Sheet4" sheetId="20" r:id="rId4"/>
    <sheet name="crude steel production" sheetId="16" r:id="rId5"/>
    <sheet name="Sheet1" sheetId="12" r:id="rId6"/>
    <sheet name="TempSheet" sheetId="22" r:id="rId13"/>
    <sheet name="Raw Data 1" sheetId="15" r:id="rId7"/>
  </sheets>
  <calcPr calcId="191029"/>
  <pivotCaches>
    <pivotCache cacheId="2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 i="14" l="true"/>
  <c r="T26" i="14"/>
  <c r="S26" i="14"/>
  <c r="V26" i="14"/>
  <c r="X26" i="14"/>
  <c r="W26" i="14"/>
  <c r="Y26" i="14"/>
  <c r="Z26" i="14"/>
  <c r="R26" i="14"/>
  <c r="Z25" i="14"/>
  <c r="Y25" i="14"/>
  <c r="X24" i="14"/>
  <c r="W24" i="14"/>
  <c r="V24" i="14"/>
  <c r="X25" i="14"/>
  <c r="W25" i="14"/>
  <c r="V25" i="14"/>
  <c r="U25" i="14"/>
  <c r="T25" i="14"/>
  <c r="S25" i="14"/>
  <c r="R25" i="14"/>
  <c r="Z24" i="14"/>
  <c r="Y24" i="14"/>
  <c r="U24" i="14"/>
  <c r="T24" i="14"/>
  <c r="S24" i="14"/>
  <c r="R24" i="14"/>
  <c r="R23" i="14"/>
  <c r="Z23" i="14"/>
  <c r="Y23" i="14"/>
  <c r="X23" i="14"/>
  <c r="W23" i="14"/>
  <c r="V23" i="14"/>
  <c r="U23" i="14"/>
  <c r="T23" i="14"/>
  <c r="S23" i="14"/>
  <c r="Z22" i="14"/>
  <c r="Y22" i="14"/>
  <c r="X22" i="14"/>
  <c r="W22" i="14"/>
  <c r="V22" i="14"/>
  <c r="U22" i="14"/>
  <c r="T22" i="14"/>
  <c r="S22" i="14"/>
  <c r="R22" i="14"/>
  <c r="U21" i="14"/>
  <c r="V21" i="14"/>
  <c r="W21" i="14"/>
  <c r="Z21" i="14"/>
  <c r="X21" i="14"/>
  <c r="Y21" i="14"/>
  <c r="T21" i="14"/>
  <c r="S21" i="14"/>
  <c r="R21" i="14"/>
  <c r="Z20" i="14"/>
  <c r="Y20" i="14"/>
  <c r="X20" i="14"/>
  <c r="W20" i="14"/>
  <c r="V20" i="14"/>
  <c r="U20" i="14"/>
  <c r="T20" i="14"/>
  <c r="S20" i="14"/>
  <c r="R20" i="14"/>
  <c r="Z19" i="14"/>
  <c r="Y19" i="14"/>
  <c r="X19" i="14"/>
  <c r="W19" i="14"/>
  <c r="V19" i="14"/>
  <c r="U19" i="14"/>
  <c r="T19" i="14"/>
  <c r="S19" i="14"/>
  <c r="R19" i="14"/>
  <c r="T28" i="14"/>
  <c r="U28" i="14"/>
  <c r="V28" i="14"/>
  <c r="W28" i="14"/>
  <c r="X28" i="14"/>
  <c r="S27" i="14"/>
  <c r="Y28" i="14"/>
  <c r="T27" i="14"/>
  <c r="Z28" i="14"/>
  <c r="U27" i="14"/>
  <c r="V27" i="14"/>
  <c r="W27" i="14"/>
  <c r="X27" i="14"/>
  <c r="Y27" i="14"/>
  <c r="Z27" i="14"/>
  <c r="S28" i="14"/>
  <c r="R28" i="14"/>
  <c r="R27" i="14"/>
  <c r="H26" i="14"/>
  <c r="G25" i="14"/>
  <c r="H24" i="14"/>
  <c r="I20" i="14" l="true"/>
  <c r="H20" i="14"/>
  <c r="P28" i="14" l="true"/>
  <c r="O28" i="14"/>
  <c r="J28" i="14" l="true"/>
  <c r="E27" i="14"/>
  <c r="C27" i="14"/>
  <c r="L26" i="14"/>
  <c r="I26" i="14"/>
  <c r="F26" i="14"/>
  <c r="D26" i="14"/>
  <c r="L25" i="14"/>
  <c r="F25" i="14"/>
  <c r="L24" i="14"/>
  <c r="K24" i="14"/>
  <c r="L23" i="14"/>
  <c r="C23" i="14"/>
  <c r="M22" i="14"/>
  <c r="D57" i="16"/>
  <c r="E57" i="16"/>
  <c r="C57" i="16"/>
  <c r="M15" i="15"/>
  <c r="N21" i="14" s="true"/>
  <c r="L21" i="14"/>
  <c r="I21" i="14"/>
  <c r="F21" i="14"/>
  <c r="I19" i="14"/>
</calcChain>
</file>

<file path=xl/sharedStrings.xml><?xml version="1.0" encoding="utf-8"?>
<sst xmlns="http://schemas.openxmlformats.org/spreadsheetml/2006/main" count="201" uniqueCount="201">
  <si>
    <t>OEM</t>
    <phoneticPr fontId="1" type="noConversion"/>
  </si>
  <si>
    <t>AC</t>
    <phoneticPr fontId="1" type="noConversion"/>
  </si>
  <si>
    <t>Coil</t>
    <phoneticPr fontId="1" type="noConversion"/>
  </si>
  <si>
    <t>CF</t>
    <phoneticPr fontId="1" type="noConversion"/>
  </si>
  <si>
    <t>GI</t>
    <phoneticPr fontId="1" type="noConversion"/>
  </si>
  <si>
    <t>AF</t>
    <phoneticPr fontId="1" type="noConversion"/>
  </si>
  <si>
    <t>AERO</t>
    <phoneticPr fontId="1" type="noConversion"/>
  </si>
  <si>
    <t>Food</t>
    <phoneticPr fontId="1" type="noConversion"/>
  </si>
  <si>
    <t>Auto</t>
    <phoneticPr fontId="1" type="noConversion"/>
  </si>
  <si>
    <t>Construction</t>
    <phoneticPr fontId="1" type="noConversion"/>
  </si>
  <si>
    <t>Export</t>
    <phoneticPr fontId="1" type="noConversion"/>
  </si>
  <si>
    <t>Electric</t>
    <phoneticPr fontId="1" type="noConversion"/>
  </si>
  <si>
    <t>Metals</t>
    <phoneticPr fontId="1" type="noConversion"/>
  </si>
  <si>
    <t>Furniture</t>
    <phoneticPr fontId="1" type="noConversion"/>
  </si>
  <si>
    <t>Transportation</t>
    <phoneticPr fontId="1" type="noConversion"/>
  </si>
  <si>
    <t>Oil &amp; Gas</t>
    <phoneticPr fontId="1" type="noConversion"/>
  </si>
  <si>
    <t>Agriculture</t>
    <phoneticPr fontId="1" type="noConversion"/>
  </si>
  <si>
    <t>Electronic</t>
    <phoneticPr fontId="1" type="noConversion"/>
  </si>
  <si>
    <t>Market Growth</t>
    <phoneticPr fontId="1" type="noConversion"/>
  </si>
  <si>
    <t>2025 FY</t>
    <phoneticPr fontId="1" type="noConversion"/>
  </si>
  <si>
    <t>BASF</t>
    <phoneticPr fontId="1" type="noConversion"/>
  </si>
  <si>
    <t>APAC</t>
    <phoneticPr fontId="1" type="noConversion"/>
  </si>
  <si>
    <t>China</t>
    <phoneticPr fontId="1" type="noConversion"/>
  </si>
  <si>
    <t>2025 Q1</t>
    <phoneticPr fontId="1" type="noConversion"/>
  </si>
  <si>
    <t>Statistic Bureau</t>
    <phoneticPr fontId="1" type="noConversion"/>
  </si>
  <si>
    <t>S&amp;P</t>
    <phoneticPr fontId="1" type="noConversion"/>
  </si>
  <si>
    <t>Auto by S&amp;P Others by Statistic Bureau</t>
    <phoneticPr fontId="1" type="noConversion"/>
  </si>
  <si>
    <t>Data Source</t>
    <phoneticPr fontId="1" type="noConversion"/>
  </si>
  <si>
    <t xml:space="preserve">2025 Q1 APAC </t>
    <phoneticPr fontId="1" type="noConversion"/>
  </si>
  <si>
    <t>S&amp;P data</t>
    <phoneticPr fontId="1" type="noConversion"/>
  </si>
  <si>
    <t>MySteel-Crude Steel Production: https://worldsteel.org/data/steel-data-viewer/</t>
    <phoneticPr fontId="1" type="noConversion"/>
  </si>
  <si>
    <t>China National Bureau of Statistics-Wire Rode Production</t>
    <phoneticPr fontId="1" type="noConversion"/>
  </si>
  <si>
    <t>China National Bureau of Statistics-meat, beverage and dairy</t>
    <phoneticPr fontId="1" type="noConversion"/>
  </si>
  <si>
    <t>Global aircraft delivery data from Airbus, Boeing and Embraer</t>
    <phoneticPr fontId="1" type="noConversion"/>
  </si>
  <si>
    <t>Industry</t>
    <phoneticPr fontId="1" type="noConversion"/>
  </si>
  <si>
    <t>ACE</t>
    <phoneticPr fontId="1" type="noConversion"/>
  </si>
  <si>
    <t>AlFi</t>
    <phoneticPr fontId="1" type="noConversion"/>
  </si>
  <si>
    <t>Appliance</t>
    <phoneticPr fontId="1" type="noConversion"/>
  </si>
  <si>
    <t>Aero</t>
    <phoneticPr fontId="1" type="noConversion"/>
  </si>
  <si>
    <t>Air Bus</t>
    <phoneticPr fontId="1" type="noConversion"/>
  </si>
  <si>
    <t>Boeing</t>
    <phoneticPr fontId="1" type="noConversion"/>
  </si>
  <si>
    <t>MRO</t>
    <phoneticPr fontId="1" type="noConversion"/>
  </si>
  <si>
    <t>WorldSteel</t>
    <phoneticPr fontId="1" type="noConversion"/>
  </si>
  <si>
    <t>Steel Production</t>
    <phoneticPr fontId="1" type="noConversion"/>
  </si>
  <si>
    <t>Auto Production</t>
    <phoneticPr fontId="1" type="noConversion"/>
  </si>
  <si>
    <t>CDP</t>
    <phoneticPr fontId="1" type="noConversion"/>
  </si>
  <si>
    <t>not availabe yet</t>
    <phoneticPr fontId="1" type="noConversion"/>
  </si>
  <si>
    <t>Segment/Source</t>
    <phoneticPr fontId="1" type="noConversion"/>
  </si>
  <si>
    <t>Total</t>
    <phoneticPr fontId="1" type="noConversion"/>
  </si>
  <si>
    <t>mn USD</t>
    <phoneticPr fontId="1" type="noConversion"/>
  </si>
  <si>
    <t>units</t>
    <phoneticPr fontId="1" type="noConversion"/>
  </si>
  <si>
    <t>bn USD</t>
    <phoneticPr fontId="1" type="noConversion"/>
  </si>
  <si>
    <t>Methodology</t>
    <phoneticPr fontId="1" type="noConversion"/>
  </si>
  <si>
    <t>Major steel-producing countries 2023 and 2024</t>
    <phoneticPr fontId="1" type="noConversion"/>
  </si>
  <si>
    <t>Country</t>
  </si>
  <si>
    <t>Rank</t>
  </si>
  <si>
    <t>Tonnage</t>
  </si>
  <si>
    <t>China</t>
  </si>
  <si>
    <t>Japan</t>
  </si>
  <si>
    <t>United States</t>
  </si>
  <si>
    <t>Russia</t>
  </si>
  <si>
    <t>South Korea</t>
  </si>
  <si>
    <t>Germany</t>
  </si>
  <si>
    <t>Türkiye</t>
  </si>
  <si>
    <t>Brazil</t>
  </si>
  <si>
    <t>Iran</t>
  </si>
  <si>
    <t>Viet Nam</t>
  </si>
  <si>
    <t>Italy</t>
  </si>
  <si>
    <t>Taiwan, China</t>
  </si>
  <si>
    <r>
      <t>Indonesia </t>
    </r>
    <r>
      <rPr>
        <rFont val="Arial"/>
        <family val="2"/>
        <color rgb="FF1A171B"/>
        <sz val="8"/>
      </rPr>
      <t>e</t>
    </r>
  </si>
  <si>
    <t>Mexico</t>
  </si>
  <si>
    <t>Canada</t>
  </si>
  <si>
    <t>Spain</t>
  </si>
  <si>
    <t>France</t>
  </si>
  <si>
    <t>Egypt</t>
  </si>
  <si>
    <t>Saudi Arabia</t>
  </si>
  <si>
    <r>
      <t>Malaysia </t>
    </r>
    <r>
      <rPr>
        <rFont val="Arial"/>
        <family val="2"/>
        <color rgb="FF1A171B"/>
        <sz val="8"/>
      </rPr>
      <t>e</t>
    </r>
  </si>
  <si>
    <t>Ukraine</t>
  </si>
  <si>
    <t>Belgium</t>
  </si>
  <si>
    <t>Austria</t>
  </si>
  <si>
    <t>Poland</t>
  </si>
  <si>
    <t>Netherlands</t>
  </si>
  <si>
    <t>Thailand</t>
  </si>
  <si>
    <t>South Africa</t>
  </si>
  <si>
    <t>Australia</t>
  </si>
  <si>
    <t>Algeria</t>
  </si>
  <si>
    <r>
      <t>Bangladesh </t>
    </r>
    <r>
      <rPr>
        <rFont val="Arial"/>
        <family val="2"/>
        <color rgb="FF1A171B"/>
        <sz val="8"/>
      </rPr>
      <t>e</t>
    </r>
  </si>
  <si>
    <t>Kazakhstan</t>
  </si>
  <si>
    <t>Pakistan</t>
  </si>
  <si>
    <t>Sweden</t>
  </si>
  <si>
    <t>United Kingdom</t>
  </si>
  <si>
    <t>Slovakia</t>
  </si>
  <si>
    <t>Argentina</t>
  </si>
  <si>
    <t>United Arab Emirates</t>
  </si>
  <si>
    <t>Finland</t>
  </si>
  <si>
    <t>Oman</t>
  </si>
  <si>
    <t>Iraq</t>
  </si>
  <si>
    <t>Czechia</t>
  </si>
  <si>
    <r>
      <t>Belarus </t>
    </r>
    <r>
      <rPr>
        <rFont val="Arial"/>
        <family val="2"/>
        <color rgb="FF1A171B"/>
        <sz val="8"/>
      </rPr>
      <t>e</t>
    </r>
  </si>
  <si>
    <t>Portugal</t>
  </si>
  <si>
    <r>
      <t>Philippines </t>
    </r>
    <r>
      <rPr>
        <rFont val="Arial"/>
        <family val="2"/>
        <color rgb="FF1A171B"/>
        <sz val="8"/>
      </rPr>
      <t>e</t>
    </r>
  </si>
  <si>
    <t>Luxembourg</t>
  </si>
  <si>
    <t>Peru</t>
  </si>
  <si>
    <r>
      <t>Kenya </t>
    </r>
    <r>
      <rPr>
        <rFont val="Arial"/>
        <family val="2"/>
        <color rgb="FF1A171B"/>
        <sz val="8"/>
      </rPr>
      <t>e</t>
    </r>
  </si>
  <si>
    <t>Morocco</t>
  </si>
  <si>
    <t>Serbia</t>
  </si>
  <si>
    <t>Others</t>
  </si>
  <si>
    <t>World</t>
  </si>
  <si>
    <t>1 884.6</t>
  </si>
  <si>
    <t>1 904.1</t>
  </si>
  <si>
    <t>India</t>
    <phoneticPr fontId="1" type="noConversion"/>
  </si>
  <si>
    <t>mn Euro</t>
    <phoneticPr fontId="1" type="noConversion"/>
  </si>
  <si>
    <t>million tonnes, crude steel production</t>
    <phoneticPr fontId="1" type="noConversion"/>
  </si>
  <si>
    <t>mn tonnes</t>
    <phoneticPr fontId="1" type="noConversion"/>
  </si>
  <si>
    <t>Revenue</t>
    <phoneticPr fontId="1" type="noConversion"/>
  </si>
  <si>
    <t>Auto OEM</t>
    <phoneticPr fontId="1" type="noConversion"/>
  </si>
  <si>
    <t>Auto Components</t>
    <phoneticPr fontId="1" type="noConversion"/>
  </si>
  <si>
    <t>Indicator</t>
    <phoneticPr fontId="1" type="noConversion"/>
  </si>
  <si>
    <t>Remarks</t>
    <phoneticPr fontId="1" type="noConversion"/>
  </si>
  <si>
    <t>Agriculture value added (in USD) includes crop and animal production, hunting and related service activities, forestry and logging, and fishing and aquaculture</t>
    <phoneticPr fontId="1" type="noConversion"/>
  </si>
  <si>
    <t>Extraction of crude petroleum and natural gas (in USD)</t>
    <phoneticPr fontId="1" type="noConversion"/>
  </si>
  <si>
    <t>Food value added (in USD) includes manufacture of food products and beverages</t>
    <phoneticPr fontId="1" type="noConversion"/>
  </si>
  <si>
    <t>Metal value added (in USD) includes manufacture of basic metals and fabricated metal products, except machinery and equipment</t>
    <phoneticPr fontId="1" type="noConversion"/>
  </si>
  <si>
    <t>Electronic value added (in USD) includes manufacture of electronic and optical products including electronic components and boards, computers and peripheral equipment, communication equipment, consumer electronics, etc.</t>
    <phoneticPr fontId="1" type="noConversion"/>
  </si>
  <si>
    <t>Electronic value added (in USD) includes manufacture of electrical equipment including electric motors, batteries and accumulators, domestic appliances, etc.</t>
    <phoneticPr fontId="1" type="noConversion"/>
  </si>
  <si>
    <t>Transportaion value added (in USD) includes manufacture of motor vehicles, trailers and semi-trailers, and other transport equipment</t>
    <phoneticPr fontId="1" type="noConversion"/>
  </si>
  <si>
    <t>Furniture value added (in USD)</t>
    <phoneticPr fontId="1" type="noConversion"/>
  </si>
  <si>
    <t>Total export value (in USD)</t>
    <phoneticPr fontId="1" type="noConversion"/>
  </si>
  <si>
    <t>Construction value added (in USD) includes construction of buildings, civil engineering, specialized construction activities</t>
    <phoneticPr fontId="1" type="noConversion"/>
  </si>
  <si>
    <t>Data from BASF Corporate Development Portal, updated in Feburary 2025</t>
    <phoneticPr fontId="1" type="noConversion"/>
  </si>
  <si>
    <t>S&amp;P Global Mobility-Light Vehicle Production, updated in March 2025</t>
    <phoneticPr fontId="1" type="noConversion"/>
  </si>
  <si>
    <t>WorldSteel Association-World Steel in figures, updated in 2025</t>
    <phoneticPr fontId="1" type="noConversion"/>
  </si>
  <si>
    <t>Air Bus Total Revenue</t>
    <phoneticPr fontId="1" type="noConversion"/>
  </si>
  <si>
    <t>Boeing Total Revenue</t>
    <phoneticPr fontId="1" type="noConversion"/>
  </si>
  <si>
    <t>Data not available yet</t>
    <phoneticPr fontId="1" type="noConversion"/>
  </si>
  <si>
    <t>Total industry including Mining and quarrying, Manufacturing, Electricity, gas, steam and air conditioning supply, Water supply; sewerage, waste management and remediation activities, Construction</t>
    <phoneticPr fontId="1" type="noConversion"/>
  </si>
  <si>
    <t>YY</t>
    <phoneticPr fontId="1" type="noConversion"/>
  </si>
  <si>
    <t>indicator</t>
    <phoneticPr fontId="1" type="noConversion"/>
  </si>
  <si>
    <t>year</t>
    <phoneticPr fontId="1" type="noConversion"/>
  </si>
  <si>
    <t>source</t>
    <phoneticPr fontId="1" type="noConversion"/>
  </si>
  <si>
    <t>unit</t>
    <phoneticPr fontId="1" type="noConversion"/>
  </si>
  <si>
    <t>volume</t>
    <phoneticPr fontId="1" type="noConversion"/>
  </si>
  <si>
    <t>N/A</t>
    <phoneticPr fontId="1" type="noConversion"/>
  </si>
  <si>
    <t>Sum of volume</t>
  </si>
  <si>
    <t>Grand Total</t>
  </si>
  <si>
    <t>Agriculture</t>
  </si>
  <si>
    <t>Column Labels</t>
  </si>
  <si>
    <t>Row Labels</t>
  </si>
  <si>
    <t>Air Bus</t>
  </si>
  <si>
    <t>Auto Production</t>
  </si>
  <si>
    <t>Boeing</t>
  </si>
  <si>
    <t>Construction</t>
  </si>
  <si>
    <t>Electronic</t>
  </si>
  <si>
    <t>Food</t>
  </si>
  <si>
    <t>Furniture</t>
  </si>
  <si>
    <t>Industry</t>
  </si>
  <si>
    <t>Metals</t>
  </si>
  <si>
    <t>Oil &amp; Gas</t>
  </si>
  <si>
    <t>Steel Production</t>
  </si>
  <si>
    <t>Transportation</t>
  </si>
  <si>
    <t>2025 (F)</t>
    <phoneticPr fontId="1" type="noConversion"/>
  </si>
  <si>
    <t>2026 (F)</t>
  </si>
  <si>
    <t>2027 (F)</t>
  </si>
  <si>
    <t>2028 (F)</t>
  </si>
  <si>
    <t>2029 (F)</t>
  </si>
  <si>
    <t>2030 (F)</t>
  </si>
  <si>
    <t>2031 (F)</t>
  </si>
  <si>
    <t>2032 (F)</t>
  </si>
  <si>
    <t>Electric</t>
  </si>
  <si>
    <t>no forecast for steel production</t>
    <phoneticPr fontId="1" type="noConversion"/>
  </si>
  <si>
    <t>Column1</t>
  </si>
  <si>
    <t>Column3</t>
  </si>
  <si>
    <t>Column4</t>
  </si>
  <si>
    <t>Column5</t>
  </si>
  <si>
    <t>Column7</t>
  </si>
  <si>
    <t>Column8</t>
  </si>
  <si>
    <t>Column9</t>
  </si>
  <si>
    <t/>
  </si>
  <si>
    <t>1.5%</t>
  </si>
  <si>
    <t>1.7%</t>
  </si>
  <si>
    <t>1.9%</t>
  </si>
  <si>
    <t>2.1%</t>
  </si>
  <si>
    <t>5.1%</t>
  </si>
  <si>
    <t>7.9%</t>
  </si>
  <si>
    <t>2.4%</t>
  </si>
  <si>
    <t>2.8%</t>
  </si>
  <si>
    <t>11.4%</t>
  </si>
  <si>
    <t>6.7%</t>
  </si>
  <si>
    <t>2.2%</t>
  </si>
  <si>
    <t>0.5%</t>
  </si>
  <si>
    <t>5.3%</t>
  </si>
  <si>
    <t>3.1%</t>
  </si>
  <si>
    <t>7.3%</t>
  </si>
  <si>
    <t>4.7%</t>
  </si>
  <si>
    <t>3.2%</t>
  </si>
  <si>
    <t>2.9%</t>
  </si>
  <si>
    <t>3.4%</t>
  </si>
  <si>
    <t>16.0%</t>
  </si>
  <si>
    <t>3.7%</t>
  </si>
  <si>
    <t>4.4%</t>
  </si>
  <si>
    <t>1.4%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</si>
</sst>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 #,##0.00_ ;_ * \-#,##0.00_ ;_ * &quot;-&quot;??_ ;_ @_ "/>
    <numFmt numFmtId="176" formatCode="0.0%"/>
    <numFmt numFmtId="177" formatCode="_ * #,##0_ ;_ * \-#,##0_ ;_ * &quot;-&quot;??_ ;_ @_ "/>
    <numFmt numFmtId="178" formatCode="0.0_);[Red]\(0.0\)"/>
  </numFmts>
  <fonts count="19">
    <font>
      <sz val="11"/>
      <color theme="1"/>
      <name val="等线"/>
      <family val="2"/>
      <scheme val="minor"/>
    </font>
    <font>
      <sz val="9"/>
      <name val="等线"/>
      <family val="3"/>
      <charset val="134"/>
      <scheme val="minor"/>
    </font>
    <font>
      <sz val="11"/>
      <color theme="1"/>
      <name val="等线"/>
      <family val="2"/>
      <scheme val="minor"/>
    </font>
    <font>
      <b val="1"/>
      <sz val="11"/>
      <color theme="1"/>
      <name val="等线"/>
      <family val="3"/>
      <charset val="134"/>
      <scheme val="minor"/>
    </font>
    <font>
      <sz val="9"/>
      <color theme="1"/>
      <name val="Arial"/>
      <family val="2"/>
    </font>
    <font>
      <sz val="10"/>
      <name val="Arial"/>
      <family val="2"/>
    </font>
    <font>
      <sz val="10"/>
      <color theme="1"/>
      <name val="Arial"/>
      <family val="2"/>
    </font>
    <font>
      <sz val="12"/>
      <color theme="1"/>
      <name val="等线"/>
      <family val="2"/>
      <scheme val="minor"/>
    </font>
    <font>
      <sz val="12"/>
      <color theme="1"/>
      <name val="等线"/>
      <family val="3"/>
      <charset val="134"/>
      <scheme val="minor"/>
    </font>
    <font>
      <sz val="9"/>
      <color theme="1"/>
      <name val="等线"/>
      <family val="3"/>
      <charset val="134"/>
      <scheme val="minor"/>
    </font>
    <font>
      <b val="1"/>
      <sz val="12"/>
      <color theme="1"/>
      <name val="等线"/>
      <family val="3"/>
      <charset val="134"/>
      <scheme val="minor"/>
    </font>
    <font>
      <b val="1"/>
      <sz val="12"/>
      <color theme="1"/>
      <name val="Arial"/>
      <family val="2"/>
    </font>
    <font>
      <sz val="8"/>
      <color theme="1" tint="0.249977111117893"/>
      <name val="等线"/>
      <family val="3"/>
      <charset val="134"/>
      <scheme val="minor"/>
    </font>
    <font>
      <sz val="13.5"/>
      <color rgb="FF5C7F92"/>
      <name val="Arial"/>
      <family val="2"/>
    </font>
    <font>
      <sz val="11"/>
      <color rgb="FFFFFFFF"/>
      <name val="Arial"/>
      <family val="2"/>
    </font>
    <font>
      <sz val="11"/>
      <color rgb="FF1A171B"/>
      <name val="Arial"/>
      <family val="2"/>
    </font>
    <font>
      <sz val="8"/>
      <color rgb="FF1A171B"/>
      <name val="Arial"/>
      <family val="2"/>
    </font>
    <font>
      <b val="1"/>
      <sz val="12"/>
      <color theme="0"/>
      <name val="等线"/>
      <family val="3"/>
      <charset val="134"/>
      <scheme val="minor"/>
    </font>
    <font>
      <b val="1"/>
      <sz val="14"/>
      <color theme="0"/>
      <name val="等线"/>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7" tint="0.7999816888943144"/>
        <bgColor indexed="64"/>
      </patternFill>
    </fill>
    <fill>
      <patternFill patternType="solid">
        <fgColor theme="8" tint="0.7999816888943144"/>
        <bgColor indexed="64"/>
      </patternFill>
    </fill>
    <fill>
      <patternFill patternType="solid">
        <fgColor theme="0" tint="-0.1499984740745262"/>
        <bgColor indexed="64"/>
      </patternFill>
    </fill>
    <fill>
      <patternFill patternType="solid">
        <fgColor rgb="FFFFFFFF"/>
        <bgColor indexed="64"/>
      </patternFill>
    </fill>
    <fill>
      <patternFill patternType="solid">
        <fgColor rgb="FF00AAE7"/>
        <bgColor indexed="64"/>
      </patternFill>
    </fill>
    <fill>
      <patternFill patternType="solid">
        <fgColor rgb="FF004A96"/>
        <bgColor indexed="64"/>
      </patternFill>
    </fill>
    <fill>
      <patternFill patternType="solid">
        <fgColor theme="8" tint="0.3999755851924192"/>
        <bgColor indexed="64"/>
      </patternFill>
    </fill>
  </fills>
  <borders count="41">
    <border>
      <left/>
      <right/>
      <top/>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dashed">
        <color theme="0" tint="-0.3499862666707358"/>
      </left>
      <right style="dashed">
        <color theme="0" tint="-0.3499862666707358"/>
      </right>
      <top style="dashed">
        <color theme="0" tint="-0.3499862666707358"/>
      </top>
      <bottom style="dashed">
        <color theme="0" tint="-0.3499862666707358"/>
      </bottom>
      <diagonal/>
    </border>
    <border>
      <left style="thin">
        <color theme="1"/>
      </left>
      <right style="dashed">
        <color theme="0" tint="-0.3499862666707358"/>
      </right>
      <top style="thin">
        <color theme="1"/>
      </top>
      <bottom style="dashed">
        <color theme="0" tint="-0.3499862666707358"/>
      </bottom>
      <diagonal/>
    </border>
    <border>
      <left style="dashed">
        <color theme="0" tint="-0.3499862666707358"/>
      </left>
      <right style="dashed">
        <color theme="0" tint="-0.3499862666707358"/>
      </right>
      <top style="thin">
        <color theme="1"/>
      </top>
      <bottom style="dashed">
        <color theme="0" tint="-0.3499862666707358"/>
      </bottom>
      <diagonal/>
    </border>
    <border>
      <left style="thin">
        <color theme="1"/>
      </left>
      <right style="dashed">
        <color theme="0" tint="-0.3499862666707358"/>
      </right>
      <top style="dashed">
        <color theme="0" tint="-0.3499862666707358"/>
      </top>
      <bottom style="dashed">
        <color theme="0" tint="-0.3499862666707358"/>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theme="1"/>
      </left>
      <right style="dashed">
        <color theme="0" tint="-0.3499862666707358"/>
      </right>
      <top style="dashed">
        <color theme="0" tint="-0.3499862666707358"/>
      </top>
      <bottom/>
      <diagonal/>
    </border>
    <border>
      <left style="dashed">
        <color theme="0" tint="-0.3499862666707358"/>
      </left>
      <right style="dashed">
        <color theme="0" tint="-0.3499862666707358"/>
      </right>
      <top style="dashed">
        <color theme="0" tint="-0.3499862666707358"/>
      </top>
      <bottom/>
      <diagonal/>
    </border>
    <border>
      <left style="thin">
        <color theme="1"/>
      </left>
      <right style="dashed">
        <color theme="0" tint="-0.3499862666707358"/>
      </right>
      <top style="thin">
        <color indexed="64"/>
      </top>
      <bottom style="thin">
        <color indexed="64"/>
      </bottom>
      <diagonal/>
    </border>
    <border>
      <left style="dashed">
        <color theme="0" tint="-0.3499862666707358"/>
      </left>
      <right style="dashed">
        <color theme="0" tint="-0.3499862666707358"/>
      </right>
      <top style="thin">
        <color indexed="64"/>
      </top>
      <bottom style="thin">
        <color indexed="64"/>
      </bottom>
      <diagonal/>
    </border>
    <border>
      <left style="medium">
        <color rgb="FFDEE2E6"/>
      </left>
      <right style="medium">
        <color rgb="FFDEE2E6"/>
      </right>
      <top style="medium">
        <color rgb="FFDDDDDD"/>
      </top>
      <bottom style="medium">
        <color rgb="FFDEE2E6"/>
      </bottom>
      <diagonal/>
    </border>
    <border>
      <left style="medium">
        <color rgb="FFDEE2E6"/>
      </left>
      <right style="medium">
        <color rgb="FFDEE2E6"/>
      </right>
      <top style="medium">
        <color rgb="FFDDDDDD"/>
      </top>
      <bottom/>
      <diagonal/>
    </border>
    <border>
      <left style="medium">
        <color rgb="FFDEE2E6"/>
      </left>
      <right style="medium">
        <color rgb="FFDEE2E6"/>
      </right>
      <top/>
      <bottom style="medium">
        <color rgb="FFDDDDDD"/>
      </bottom>
      <diagonal/>
    </border>
    <border>
      <left style="medium">
        <color rgb="FFDEE2E6"/>
      </left>
      <right/>
      <top style="medium">
        <color rgb="FFDDDDDD"/>
      </top>
      <bottom style="medium">
        <color rgb="FFDDDDDD"/>
      </bottom>
      <diagonal/>
    </border>
    <border>
      <left/>
      <right style="medium">
        <color rgb="FFDEE2E6"/>
      </right>
      <top style="medium">
        <color rgb="FFDDDDDD"/>
      </top>
      <bottom style="medium">
        <color rgb="FFDDDDDD"/>
      </bottom>
      <diagonal/>
    </border>
    <border>
      <left style="thin">
        <color theme="1"/>
      </left>
      <right style="dashed">
        <color theme="0" tint="-0.3499862666707358"/>
      </right>
      <top/>
      <bottom style="dashed">
        <color theme="0" tint="-0.3499862666707358"/>
      </bottom>
      <diagonal/>
    </border>
    <border>
      <left style="dashed">
        <color theme="0" tint="-0.3499862666707358"/>
      </left>
      <right style="dashed">
        <color theme="0" tint="-0.3499862666707358"/>
      </right>
      <top/>
      <bottom style="dashed">
        <color theme="0" tint="-0.3499862666707358"/>
      </bottom>
      <diagonal/>
    </border>
    <border>
      <left/>
      <right style="dashed">
        <color theme="0" tint="-0.3499862666707358"/>
      </right>
      <top style="thin">
        <color theme="1"/>
      </top>
      <bottom style="dashed">
        <color theme="0" tint="-0.3499862666707358"/>
      </bottom>
      <diagonal/>
    </border>
    <border>
      <left/>
      <right style="dashed">
        <color theme="0" tint="-0.3499862666707358"/>
      </right>
      <top/>
      <bottom style="dashed">
        <color theme="0" tint="-0.3499862666707358"/>
      </bottom>
      <diagonal/>
    </border>
    <border>
      <left/>
      <right style="dashed">
        <color theme="0" tint="-0.3499862666707358"/>
      </right>
      <top style="dashed">
        <color theme="0" tint="-0.3499862666707358"/>
      </top>
      <bottom style="dashed">
        <color theme="0" tint="-0.3499862666707358"/>
      </bottom>
      <diagonal/>
    </border>
    <border>
      <left/>
      <right style="dashed">
        <color theme="0" tint="-0.3499862666707358"/>
      </right>
      <top style="dashed">
        <color theme="0" tint="-0.3499862666707358"/>
      </top>
      <bottom/>
      <diagonal/>
    </border>
    <border>
      <left/>
      <right style="dashed">
        <color theme="0" tint="-0.3499862666707358"/>
      </right>
      <top style="thin">
        <color indexed="64"/>
      </top>
      <bottom style="thin">
        <color indexed="64"/>
      </bottom>
      <diagonal/>
    </border>
    <border>
      <left style="dashed">
        <color theme="0" tint="-0.3499862666707358"/>
      </left>
      <right style="thin">
        <color indexed="64"/>
      </right>
      <top style="thin">
        <color theme="1"/>
      </top>
      <bottom style="dashed">
        <color theme="0" tint="-0.3499862666707358"/>
      </bottom>
      <diagonal/>
    </border>
    <border>
      <left style="dashed">
        <color theme="0" tint="-0.3499862666707358"/>
      </left>
      <right style="thin">
        <color indexed="64"/>
      </right>
      <top/>
      <bottom style="dashed">
        <color theme="0" tint="-0.3499862666707358"/>
      </bottom>
      <diagonal/>
    </border>
    <border>
      <left style="dashed">
        <color theme="0" tint="-0.3499862666707358"/>
      </left>
      <right style="thin">
        <color indexed="64"/>
      </right>
      <top style="dashed">
        <color theme="0" tint="-0.3499862666707358"/>
      </top>
      <bottom style="dashed">
        <color theme="0" tint="-0.3499862666707358"/>
      </bottom>
      <diagonal/>
    </border>
    <border>
      <left style="dashed">
        <color theme="0" tint="-0.3499862666707358"/>
      </left>
      <right style="thin">
        <color indexed="64"/>
      </right>
      <top style="dashed">
        <color theme="0" tint="-0.3499862666707358"/>
      </top>
      <bottom/>
      <diagonal/>
    </border>
    <border>
      <left style="dashed">
        <color theme="0" tint="-0.3499862666707358"/>
      </left>
      <right style="thin">
        <color indexed="64"/>
      </right>
      <top style="thin">
        <color indexed="64"/>
      </top>
      <bottom style="thin">
        <color indexed="64"/>
      </bottom>
      <diagonal/>
    </border>
  </borders>
  <cellStyleXfs count="6">
    <xf numFmtId="0" fontId="0" fillId="0" borderId="0"/>
    <xf numFmtId="43" fontId="2" fillId="0" borderId="0" applyFont="false" applyFill="false" applyBorder="false" applyAlignment="false" applyProtection="false">
      <alignment vertical="center"/>
    </xf>
    <xf numFmtId="9" fontId="2" fillId="0" borderId="0" applyFont="false" applyFill="false" applyBorder="false" applyAlignment="false" applyProtection="false">
      <alignment vertical="center"/>
    </xf>
    <xf numFmtId="0" fontId="5" fillId="0" borderId="0"/>
    <xf numFmtId="0" fontId="6" fillId="0" borderId="0"/>
    <xf numFmtId="9" fontId="6" fillId="0" borderId="0" applyFont="false" applyFill="false" applyBorder="false" applyAlignment="false" applyProtection="false"/>
  </cellStyleXfs>
  <cellXfs count="119">
    <xf numFmtId="0" fontId="0" fillId="0" borderId="0" xfId="0"/>
    <xf numFmtId="0" fontId="0" fillId="0" borderId="0" xfId="0" applyAlignment="true">
      <alignment horizontal="center"/>
    </xf>
    <xf numFmtId="0" fontId="4" fillId="0" borderId="2" xfId="0" applyFont="true" applyBorder="true"/>
    <xf numFmtId="176" fontId="4" fillId="0" borderId="2" xfId="2" applyNumberFormat="true" applyFont="true" applyFill="true" applyBorder="true" applyAlignment="true"/>
    <xf numFmtId="0" fontId="0" fillId="0" borderId="2" xfId="0" applyBorder="true"/>
    <xf numFmtId="0" fontId="3" fillId="0" borderId="2" xfId="0" applyFont="true" applyBorder="true" applyAlignment="true">
      <alignment horizontal="center"/>
    </xf>
    <xf numFmtId="176" fontId="4" fillId="4" borderId="2" xfId="2" applyNumberFormat="true" applyFont="true" applyFill="true" applyBorder="true" applyAlignment="true"/>
    <xf numFmtId="176" fontId="4" fillId="2" borderId="2" xfId="2" applyNumberFormat="true" applyFont="true" applyFill="true" applyBorder="true" applyAlignment="true"/>
    <xf numFmtId="0" fontId="0" fillId="0" borderId="2" xfId="0" applyBorder="true" applyAlignment="true">
      <alignment horizontal="center"/>
    </xf>
    <xf numFmtId="176" fontId="4" fillId="0" borderId="2" xfId="2" applyNumberFormat="true" applyFont="true" applyFill="true" applyBorder="true" applyAlignment="true">
      <alignment horizontal="right"/>
    </xf>
    <xf numFmtId="176" fontId="4" fillId="5" borderId="2" xfId="2" applyNumberFormat="true" applyFont="true" applyFill="true" applyBorder="true" applyAlignment="true"/>
    <xf numFmtId="0" fontId="3" fillId="0" borderId="2" xfId="0" applyFont="true" applyBorder="true" applyAlignment="true">
      <alignment horizontal="left"/>
    </xf>
    <xf numFmtId="0" fontId="7" fillId="0" borderId="0" xfId="0" applyFont="true" applyAlignment="true">
      <alignment horizontal="left" vertical="center"/>
    </xf>
    <xf numFmtId="0" fontId="7" fillId="0" borderId="0" xfId="0" applyFont="true" applyAlignment="true">
      <alignment horizontal="center"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7" fillId="0" borderId="11" xfId="0" applyFont="true" applyBorder="true" applyAlignment="true">
      <alignment horizontal="left" vertical="center"/>
    </xf>
    <xf numFmtId="0" fontId="9" fillId="0" borderId="11" xfId="0" applyFont="true" applyBorder="true" applyAlignment="true">
      <alignment horizontal="center" vertical="center"/>
    </xf>
    <xf numFmtId="0" fontId="9" fillId="0" borderId="12" xfId="0" applyFont="true" applyBorder="true" applyAlignment="true">
      <alignment horizontal="center" vertical="center"/>
    </xf>
    <xf numFmtId="9" fontId="8" fillId="0" borderId="13" xfId="2" applyFont="true" applyBorder="true" applyAlignment="true">
      <alignment horizontal="center" vertical="center"/>
    </xf>
    <xf numFmtId="9" fontId="8" fillId="4" borderId="13" xfId="2" applyFont="true" applyFill="true" applyBorder="true" applyAlignment="true">
      <alignment horizontal="center" vertical="center"/>
    </xf>
    <xf numFmtId="9" fontId="8" fillId="0" borderId="14" xfId="2" applyFont="true" applyBorder="true" applyAlignment="true">
      <alignment horizontal="center" vertical="center"/>
    </xf>
    <xf numFmtId="9" fontId="8" fillId="0" borderId="15" xfId="2" applyFont="true" applyBorder="true" applyAlignment="true">
      <alignment horizontal="center" vertical="center"/>
    </xf>
    <xf numFmtId="9" fontId="8" fillId="4" borderId="15" xfId="2" applyFont="true" applyFill="true" applyBorder="true" applyAlignment="true">
      <alignment horizontal="center" vertical="center"/>
    </xf>
    <xf numFmtId="9" fontId="8" fillId="0" borderId="16" xfId="2" applyFont="true" applyBorder="true" applyAlignment="true">
      <alignment horizontal="center" vertical="center"/>
    </xf>
    <xf numFmtId="9" fontId="8" fillId="4" borderId="16" xfId="2" applyFont="true" applyFill="true" applyBorder="true" applyAlignment="true">
      <alignment horizontal="center" vertical="center"/>
    </xf>
    <xf numFmtId="0" fontId="10" fillId="0" borderId="17" xfId="0" applyFont="true" applyBorder="true" applyAlignment="true">
      <alignment horizontal="center" vertical="center"/>
    </xf>
    <xf numFmtId="0" fontId="10" fillId="0" borderId="18" xfId="0" applyFont="true" applyBorder="true" applyAlignment="true">
      <alignment horizontal="center" vertical="center"/>
    </xf>
    <xf numFmtId="0" fontId="10" fillId="0" borderId="19" xfId="0" applyFont="true" applyBorder="true" applyAlignment="true">
      <alignment horizontal="center" vertical="center"/>
    </xf>
    <xf numFmtId="9" fontId="7" fillId="0" borderId="0" xfId="0" applyNumberFormat="true" applyFont="true" applyAlignment="true">
      <alignment horizontal="center" vertical="center"/>
    </xf>
    <xf numFmtId="9" fontId="8" fillId="0" borderId="20" xfId="2" applyFont="true" applyBorder="true" applyAlignment="true">
      <alignment horizontal="center" vertical="center"/>
    </xf>
    <xf numFmtId="9" fontId="8" fillId="0" borderId="21" xfId="2" applyFont="true" applyBorder="true" applyAlignment="true">
      <alignment horizontal="center" vertical="center"/>
    </xf>
    <xf numFmtId="9" fontId="8" fillId="4" borderId="21" xfId="2" applyFont="true" applyFill="true" applyBorder="true" applyAlignment="true">
      <alignment horizontal="center" vertical="center"/>
    </xf>
    <xf numFmtId="0" fontId="7" fillId="0" borderId="4" xfId="0" applyFont="true" applyBorder="true" applyAlignment="true">
      <alignment horizontal="left" vertical="center"/>
    </xf>
    <xf numFmtId="0" fontId="7" fillId="0" borderId="22" xfId="0" applyFont="true" applyBorder="true" applyAlignment="true">
      <alignment horizontal="center" vertical="center"/>
    </xf>
    <xf numFmtId="0" fontId="7" fillId="0" borderId="23" xfId="0" applyFont="true" applyBorder="true" applyAlignment="true">
      <alignment horizontal="center" vertical="center"/>
    </xf>
    <xf numFmtId="0" fontId="11" fillId="0" borderId="0" xfId="0" applyFont="true" applyAlignment="true">
      <alignment horizontal="center"/>
    </xf>
    <xf numFmtId="0" fontId="12" fillId="0" borderId="0" xfId="0" applyFont="true" applyAlignment="true">
      <alignment horizontal="center" vertical="center"/>
    </xf>
    <xf numFmtId="177" fontId="0" fillId="0" borderId="0" xfId="1" applyNumberFormat="true" applyFont="true" applyBorder="true" applyAlignment="true"/>
    <xf numFmtId="0" fontId="0" fillId="4" borderId="0" xfId="0" applyFill="true"/>
    <xf numFmtId="176" fontId="8" fillId="0" borderId="15" xfId="2" applyNumberFormat="true" applyFont="true" applyBorder="true" applyAlignment="true">
      <alignment horizontal="center" vertical="center"/>
    </xf>
    <xf numFmtId="0" fontId="10" fillId="4" borderId="0" xfId="0" applyFont="true" applyFill="true" applyAlignment="true">
      <alignment horizontal="center" vertical="center"/>
    </xf>
    <xf numFmtId="177" fontId="0" fillId="4" borderId="0" xfId="1" applyNumberFormat="true" applyFont="true" applyFill="true" applyBorder="true" applyAlignment="true"/>
    <xf numFmtId="178" fontId="0" fillId="0" borderId="0" xfId="0" applyNumberFormat="true"/>
    <xf numFmtId="178" fontId="13" fillId="0" borderId="0" xfId="0" applyNumberFormat="true" applyFont="true" applyAlignment="true">
      <alignment horizontal="left" vertical="center"/>
    </xf>
    <xf numFmtId="178" fontId="14" fillId="7" borderId="24" xfId="0" applyNumberFormat="true" applyFont="true" applyFill="true" applyBorder="true" applyAlignment="true">
      <alignment horizontal="center" vertical="top" wrapText="true"/>
    </xf>
    <xf numFmtId="178" fontId="15" fillId="3" borderId="24" xfId="0" applyNumberFormat="true" applyFont="true" applyFill="true" applyBorder="true" applyAlignment="true">
      <alignment vertical="top" wrapText="true"/>
    </xf>
    <xf numFmtId="178" fontId="15" fillId="6" borderId="24" xfId="0" applyNumberFormat="true" applyFont="true" applyFill="true" applyBorder="true" applyAlignment="true">
      <alignment horizontal="center" vertical="top" wrapText="true"/>
    </xf>
    <xf numFmtId="178" fontId="15" fillId="6" borderId="24" xfId="0" applyNumberFormat="true" applyFont="true" applyFill="true" applyBorder="true" applyAlignment="true">
      <alignment horizontal="right" vertical="top" wrapText="true"/>
    </xf>
    <xf numFmtId="178" fontId="15" fillId="6" borderId="24" xfId="0" applyNumberFormat="true" applyFont="true" applyFill="true" applyBorder="true" applyAlignment="true">
      <alignment vertical="top" wrapText="true"/>
    </xf>
    <xf numFmtId="178" fontId="14" fillId="7" borderId="24" xfId="0" applyNumberFormat="true" applyFont="true" applyFill="true" applyBorder="true" applyAlignment="true">
      <alignment vertical="top" wrapText="true"/>
    </xf>
    <xf numFmtId="178" fontId="14" fillId="7" borderId="24" xfId="0" applyNumberFormat="true" applyFont="true" applyFill="true" applyBorder="true" applyAlignment="true">
      <alignment horizontal="right" vertical="top" wrapText="true"/>
    </xf>
    <xf numFmtId="176" fontId="8" fillId="0" borderId="14" xfId="2" applyNumberFormat="true" applyFont="true" applyBorder="true" applyAlignment="true">
      <alignment horizontal="center" vertical="center"/>
    </xf>
    <xf numFmtId="176" fontId="8" fillId="0" borderId="16" xfId="2" applyNumberFormat="true" applyFont="true" applyBorder="true" applyAlignment="true">
      <alignment horizontal="center" vertical="center"/>
    </xf>
    <xf numFmtId="176" fontId="8" fillId="0" borderId="13" xfId="2" applyNumberFormat="true" applyFont="true" applyBorder="true" applyAlignment="true">
      <alignment horizontal="center" vertical="center"/>
    </xf>
    <xf numFmtId="176" fontId="8" fillId="4" borderId="15" xfId="2" applyNumberFormat="true" applyFont="true" applyFill="true" applyBorder="true" applyAlignment="true">
      <alignment horizontal="center" vertical="center"/>
    </xf>
    <xf numFmtId="176" fontId="8" fillId="4" borderId="13" xfId="2" applyNumberFormat="true" applyFont="true" applyFill="true" applyBorder="true" applyAlignment="true">
      <alignment horizontal="center" vertical="center"/>
    </xf>
    <xf numFmtId="176" fontId="8" fillId="4" borderId="16" xfId="2" applyNumberFormat="true" applyFont="true" applyFill="true" applyBorder="true" applyAlignment="true">
      <alignment horizontal="center" vertical="center"/>
    </xf>
    <xf numFmtId="176" fontId="8" fillId="0" borderId="20" xfId="2" applyNumberFormat="true" applyFont="true" applyBorder="true" applyAlignment="true">
      <alignment horizontal="center" vertical="center"/>
    </xf>
    <xf numFmtId="176" fontId="8" fillId="0" borderId="21" xfId="2" applyNumberFormat="true" applyFont="true" applyBorder="true" applyAlignment="true">
      <alignment horizontal="center" vertical="center"/>
    </xf>
    <xf numFmtId="176" fontId="8" fillId="4" borderId="21" xfId="2" applyNumberFormat="true" applyFont="true" applyFill="true" applyBorder="true" applyAlignment="true">
      <alignment horizontal="center" vertical="center"/>
    </xf>
    <xf numFmtId="177" fontId="0" fillId="0" borderId="0" xfId="1" applyNumberFormat="true" applyFont="true" applyFill="true" applyBorder="true" applyAlignment="true"/>
    <xf numFmtId="9" fontId="8" fillId="0" borderId="29" xfId="2" applyFont="true" applyBorder="true" applyAlignment="true">
      <alignment horizontal="center" vertical="center"/>
    </xf>
    <xf numFmtId="9" fontId="8" fillId="0" borderId="30" xfId="2" applyFont="true" applyBorder="true" applyAlignment="true">
      <alignment horizontal="center" vertical="center"/>
    </xf>
    <xf numFmtId="9" fontId="8" fillId="4" borderId="30" xfId="2" applyFont="true" applyFill="true" applyBorder="true" applyAlignment="true">
      <alignment horizontal="center" vertical="center"/>
    </xf>
    <xf numFmtId="176" fontId="8" fillId="0" borderId="29" xfId="2" applyNumberFormat="true" applyFont="true" applyBorder="true" applyAlignment="true">
      <alignment horizontal="center" vertical="center"/>
    </xf>
    <xf numFmtId="176" fontId="8" fillId="0" borderId="30" xfId="2" applyNumberFormat="true" applyFont="true" applyBorder="true" applyAlignment="true">
      <alignment horizontal="center" vertical="center"/>
    </xf>
    <xf numFmtId="176" fontId="7" fillId="0" borderId="2" xfId="0" applyNumberFormat="true" applyFont="true" applyBorder="true" applyAlignment="true">
      <alignment horizontal="center" vertical="center"/>
    </xf>
    <xf numFmtId="9" fontId="8" fillId="0" borderId="31" xfId="2" applyFont="true" applyBorder="true" applyAlignment="true">
      <alignment horizontal="center" vertical="center"/>
    </xf>
    <xf numFmtId="9" fontId="8" fillId="0" borderId="32" xfId="2" applyFont="true" applyBorder="true" applyAlignment="true">
      <alignment horizontal="center" vertical="center"/>
    </xf>
    <xf numFmtId="9" fontId="8" fillId="0" borderId="33" xfId="2" applyFont="true" applyBorder="true" applyAlignment="true">
      <alignment horizontal="center" vertical="center"/>
    </xf>
    <xf numFmtId="9" fontId="8" fillId="4" borderId="34" xfId="2" applyFont="true" applyFill="true" applyBorder="true" applyAlignment="true">
      <alignment horizontal="center" vertical="center"/>
    </xf>
    <xf numFmtId="0" fontId="7" fillId="0" borderId="35" xfId="0" applyFont="true" applyBorder="true" applyAlignment="true">
      <alignment horizontal="center" vertical="center"/>
    </xf>
    <xf numFmtId="176" fontId="8" fillId="0" borderId="31" xfId="2" applyNumberFormat="true" applyFont="true" applyBorder="true" applyAlignment="true">
      <alignment horizontal="center" vertical="center"/>
    </xf>
    <xf numFmtId="176" fontId="8" fillId="0" borderId="32" xfId="2" applyNumberFormat="true" applyFont="true" applyBorder="true" applyAlignment="true">
      <alignment horizontal="center" vertical="center"/>
    </xf>
    <xf numFmtId="176" fontId="8" fillId="0" borderId="33" xfId="2" applyNumberFormat="true" applyFont="true" applyBorder="true" applyAlignment="true">
      <alignment horizontal="center" vertical="center"/>
    </xf>
    <xf numFmtId="176" fontId="8" fillId="4" borderId="34" xfId="2" applyNumberFormat="true" applyFont="true" applyFill="true" applyBorder="true" applyAlignment="true">
      <alignment horizontal="center" vertical="center"/>
    </xf>
    <xf numFmtId="9" fontId="8" fillId="0" borderId="36" xfId="2" applyFont="true" applyBorder="true" applyAlignment="true">
      <alignment horizontal="center" vertical="center"/>
    </xf>
    <xf numFmtId="9" fontId="8" fillId="0" borderId="37" xfId="2" applyFont="true" applyBorder="true" applyAlignment="true">
      <alignment horizontal="center" vertical="center"/>
    </xf>
    <xf numFmtId="9" fontId="8" fillId="0" borderId="38" xfId="2" applyFont="true" applyBorder="true" applyAlignment="true">
      <alignment horizontal="center" vertical="center"/>
    </xf>
    <xf numFmtId="0" fontId="7" fillId="0" borderId="40" xfId="0" applyFont="true" applyBorder="true" applyAlignment="true">
      <alignment horizontal="center" vertical="center"/>
    </xf>
    <xf numFmtId="9" fontId="8" fillId="4" borderId="39" xfId="2" applyFont="true" applyFill="true" applyBorder="true" applyAlignment="true">
      <alignment horizontal="center" vertical="center"/>
    </xf>
    <xf numFmtId="0" fontId="0" fillId="0" borderId="11" xfId="0" applyBorder="true"/>
    <xf numFmtId="0" fontId="0" fillId="0" borderId="12" xfId="0" applyBorder="true"/>
    <xf numFmtId="0" fontId="0" fillId="0" borderId="9" xfId="0" applyBorder="true"/>
    <xf numFmtId="0" fontId="0" fillId="0" borderId="8" xfId="0" applyBorder="true"/>
    <xf numFmtId="0" fontId="10" fillId="0" borderId="4" xfId="0" applyFont="true" applyBorder="true" applyAlignment="true">
      <alignment horizontal="center"/>
    </xf>
    <xf numFmtId="0" fontId="10" fillId="0" borderId="1" xfId="0" applyFont="true" applyBorder="true" applyAlignment="true">
      <alignment horizontal="center"/>
    </xf>
    <xf numFmtId="0" fontId="17" fillId="8" borderId="5" xfId="0" applyFont="true" applyFill="true" applyBorder="true" applyAlignment="true">
      <alignment horizontal="center" vertical="center" wrapText="true"/>
    </xf>
    <xf numFmtId="0" fontId="17" fillId="8" borderId="7" xfId="0" applyFont="true" applyFill="true" applyBorder="true" applyAlignment="true">
      <alignment horizontal="center" vertical="center"/>
    </xf>
    <xf numFmtId="0" fontId="10" fillId="0" borderId="5" xfId="0" applyFont="true" applyBorder="true" applyAlignment="true">
      <alignment horizontal="center" vertical="center"/>
    </xf>
    <xf numFmtId="0" fontId="10" fillId="0" borderId="6" xfId="0" applyFont="true" applyBorder="true" applyAlignment="true">
      <alignment horizontal="center" vertical="center"/>
    </xf>
    <xf numFmtId="178" fontId="14" fillId="7" borderId="25" xfId="0" applyNumberFormat="true" applyFont="true" applyFill="true" applyBorder="true" applyAlignment="true">
      <alignment horizontal="center" vertical="top" wrapText="true"/>
    </xf>
    <xf numFmtId="178" fontId="14" fillId="7" borderId="26" xfId="0" applyNumberFormat="true" applyFont="true" applyFill="true" applyBorder="true" applyAlignment="true">
      <alignment horizontal="center" vertical="top" wrapText="true"/>
    </xf>
    <xf numFmtId="178" fontId="14" fillId="7" borderId="27" xfId="0" applyNumberFormat="true" applyFont="true" applyFill="true" applyBorder="true" applyAlignment="true">
      <alignment horizontal="center" vertical="top" wrapText="true"/>
    </xf>
    <xf numFmtId="178" fontId="14" fillId="7" borderId="28" xfId="0" applyNumberFormat="true" applyFont="true" applyFill="true" applyBorder="true" applyAlignment="true">
      <alignment horizontal="center" vertical="top" wrapText="true"/>
    </xf>
    <xf numFmtId="0" fontId="3" fillId="0" borderId="4" xfId="0" applyFont="true" applyBorder="true" applyAlignment="true">
      <alignment horizontal="center"/>
    </xf>
    <xf numFmtId="0" fontId="3" fillId="0" borderId="3" xfId="0" applyFont="true" applyBorder="true" applyAlignment="true">
      <alignment horizontal="center"/>
    </xf>
    <xf numFmtId="0" fontId="3" fillId="0" borderId="1" xfId="0" applyFont="true" applyBorder="true" applyAlignment="true">
      <alignment horizontal="center"/>
    </xf>
    <xf numFmtId="0" fontId="3" fillId="0" borderId="9" xfId="0" applyFont="true" applyBorder="true" applyAlignment="true">
      <alignment horizontal="center"/>
    </xf>
    <xf numFmtId="0" fontId="3" fillId="0" borderId="10" xfId="0" applyFont="true" applyBorder="true" applyAlignment="true">
      <alignment horizontal="center"/>
    </xf>
    <xf numFmtId="0" fontId="3" fillId="0" borderId="8" xfId="0" applyFont="true" applyBorder="true" applyAlignment="true">
      <alignment horizontal="center"/>
    </xf>
    <xf numFmtId="177" fontId="0" fillId="0" borderId="0" xfId="1" applyNumberFormat="true" applyFont="true" applyAlignment="true"/>
    <xf numFmtId="0" fontId="3" fillId="0" borderId="0" xfId="0" applyFont="true" applyAlignment="true">
      <alignment horizontal="center" vertical="center"/>
    </xf>
    <xf numFmtId="177" fontId="3" fillId="0" borderId="0" xfId="1" applyNumberFormat="true" applyFont="true" applyAlignment="true">
      <alignment horizontal="center" vertical="center"/>
    </xf>
    <xf numFmtId="0" fontId="0" fillId="0" borderId="0" xfId="0" pivotButton="true"/>
    <xf numFmtId="0" fontId="0" fillId="0" borderId="0" xfId="0" applyAlignment="true">
      <alignment horizontal="left"/>
    </xf>
    <xf numFmtId="10" fontId="0" fillId="0" borderId="0" xfId="0" applyNumberFormat="true"/>
    <xf numFmtId="0" fontId="18" fillId="9" borderId="4" xfId="0" applyFont="true" applyFill="true" applyBorder="true" applyAlignment="true">
      <alignment horizontal="center" vertical="center"/>
    </xf>
    <xf numFmtId="0" fontId="18" fillId="9" borderId="3" xfId="0" applyFont="true" applyFill="true" applyBorder="true" applyAlignment="true">
      <alignment horizontal="center" vertical="center"/>
    </xf>
    <xf numFmtId="0" fontId="18" fillId="9" borderId="1" xfId="0" applyFont="true" applyFill="true" applyBorder="true" applyAlignment="true">
      <alignment horizontal="center" vertical="center"/>
    </xf>
    <xf numFmtId="176" fontId="8" fillId="0" borderId="36" xfId="2" applyNumberFormat="true" applyFont="true" applyBorder="true" applyAlignment="true">
      <alignment horizontal="center" vertical="center"/>
    </xf>
    <xf numFmtId="176" fontId="8" fillId="4" borderId="30" xfId="2" applyNumberFormat="true" applyFont="true" applyFill="true" applyBorder="true" applyAlignment="true">
      <alignment horizontal="center" vertical="center"/>
    </xf>
    <xf numFmtId="176" fontId="8" fillId="0" borderId="37" xfId="2" applyNumberFormat="true" applyFont="true" applyBorder="true" applyAlignment="true">
      <alignment horizontal="center" vertical="center"/>
    </xf>
    <xf numFmtId="176" fontId="8" fillId="0" borderId="38" xfId="2" applyNumberFormat="true" applyFont="true" applyBorder="true" applyAlignment="true">
      <alignment horizontal="center" vertical="center"/>
    </xf>
    <xf numFmtId="176" fontId="7" fillId="0" borderId="0" xfId="0" applyNumberFormat="true" applyFont="true" applyAlignment="true">
      <alignment horizontal="center" vertical="center"/>
    </xf>
    <xf numFmtId="176" fontId="8" fillId="4" borderId="39" xfId="2" applyNumberFormat="true" applyFont="true" applyFill="true" applyBorder="true" applyAlignment="true">
      <alignment horizontal="center" vertical="center"/>
    </xf>
    <xf numFmtId="176" fontId="7" fillId="0" borderId="0" xfId="2" applyNumberFormat="true" applyFont="true" applyFill="true" applyAlignment="true">
      <alignment horizontal="center" vertical="center"/>
    </xf>
    <xf numFmtId="176" fontId="7" fillId="0" borderId="2" xfId="0" applyNumberFormat="true" applyFont="true" applyFill="true" applyBorder="true" applyAlignment="true">
      <alignment horizontal="center" vertical="center"/>
    </xf>
  </cellXfs>
  <cellStyles count="6">
    <cellStyle name="Comma" xfId="1" builtinId="3"/>
    <cellStyle name="Normal" xfId="0" builtinId="0"/>
    <cellStyle name="Percent" xfId="2" builtinId="5"/>
    <cellStyle name="Standard 2" xfId="3"/>
    <cellStyle name="百分比 2" xfId="5"/>
    <cellStyle name="常规 2" xfId="4"/>
  </cellStyles>
  <dxfs count="0"/>
  <tableStyles count="0" defaultPivotStyle="PivotStyleLight16" defaultTableStyle="TableStyleMedium2"/>
  <colors>
    <mruColors>
      <color rgb="FF004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pivotCache/pivotCacheDefinition1.xml" Type="http://schemas.openxmlformats.org/officeDocument/2006/relationships/pivotCacheDefinition"></Relationship><Relationship Id="rId3" Target="worksheets/sheet3.xml" Type="http://schemas.openxmlformats.org/officeDocument/2006/relationships/worksheet"></Relationship><Relationship Id="rId7" Target="worksheets/sheet7.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22.xml" Type="http://schemas.openxmlformats.org/officeDocument/2006/relationships/worksheet"></Relationship></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en.a.wang@basf.com" refreshedDate="45815.628967824072" createdVersion="8" refreshedVersion="8" minRefreshableVersion="3" recordCount="266" xr:uid="{99A6DA14-1327-482E-B6B3-2150D63919C1}">
  <cacheSource type="worksheet">
    <worksheetSource ref="A1:E267" sheet="Raw Data"/>
  </cacheSource>
  <cacheFields count="5">
    <cacheField name="indicator" numFmtId="0">
      <sharedItems count="14">
        <s v="Agriculture"/>
        <s v="Oil &amp; Gas"/>
        <s v="Food"/>
        <s v="Metals"/>
        <s v="Electronic"/>
        <s v="Auto Production"/>
        <s v="Transportation"/>
        <s v="Furniture"/>
        <s v="Construction"/>
        <s v="Industry"/>
        <s v="Steel Production"/>
        <s v="Air Bus"/>
        <s v="Boeing"/>
        <s v="Electric"/>
      </sharedItems>
    </cacheField>
    <cacheField name="year" numFmtId="0">
      <sharedItems containsSemiMixedTypes="0" containsString="0" containsNumber="1" containsInteger="1" minValue="2014" maxValue="2032" count="19">
        <n v="2014"/>
        <n v="2015"/>
        <n v="2016"/>
        <n v="2017"/>
        <n v="2018"/>
        <n v="2019"/>
        <n v="2020"/>
        <n v="2021"/>
        <n v="2022"/>
        <n v="2023"/>
        <n v="2024"/>
        <n v="2025"/>
        <n v="2026"/>
        <n v="2027"/>
        <n v="2028"/>
        <n v="2029"/>
        <n v="2030"/>
        <n v="2031"/>
        <n v="2032"/>
      </sharedItems>
    </cacheField>
    <cacheField name="source" numFmtId="0">
      <sharedItems/>
    </cacheField>
    <cacheField name="unit" numFmtId="0">
      <sharedItems/>
    </cacheField>
    <cacheField name="volume" numFmtId="177">
      <sharedItems containsMixedTypes="1" containsNumber="1" minValue="1394.9" maxValue="578867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x v="0"/>
    <x v="0"/>
    <s v="CDP"/>
    <s v="mn USD"/>
    <n v="1984154.1432880235"/>
  </r>
  <r>
    <x v="0"/>
    <x v="1"/>
    <s v="CDP"/>
    <s v="mn USD"/>
    <n v="2026880.4548225864"/>
  </r>
  <r>
    <x v="0"/>
    <x v="2"/>
    <s v="CDP"/>
    <s v="mn USD"/>
    <n v="2089804.4344935615"/>
  </r>
  <r>
    <x v="0"/>
    <x v="3"/>
    <s v="CDP"/>
    <s v="mn USD"/>
    <n v="2166743.0790580329"/>
  </r>
  <r>
    <x v="0"/>
    <x v="4"/>
    <s v="CDP"/>
    <s v="mn USD"/>
    <n v="2233855.95615162"/>
  </r>
  <r>
    <x v="0"/>
    <x v="5"/>
    <s v="CDP"/>
    <s v="mn USD"/>
    <n v="2305703.0323980432"/>
  </r>
  <r>
    <x v="0"/>
    <x v="6"/>
    <s v="CDP"/>
    <s v="mn USD"/>
    <n v="2354085.69353271"/>
  </r>
  <r>
    <x v="0"/>
    <x v="7"/>
    <s v="CDP"/>
    <s v="mn USD"/>
    <n v="2485893.4408868095"/>
  </r>
  <r>
    <x v="0"/>
    <x v="8"/>
    <s v="CDP"/>
    <s v="mn USD"/>
    <n v="2582346.5490111676"/>
  </r>
  <r>
    <x v="0"/>
    <x v="9"/>
    <s v="CDP"/>
    <s v="mn USD"/>
    <n v="2676632.5358016375"/>
  </r>
  <r>
    <x v="0"/>
    <x v="10"/>
    <s v="CDP"/>
    <s v="mn USD"/>
    <n v="2747469.2114532986"/>
  </r>
  <r>
    <x v="0"/>
    <x v="11"/>
    <s v="CDP"/>
    <s v="mn USD"/>
    <n v="2824376.9764862782"/>
  </r>
  <r>
    <x v="0"/>
    <x v="12"/>
    <s v="CDP"/>
    <s v="mn USD"/>
    <n v="2898928.5943436017"/>
  </r>
  <r>
    <x v="0"/>
    <x v="13"/>
    <s v="CDP"/>
    <s v="mn USD"/>
    <n v="2973609.9682075335"/>
  </r>
  <r>
    <x v="0"/>
    <x v="14"/>
    <s v="CDP"/>
    <s v="mn USD"/>
    <n v="3049807.4424175778"/>
  </r>
  <r>
    <x v="0"/>
    <x v="15"/>
    <s v="CDP"/>
    <s v="mn USD"/>
    <n v="3127164.0525832549"/>
  </r>
  <r>
    <x v="0"/>
    <x v="16"/>
    <s v="CDP"/>
    <s v="mn USD"/>
    <n v="3205915.8339353739"/>
  </r>
  <r>
    <x v="0"/>
    <x v="17"/>
    <s v="CDP"/>
    <s v="mn USD"/>
    <n v="3285856.9138803463"/>
  </r>
  <r>
    <x v="0"/>
    <x v="18"/>
    <s v="CDP"/>
    <s v="mn USD"/>
    <n v="3367905.8201941005"/>
  </r>
  <r>
    <x v="1"/>
    <x v="0"/>
    <s v="CDP"/>
    <s v="mn USD"/>
    <n v="380048.53866562591"/>
  </r>
  <r>
    <x v="1"/>
    <x v="1"/>
    <s v="CDP"/>
    <s v="mn USD"/>
    <n v="391674.25283228548"/>
  </r>
  <r>
    <x v="1"/>
    <x v="2"/>
    <s v="CDP"/>
    <s v="mn USD"/>
    <n v="394639.63322090515"/>
  </r>
  <r>
    <x v="1"/>
    <x v="3"/>
    <s v="CDP"/>
    <s v="mn USD"/>
    <n v="381235.42218366271"/>
  </r>
  <r>
    <x v="1"/>
    <x v="4"/>
    <s v="CDP"/>
    <s v="mn USD"/>
    <n v="388158.47904924204"/>
  </r>
  <r>
    <x v="1"/>
    <x v="5"/>
    <s v="CDP"/>
    <s v="mn USD"/>
    <n v="407736.86772479449"/>
  </r>
  <r>
    <x v="1"/>
    <x v="6"/>
    <s v="CDP"/>
    <s v="mn USD"/>
    <n v="393712.927657469"/>
  </r>
  <r>
    <x v="1"/>
    <x v="7"/>
    <s v="CDP"/>
    <s v="mn USD"/>
    <n v="387311.46577575"/>
  </r>
  <r>
    <x v="1"/>
    <x v="8"/>
    <s v="CDP"/>
    <s v="mn USD"/>
    <n v="383017.48008572182"/>
  </r>
  <r>
    <x v="1"/>
    <x v="9"/>
    <s v="CDP"/>
    <s v="mn USD"/>
    <n v="381280.16804919293"/>
  </r>
  <r>
    <x v="1"/>
    <x v="10"/>
    <s v="CDP"/>
    <s v="mn USD"/>
    <n v="384460.00510571321"/>
  </r>
  <r>
    <x v="1"/>
    <x v="11"/>
    <s v="CDP"/>
    <s v="mn USD"/>
    <n v="382710.33902351954"/>
  </r>
  <r>
    <x v="1"/>
    <x v="12"/>
    <s v="CDP"/>
    <s v="mn USD"/>
    <n v="382544.04185314092"/>
  </r>
  <r>
    <x v="1"/>
    <x v="13"/>
    <s v="CDP"/>
    <s v="mn USD"/>
    <n v="384009.32540102664"/>
  </r>
  <r>
    <x v="1"/>
    <x v="14"/>
    <s v="CDP"/>
    <s v="mn USD"/>
    <n v="383715.34923386667"/>
  </r>
  <r>
    <x v="1"/>
    <x v="15"/>
    <s v="CDP"/>
    <s v="mn USD"/>
    <n v="382139.4921516719"/>
  </r>
  <r>
    <x v="1"/>
    <x v="16"/>
    <s v="CDP"/>
    <s v="mn USD"/>
    <n v="378692.30104446533"/>
  </r>
  <r>
    <x v="1"/>
    <x v="17"/>
    <s v="CDP"/>
    <s v="mn USD"/>
    <n v="374607.93087439035"/>
  </r>
  <r>
    <x v="1"/>
    <x v="18"/>
    <s v="CDP"/>
    <s v="mn USD"/>
    <n v="375814.65922171006"/>
  </r>
  <r>
    <x v="2"/>
    <x v="0"/>
    <s v="CDP"/>
    <s v="mn USD"/>
    <n v="658274.53302526323"/>
  </r>
  <r>
    <x v="2"/>
    <x v="1"/>
    <s v="CDP"/>
    <s v="mn USD"/>
    <n v="689808.70716579491"/>
  </r>
  <r>
    <x v="2"/>
    <x v="2"/>
    <s v="CDP"/>
    <s v="mn USD"/>
    <n v="722918.94963520684"/>
  </r>
  <r>
    <x v="2"/>
    <x v="3"/>
    <s v="CDP"/>
    <s v="mn USD"/>
    <n v="766239.81404323876"/>
  </r>
  <r>
    <x v="2"/>
    <x v="4"/>
    <s v="CDP"/>
    <s v="mn USD"/>
    <n v="807510.50307132886"/>
  </r>
  <r>
    <x v="2"/>
    <x v="5"/>
    <s v="CDP"/>
    <s v="mn USD"/>
    <n v="831738.5025018045"/>
  </r>
  <r>
    <x v="2"/>
    <x v="6"/>
    <s v="CDP"/>
    <s v="mn USD"/>
    <n v="821426.20255405665"/>
  </r>
  <r>
    <x v="2"/>
    <x v="7"/>
    <s v="CDP"/>
    <s v="mn USD"/>
    <n v="869897.40099999995"/>
  </r>
  <r>
    <x v="2"/>
    <x v="8"/>
    <s v="CDP"/>
    <s v="mn USD"/>
    <n v="889193.17385539447"/>
  </r>
  <r>
    <x v="2"/>
    <x v="9"/>
    <s v="CDP"/>
    <s v="mn USD"/>
    <n v="908105.8672110287"/>
  </r>
  <r>
    <x v="2"/>
    <x v="10"/>
    <s v="CDP"/>
    <s v="mn USD"/>
    <n v="949131.73355387116"/>
  </r>
  <r>
    <x v="2"/>
    <x v="11"/>
    <s v="CDP"/>
    <s v="mn USD"/>
    <n v="985353.46459168708"/>
  </r>
  <r>
    <x v="2"/>
    <x v="12"/>
    <s v="CDP"/>
    <s v="mn USD"/>
    <n v="1017422.4048127327"/>
  </r>
  <r>
    <x v="2"/>
    <x v="13"/>
    <s v="CDP"/>
    <s v="mn USD"/>
    <n v="1047199.6846555453"/>
  </r>
  <r>
    <x v="2"/>
    <x v="14"/>
    <s v="CDP"/>
    <s v="mn USD"/>
    <n v="1078595.0659925051"/>
  </r>
  <r>
    <x v="2"/>
    <x v="15"/>
    <s v="CDP"/>
    <s v="mn USD"/>
    <n v="1111120.2749715559"/>
  </r>
  <r>
    <x v="2"/>
    <x v="16"/>
    <s v="CDP"/>
    <s v="mn USD"/>
    <n v="1142740.1369228584"/>
  </r>
  <r>
    <x v="2"/>
    <x v="17"/>
    <s v="CDP"/>
    <s v="mn USD"/>
    <n v="1173978.230189912"/>
  </r>
  <r>
    <x v="2"/>
    <x v="18"/>
    <s v="CDP"/>
    <s v="mn USD"/>
    <n v="1205434.848719344"/>
  </r>
  <r>
    <x v="3"/>
    <x v="0"/>
    <s v="CDP"/>
    <s v="mn USD"/>
    <n v="701911.69747473742"/>
  </r>
  <r>
    <x v="3"/>
    <x v="1"/>
    <s v="CDP"/>
    <s v="mn USD"/>
    <n v="720141.96866704139"/>
  </r>
  <r>
    <x v="3"/>
    <x v="2"/>
    <s v="CDP"/>
    <s v="mn USD"/>
    <n v="743995.27098694805"/>
  </r>
  <r>
    <x v="3"/>
    <x v="3"/>
    <s v="CDP"/>
    <s v="mn USD"/>
    <n v="758745.14457276091"/>
  </r>
  <r>
    <x v="3"/>
    <x v="4"/>
    <s v="CDP"/>
    <s v="mn USD"/>
    <n v="790716.84099424898"/>
  </r>
  <r>
    <x v="3"/>
    <x v="5"/>
    <s v="CDP"/>
    <s v="mn USD"/>
    <n v="819738.36532724393"/>
  </r>
  <r>
    <x v="3"/>
    <x v="6"/>
    <s v="CDP"/>
    <s v="mn USD"/>
    <n v="814985.83673724416"/>
  </r>
  <r>
    <x v="3"/>
    <x v="7"/>
    <s v="CDP"/>
    <s v="mn USD"/>
    <n v="874859.29400000011"/>
  </r>
  <r>
    <x v="3"/>
    <x v="8"/>
    <s v="CDP"/>
    <s v="mn USD"/>
    <n v="879048.65144304966"/>
  </r>
  <r>
    <x v="3"/>
    <x v="9"/>
    <s v="CDP"/>
    <s v="mn USD"/>
    <n v="914431.6126637531"/>
  </r>
  <r>
    <x v="3"/>
    <x v="10"/>
    <s v="CDP"/>
    <s v="mn USD"/>
    <n v="953398.72503268928"/>
  </r>
  <r>
    <x v="3"/>
    <x v="11"/>
    <s v="CDP"/>
    <s v="mn USD"/>
    <n v="990651.6522927417"/>
  </r>
  <r>
    <x v="3"/>
    <x v="12"/>
    <s v="CDP"/>
    <s v="mn USD"/>
    <n v="1027964.9123054704"/>
  </r>
  <r>
    <x v="3"/>
    <x v="13"/>
    <s v="CDP"/>
    <s v="mn USD"/>
    <n v="1072044.2394371158"/>
  </r>
  <r>
    <x v="3"/>
    <x v="14"/>
    <s v="CDP"/>
    <s v="mn USD"/>
    <n v="1119974.7455428315"/>
  </r>
  <r>
    <x v="3"/>
    <x v="15"/>
    <s v="CDP"/>
    <s v="mn USD"/>
    <n v="1168172.7961700931"/>
  </r>
  <r>
    <x v="3"/>
    <x v="16"/>
    <s v="CDP"/>
    <s v="mn USD"/>
    <n v="1218055.7272334341"/>
  </r>
  <r>
    <x v="3"/>
    <x v="17"/>
    <s v="CDP"/>
    <s v="mn USD"/>
    <n v="1269381.1828453972"/>
  </r>
  <r>
    <x v="3"/>
    <x v="18"/>
    <s v="CDP"/>
    <s v="mn USD"/>
    <n v="1319930.6375584111"/>
  </r>
  <r>
    <x v="4"/>
    <x v="0"/>
    <s v="CDP"/>
    <s v="mn USD"/>
    <n v="541984.72796708508"/>
  </r>
  <r>
    <x v="4"/>
    <x v="1"/>
    <s v="CDP"/>
    <s v="mn USD"/>
    <n v="571188.77672527148"/>
  </r>
  <r>
    <x v="4"/>
    <x v="2"/>
    <s v="CDP"/>
    <s v="mn USD"/>
    <n v="603941.09917692223"/>
  </r>
  <r>
    <x v="4"/>
    <x v="3"/>
    <s v="CDP"/>
    <s v="mn USD"/>
    <n v="665276.09077746829"/>
  </r>
  <r>
    <x v="4"/>
    <x v="4"/>
    <s v="CDP"/>
    <s v="mn USD"/>
    <n v="729824.7001797969"/>
  </r>
  <r>
    <x v="4"/>
    <x v="5"/>
    <s v="CDP"/>
    <s v="mn USD"/>
    <n v="769849.72529347462"/>
  </r>
  <r>
    <x v="4"/>
    <x v="6"/>
    <s v="CDP"/>
    <s v="mn USD"/>
    <n v="823571.81309801491"/>
  </r>
  <r>
    <x v="4"/>
    <x v="7"/>
    <s v="CDP"/>
    <s v="mn USD"/>
    <n v="937674.17800000007"/>
  </r>
  <r>
    <x v="4"/>
    <x v="8"/>
    <s v="CDP"/>
    <s v="mn USD"/>
    <n v="985647.6284598012"/>
  </r>
  <r>
    <x v="4"/>
    <x v="9"/>
    <s v="CDP"/>
    <s v="mn USD"/>
    <n v="988867.40290018206"/>
  </r>
  <r>
    <x v="4"/>
    <x v="10"/>
    <s v="CDP"/>
    <s v="mn USD"/>
    <n v="1093829.1264144757"/>
  </r>
  <r>
    <x v="4"/>
    <x v="11"/>
    <s v="CDP"/>
    <s v="mn USD"/>
    <n v="1151861.1776350122"/>
  </r>
  <r>
    <x v="4"/>
    <x v="12"/>
    <s v="CDP"/>
    <s v="mn USD"/>
    <n v="1210647.7365457446"/>
  </r>
  <r>
    <x v="4"/>
    <x v="13"/>
    <s v="CDP"/>
    <s v="mn USD"/>
    <n v="1272792.0935690321"/>
  </r>
  <r>
    <x v="4"/>
    <x v="14"/>
    <s v="CDP"/>
    <s v="mn USD"/>
    <n v="1338398.1072615632"/>
  </r>
  <r>
    <x v="4"/>
    <x v="15"/>
    <s v="CDP"/>
    <s v="mn USD"/>
    <n v="1406330.8947332879"/>
  </r>
  <r>
    <x v="4"/>
    <x v="16"/>
    <s v="CDP"/>
    <s v="mn USD"/>
    <n v="1475405.372583468"/>
  </r>
  <r>
    <x v="4"/>
    <x v="17"/>
    <s v="CDP"/>
    <s v="mn USD"/>
    <n v="1546304.4341546427"/>
  </r>
  <r>
    <x v="4"/>
    <x v="18"/>
    <s v="CDP"/>
    <s v="mn USD"/>
    <n v="1619052.8518912625"/>
  </r>
  <r>
    <x v="5"/>
    <x v="0"/>
    <s v="S&amp;P"/>
    <s v="units"/>
    <s v="N/A"/>
  </r>
  <r>
    <x v="5"/>
    <x v="1"/>
    <s v="S&amp;P"/>
    <s v="units"/>
    <s v="N/A"/>
  </r>
  <r>
    <x v="5"/>
    <x v="2"/>
    <s v="S&amp;P"/>
    <s v="units"/>
    <s v="N/A"/>
  </r>
  <r>
    <x v="5"/>
    <x v="3"/>
    <s v="S&amp;P"/>
    <s v="units"/>
    <s v="N/A"/>
  </r>
  <r>
    <x v="5"/>
    <x v="4"/>
    <s v="S&amp;P"/>
    <s v="units"/>
    <s v="N/A"/>
  </r>
  <r>
    <x v="5"/>
    <x v="5"/>
    <s v="S&amp;P"/>
    <s v="units"/>
    <s v="N/A"/>
  </r>
  <r>
    <x v="5"/>
    <x v="6"/>
    <s v="S&amp;P"/>
    <s v="units"/>
    <n v="40975578"/>
  </r>
  <r>
    <x v="5"/>
    <x v="7"/>
    <s v="S&amp;P"/>
    <s v="units"/>
    <n v="43597702"/>
  </r>
  <r>
    <x v="5"/>
    <x v="8"/>
    <s v="S&amp;P"/>
    <s v="units"/>
    <n v="47155228"/>
  </r>
  <r>
    <x v="5"/>
    <x v="9"/>
    <s v="S&amp;P"/>
    <s v="units"/>
    <n v="51622792"/>
  </r>
  <r>
    <x v="5"/>
    <x v="10"/>
    <s v="S&amp;P"/>
    <s v="units"/>
    <n v="51653821"/>
  </r>
  <r>
    <x v="5"/>
    <x v="11"/>
    <s v="S&amp;P"/>
    <s v="units"/>
    <n v="52539419"/>
  </r>
  <r>
    <x v="5"/>
    <x v="12"/>
    <s v="S&amp;P"/>
    <s v="units"/>
    <n v="53292737"/>
  </r>
  <r>
    <x v="5"/>
    <x v="13"/>
    <s v="S&amp;P"/>
    <s v="units"/>
    <n v="54393919"/>
  </r>
  <r>
    <x v="5"/>
    <x v="14"/>
    <s v="S&amp;P"/>
    <s v="units"/>
    <n v="54620819"/>
  </r>
  <r>
    <x v="5"/>
    <x v="15"/>
    <s v="S&amp;P"/>
    <s v="units"/>
    <n v="55337424"/>
  </r>
  <r>
    <x v="5"/>
    <x v="16"/>
    <s v="S&amp;P"/>
    <s v="units"/>
    <n v="56054027"/>
  </r>
  <r>
    <x v="5"/>
    <x v="17"/>
    <s v="S&amp;P"/>
    <s v="units"/>
    <n v="57056158"/>
  </r>
  <r>
    <x v="5"/>
    <x v="18"/>
    <s v="S&amp;P"/>
    <s v="units"/>
    <n v="57886710"/>
  </r>
  <r>
    <x v="6"/>
    <x v="0"/>
    <s v="CDP"/>
    <s v="mn USD"/>
    <n v="683355.62986038742"/>
  </r>
  <r>
    <x v="6"/>
    <x v="1"/>
    <s v="CDP"/>
    <s v="mn USD"/>
    <n v="694993.86170964071"/>
  </r>
  <r>
    <x v="6"/>
    <x v="2"/>
    <s v="CDP"/>
    <s v="mn USD"/>
    <n v="741953.2574761943"/>
  </r>
  <r>
    <x v="6"/>
    <x v="3"/>
    <s v="CDP"/>
    <s v="mn USD"/>
    <n v="762796.10968758608"/>
  </r>
  <r>
    <x v="6"/>
    <x v="4"/>
    <s v="CDP"/>
    <s v="mn USD"/>
    <n v="756662.26977057185"/>
  </r>
  <r>
    <x v="6"/>
    <x v="5"/>
    <s v="CDP"/>
    <s v="mn USD"/>
    <n v="730886.93185971922"/>
  </r>
  <r>
    <x v="6"/>
    <x v="6"/>
    <s v="CDP"/>
    <s v="mn USD"/>
    <n v="667277.88541088544"/>
  </r>
  <r>
    <x v="6"/>
    <x v="7"/>
    <s v="CDP"/>
    <s v="mn USD"/>
    <n v="710434.51909469999"/>
  </r>
  <r>
    <x v="6"/>
    <x v="8"/>
    <s v="CDP"/>
    <s v="mn USD"/>
    <n v="747027.82508485019"/>
  </r>
  <r>
    <x v="6"/>
    <x v="9"/>
    <s v="CDP"/>
    <s v="mn USD"/>
    <n v="816808.79762235726"/>
  </r>
  <r>
    <x v="6"/>
    <x v="10"/>
    <s v="CDP"/>
    <s v="mn USD"/>
    <n v="827180.80167273257"/>
  </r>
  <r>
    <x v="6"/>
    <x v="11"/>
    <s v="CDP"/>
    <s v="mn USD"/>
    <n v="842486.10336680664"/>
  </r>
  <r>
    <x v="6"/>
    <x v="12"/>
    <s v="CDP"/>
    <s v="mn USD"/>
    <n v="858738.16386467963"/>
  </r>
  <r>
    <x v="6"/>
    <x v="13"/>
    <s v="CDP"/>
    <s v="mn USD"/>
    <n v="882398.45130926953"/>
  </r>
  <r>
    <x v="6"/>
    <x v="14"/>
    <s v="CDP"/>
    <s v="mn USD"/>
    <n v="892041.72834053531"/>
  </r>
  <r>
    <x v="6"/>
    <x v="15"/>
    <s v="CDP"/>
    <s v="mn USD"/>
    <n v="907399.47729847324"/>
  </r>
  <r>
    <x v="6"/>
    <x v="16"/>
    <s v="CDP"/>
    <s v="mn USD"/>
    <n v="921657.27822662925"/>
  </r>
  <r>
    <x v="6"/>
    <x v="17"/>
    <s v="CDP"/>
    <s v="mn USD"/>
    <n v="940694.44479148858"/>
  </r>
  <r>
    <x v="6"/>
    <x v="18"/>
    <s v="CDP"/>
    <s v="mn USD"/>
    <n v="959255.74249926559"/>
  </r>
  <r>
    <x v="7"/>
    <x v="0"/>
    <s v="CDP"/>
    <s v="mn USD"/>
    <n v="42050.906588215003"/>
  </r>
  <r>
    <x v="7"/>
    <x v="1"/>
    <s v="CDP"/>
    <s v="mn USD"/>
    <n v="44111.780300222541"/>
  </r>
  <r>
    <x v="7"/>
    <x v="2"/>
    <s v="CDP"/>
    <s v="mn USD"/>
    <n v="46420.701662578394"/>
  </r>
  <r>
    <x v="7"/>
    <x v="3"/>
    <s v="CDP"/>
    <s v="mn USD"/>
    <n v="49469.57275245701"/>
  </r>
  <r>
    <x v="7"/>
    <x v="4"/>
    <s v="CDP"/>
    <s v="mn USD"/>
    <n v="51479.91710742547"/>
  </r>
  <r>
    <x v="7"/>
    <x v="5"/>
    <s v="CDP"/>
    <s v="mn USD"/>
    <n v="52813.741775301038"/>
  </r>
  <r>
    <x v="7"/>
    <x v="6"/>
    <s v="CDP"/>
    <s v="mn USD"/>
    <n v="50442.651944753401"/>
  </r>
  <r>
    <x v="7"/>
    <x v="7"/>
    <s v="CDP"/>
    <s v="mn USD"/>
    <n v="55034.405999999995"/>
  </r>
  <r>
    <x v="7"/>
    <x v="8"/>
    <s v="CDP"/>
    <s v="mn USD"/>
    <n v="52525.924627890534"/>
  </r>
  <r>
    <x v="7"/>
    <x v="9"/>
    <s v="CDP"/>
    <s v="mn USD"/>
    <n v="49611.855905827848"/>
  </r>
  <r>
    <x v="7"/>
    <x v="10"/>
    <s v="CDP"/>
    <s v="mn USD"/>
    <n v="51261.286177829003"/>
  </r>
  <r>
    <x v="7"/>
    <x v="11"/>
    <s v="CDP"/>
    <s v="mn USD"/>
    <n v="52189.600575852557"/>
  </r>
  <r>
    <x v="7"/>
    <x v="12"/>
    <s v="CDP"/>
    <s v="mn USD"/>
    <n v="53113.534848133946"/>
  </r>
  <r>
    <x v="7"/>
    <x v="13"/>
    <s v="CDP"/>
    <s v="mn USD"/>
    <n v="54059.708029955596"/>
  </r>
  <r>
    <x v="7"/>
    <x v="14"/>
    <s v="CDP"/>
    <s v="mn USD"/>
    <n v="55125.679030860032"/>
  </r>
  <r>
    <x v="7"/>
    <x v="15"/>
    <s v="CDP"/>
    <s v="mn USD"/>
    <n v="56254.93192363136"/>
  </r>
  <r>
    <x v="7"/>
    <x v="16"/>
    <s v="CDP"/>
    <s v="mn USD"/>
    <n v="57347.63350540321"/>
  </r>
  <r>
    <x v="7"/>
    <x v="17"/>
    <s v="CDP"/>
    <s v="mn USD"/>
    <n v="58597.95340614477"/>
  </r>
  <r>
    <x v="7"/>
    <x v="18"/>
    <s v="CDP"/>
    <s v="mn USD"/>
    <n v="59959.011492764446"/>
  </r>
  <r>
    <x v="8"/>
    <x v="0"/>
    <s v="CDP"/>
    <s v="bn USD"/>
    <n v="5319.836457699379"/>
  </r>
  <r>
    <x v="8"/>
    <x v="1"/>
    <s v="CDP"/>
    <s v="bn USD"/>
    <n v="5592.5721435003525"/>
  </r>
  <r>
    <x v="8"/>
    <x v="2"/>
    <s v="CDP"/>
    <s v="bn USD"/>
    <n v="5921.5187592072552"/>
  </r>
  <r>
    <x v="8"/>
    <x v="3"/>
    <s v="CDP"/>
    <s v="bn USD"/>
    <n v="6166.4465829625833"/>
  </r>
  <r>
    <x v="8"/>
    <x v="4"/>
    <s v="CDP"/>
    <s v="bn USD"/>
    <n v="6423.2783904301568"/>
  </r>
  <r>
    <x v="8"/>
    <x v="5"/>
    <s v="CDP"/>
    <s v="bn USD"/>
    <n v="6654.4812821573196"/>
  </r>
  <r>
    <x v="8"/>
    <x v="6"/>
    <s v="CDP"/>
    <s v="bn USD"/>
    <n v="6788.0581727187691"/>
  </r>
  <r>
    <x v="8"/>
    <x v="7"/>
    <s v="CDP"/>
    <s v="bn USD"/>
    <n v="6847.5339069797856"/>
  </r>
  <r>
    <x v="8"/>
    <x v="8"/>
    <s v="CDP"/>
    <s v="bn USD"/>
    <n v="7095.3349347478843"/>
  </r>
  <r>
    <x v="8"/>
    <x v="9"/>
    <s v="CDP"/>
    <s v="bn USD"/>
    <n v="7319.2101947827332"/>
  </r>
  <r>
    <x v="8"/>
    <x v="10"/>
    <s v="CDP"/>
    <s v="bn USD"/>
    <n v="7434.2869313568717"/>
  </r>
  <r>
    <x v="8"/>
    <x v="11"/>
    <s v="CDP"/>
    <s v="bn USD"/>
    <n v="7625.7826860429295"/>
  </r>
  <r>
    <x v="8"/>
    <x v="12"/>
    <s v="CDP"/>
    <s v="bn USD"/>
    <n v="7895.5227199228266"/>
  </r>
  <r>
    <x v="8"/>
    <x v="13"/>
    <s v="CDP"/>
    <s v="bn USD"/>
    <n v="8194.4994675390808"/>
  </r>
  <r>
    <x v="8"/>
    <x v="14"/>
    <s v="CDP"/>
    <s v="bn USD"/>
    <n v="8500.326473000172"/>
  </r>
  <r>
    <x v="8"/>
    <x v="15"/>
    <s v="CDP"/>
    <s v="bn USD"/>
    <n v="8807.5922585775734"/>
  </r>
  <r>
    <x v="8"/>
    <x v="16"/>
    <s v="CDP"/>
    <s v="bn USD"/>
    <n v="9125.1141756814213"/>
  </r>
  <r>
    <x v="8"/>
    <x v="17"/>
    <s v="CDP"/>
    <s v="bn USD"/>
    <n v="9450.3946335854598"/>
  </r>
  <r>
    <x v="8"/>
    <x v="18"/>
    <s v="CDP"/>
    <s v="bn USD"/>
    <n v="9786.8946394579434"/>
  </r>
  <r>
    <x v="9"/>
    <x v="0"/>
    <s v="CDP"/>
    <s v="mn USD"/>
    <n v="9257156.7974565793"/>
  </r>
  <r>
    <x v="9"/>
    <x v="1"/>
    <s v="CDP"/>
    <s v="mn USD"/>
    <n v="9657184.9476442523"/>
  </r>
  <r>
    <x v="9"/>
    <x v="2"/>
    <s v="CDP"/>
    <s v="mn USD"/>
    <n v="10328581.837276584"/>
  </r>
  <r>
    <x v="9"/>
    <x v="3"/>
    <s v="CDP"/>
    <s v="mn USD"/>
    <n v="10841479.023073979"/>
  </r>
  <r>
    <x v="9"/>
    <x v="4"/>
    <s v="CDP"/>
    <s v="mn USD"/>
    <n v="11412188.344317725"/>
  </r>
  <r>
    <x v="9"/>
    <x v="5"/>
    <s v="CDP"/>
    <s v="mn USD"/>
    <n v="11814574.240564663"/>
  </r>
  <r>
    <x v="9"/>
    <x v="6"/>
    <s v="CDP"/>
    <s v="mn USD"/>
    <n v="11826911.727147415"/>
  </r>
  <r>
    <x v="9"/>
    <x v="7"/>
    <s v="CDP"/>
    <s v="mn USD"/>
    <n v="12699596.940468905"/>
  </r>
  <r>
    <x v="9"/>
    <x v="8"/>
    <s v="CDP"/>
    <s v="mn USD"/>
    <n v="13145096.424577188"/>
  </r>
  <r>
    <x v="9"/>
    <x v="9"/>
    <s v="CDP"/>
    <s v="mn USD"/>
    <n v="13515505.724316899"/>
  </r>
  <r>
    <x v="9"/>
    <x v="10"/>
    <s v="CDP"/>
    <s v="mn USD"/>
    <n v="14065179.292174175"/>
  </r>
  <r>
    <x v="9"/>
    <x v="11"/>
    <s v="CDP"/>
    <s v="mn USD"/>
    <n v="14564840.902515035"/>
  </r>
  <r>
    <x v="9"/>
    <x v="12"/>
    <s v="CDP"/>
    <s v="mn USD"/>
    <n v="15130673.904073559"/>
  </r>
  <r>
    <x v="9"/>
    <x v="13"/>
    <s v="CDP"/>
    <s v="mn USD"/>
    <n v="15731530.665519167"/>
  </r>
  <r>
    <x v="9"/>
    <x v="14"/>
    <s v="CDP"/>
    <s v="mn USD"/>
    <n v="16352598.882006496"/>
  </r>
  <r>
    <x v="9"/>
    <x v="15"/>
    <s v="CDP"/>
    <s v="mn USD"/>
    <n v="16977354.920683581"/>
  </r>
  <r>
    <x v="9"/>
    <x v="16"/>
    <s v="CDP"/>
    <s v="mn USD"/>
    <n v="17612422.791046124"/>
  </r>
  <r>
    <x v="9"/>
    <x v="17"/>
    <s v="CDP"/>
    <s v="mn USD"/>
    <n v="18294617.454542037"/>
  </r>
  <r>
    <x v="9"/>
    <x v="18"/>
    <s v="CDP"/>
    <s v="mn USD"/>
    <n v="18993320.335390035"/>
  </r>
  <r>
    <x v="10"/>
    <x v="0"/>
    <s v="WorldSteel"/>
    <s v="mn tonnes"/>
    <s v="N/A"/>
  </r>
  <r>
    <x v="10"/>
    <x v="1"/>
    <s v="WorldSteel"/>
    <s v="mn tonnes"/>
    <s v="N/A"/>
  </r>
  <r>
    <x v="10"/>
    <x v="2"/>
    <s v="WorldSteel"/>
    <s v="mn tonnes"/>
    <s v="N/A"/>
  </r>
  <r>
    <x v="10"/>
    <x v="3"/>
    <s v="WorldSteel"/>
    <s v="mn tonnes"/>
    <s v="N/A"/>
  </r>
  <r>
    <x v="10"/>
    <x v="4"/>
    <s v="WorldSteel"/>
    <s v="mn tonnes"/>
    <s v="N/A"/>
  </r>
  <r>
    <x v="10"/>
    <x v="5"/>
    <s v="WorldSteel"/>
    <s v="mn tonnes"/>
    <s v="N/A"/>
  </r>
  <r>
    <x v="10"/>
    <x v="6"/>
    <s v="WorldSteel"/>
    <s v="mn tonnes"/>
    <s v="N/A"/>
  </r>
  <r>
    <x v="10"/>
    <x v="7"/>
    <s v="WorldSteel"/>
    <s v="mn tonnes"/>
    <s v="N/A"/>
  </r>
  <r>
    <x v="10"/>
    <x v="8"/>
    <s v="WorldSteel"/>
    <s v="mn tonnes"/>
    <s v="N/A"/>
  </r>
  <r>
    <x v="10"/>
    <x v="9"/>
    <s v="WorldSteel"/>
    <s v="mn tonnes"/>
    <n v="1411.9"/>
  </r>
  <r>
    <x v="10"/>
    <x v="10"/>
    <s v="WorldSteel"/>
    <s v="mn tonnes"/>
    <n v="1394.9"/>
  </r>
  <r>
    <x v="10"/>
    <x v="11"/>
    <s v="WorldSteel"/>
    <s v="mn tonnes"/>
    <s v="N/A"/>
  </r>
  <r>
    <x v="10"/>
    <x v="12"/>
    <s v="WorldSteel"/>
    <s v="mn tonnes"/>
    <s v="N/A"/>
  </r>
  <r>
    <x v="10"/>
    <x v="13"/>
    <s v="WorldSteel"/>
    <s v="mn tonnes"/>
    <s v="N/A"/>
  </r>
  <r>
    <x v="10"/>
    <x v="14"/>
    <s v="WorldSteel"/>
    <s v="mn tonnes"/>
    <s v="N/A"/>
  </r>
  <r>
    <x v="10"/>
    <x v="15"/>
    <s v="WorldSteel"/>
    <s v="mn tonnes"/>
    <s v="N/A"/>
  </r>
  <r>
    <x v="10"/>
    <x v="16"/>
    <s v="WorldSteel"/>
    <s v="mn tonnes"/>
    <s v="N/A"/>
  </r>
  <r>
    <x v="10"/>
    <x v="17"/>
    <s v="WorldSteel"/>
    <s v="mn tonnes"/>
    <s v="N/A"/>
  </r>
  <r>
    <x v="10"/>
    <x v="18"/>
    <s v="WorldSteel"/>
    <s v="mn tonnes"/>
    <s v="N/A"/>
  </r>
  <r>
    <x v="11"/>
    <x v="0"/>
    <s v="Revenue"/>
    <s v="mn Euro"/>
    <s v="N/A"/>
  </r>
  <r>
    <x v="11"/>
    <x v="1"/>
    <s v="Revenue"/>
    <s v="mn Euro"/>
    <s v="N/A"/>
  </r>
  <r>
    <x v="11"/>
    <x v="2"/>
    <s v="Revenue"/>
    <s v="mn Euro"/>
    <s v="N/A"/>
  </r>
  <r>
    <x v="11"/>
    <x v="3"/>
    <s v="Revenue"/>
    <s v="mn Euro"/>
    <s v="N/A"/>
  </r>
  <r>
    <x v="11"/>
    <x v="4"/>
    <s v="Revenue"/>
    <s v="mn Euro"/>
    <s v="N/A"/>
  </r>
  <r>
    <x v="11"/>
    <x v="5"/>
    <s v="Revenue"/>
    <s v="mn Euro"/>
    <s v="N/A"/>
  </r>
  <r>
    <x v="11"/>
    <x v="6"/>
    <s v="Revenue"/>
    <s v="mn Euro"/>
    <s v="N/A"/>
  </r>
  <r>
    <x v="11"/>
    <x v="7"/>
    <s v="Revenue"/>
    <s v="mn Euro"/>
    <s v="N/A"/>
  </r>
  <r>
    <x v="11"/>
    <x v="8"/>
    <s v="Revenue"/>
    <s v="mn Euro"/>
    <s v="N/A"/>
  </r>
  <r>
    <x v="11"/>
    <x v="9"/>
    <s v="Revenue"/>
    <s v="mn Euro"/>
    <n v="65446"/>
  </r>
  <r>
    <x v="11"/>
    <x v="10"/>
    <s v="Revenue"/>
    <s v="mn Euro"/>
    <n v="69230"/>
  </r>
  <r>
    <x v="11"/>
    <x v="11"/>
    <s v="Revenue"/>
    <s v="mn Euro"/>
    <s v="N/A"/>
  </r>
  <r>
    <x v="11"/>
    <x v="12"/>
    <s v="Revenue"/>
    <s v="mn Euro"/>
    <s v="N/A"/>
  </r>
  <r>
    <x v="11"/>
    <x v="13"/>
    <s v="Revenue"/>
    <s v="mn Euro"/>
    <s v="N/A"/>
  </r>
  <r>
    <x v="11"/>
    <x v="14"/>
    <s v="Revenue"/>
    <s v="mn Euro"/>
    <s v="N/A"/>
  </r>
  <r>
    <x v="11"/>
    <x v="15"/>
    <s v="Revenue"/>
    <s v="mn Euro"/>
    <s v="N/A"/>
  </r>
  <r>
    <x v="11"/>
    <x v="16"/>
    <s v="Revenue"/>
    <s v="mn Euro"/>
    <s v="N/A"/>
  </r>
  <r>
    <x v="11"/>
    <x v="17"/>
    <s v="Revenue"/>
    <s v="mn Euro"/>
    <s v="N/A"/>
  </r>
  <r>
    <x v="11"/>
    <x v="18"/>
    <s v="Revenue"/>
    <s v="mn Euro"/>
    <s v="N/A"/>
  </r>
  <r>
    <x v="12"/>
    <x v="0"/>
    <s v="Revenue"/>
    <s v="mn USD"/>
    <s v="N/A"/>
  </r>
  <r>
    <x v="12"/>
    <x v="1"/>
    <s v="Revenue"/>
    <s v="mn USD"/>
    <s v="N/A"/>
  </r>
  <r>
    <x v="12"/>
    <x v="2"/>
    <s v="Revenue"/>
    <s v="mn USD"/>
    <s v="N/A"/>
  </r>
  <r>
    <x v="12"/>
    <x v="3"/>
    <s v="Revenue"/>
    <s v="mn USD"/>
    <s v="N/A"/>
  </r>
  <r>
    <x v="12"/>
    <x v="4"/>
    <s v="Revenue"/>
    <s v="mn USD"/>
    <s v="N/A"/>
  </r>
  <r>
    <x v="12"/>
    <x v="5"/>
    <s v="Revenue"/>
    <s v="mn USD"/>
    <s v="N/A"/>
  </r>
  <r>
    <x v="12"/>
    <x v="6"/>
    <s v="Revenue"/>
    <s v="mn USD"/>
    <n v="58158"/>
  </r>
  <r>
    <x v="12"/>
    <x v="7"/>
    <s v="Revenue"/>
    <s v="mn USD"/>
    <n v="62286"/>
  </r>
  <r>
    <x v="12"/>
    <x v="8"/>
    <s v="Revenue"/>
    <s v="mn USD"/>
    <n v="66608"/>
  </r>
  <r>
    <x v="12"/>
    <x v="9"/>
    <s v="Revenue"/>
    <s v="mn USD"/>
    <n v="77794"/>
  </r>
  <r>
    <x v="12"/>
    <x v="10"/>
    <s v="Revenue"/>
    <s v="mn USD"/>
    <n v="66517"/>
  </r>
  <r>
    <x v="12"/>
    <x v="11"/>
    <s v="Revenue"/>
    <s v="mn USD"/>
    <s v="N/A"/>
  </r>
  <r>
    <x v="12"/>
    <x v="12"/>
    <s v="Revenue"/>
    <s v="mn USD"/>
    <s v="N/A"/>
  </r>
  <r>
    <x v="12"/>
    <x v="13"/>
    <s v="Revenue"/>
    <s v="mn USD"/>
    <s v="N/A"/>
  </r>
  <r>
    <x v="12"/>
    <x v="14"/>
    <s v="Revenue"/>
    <s v="mn USD"/>
    <s v="N/A"/>
  </r>
  <r>
    <x v="12"/>
    <x v="15"/>
    <s v="Revenue"/>
    <s v="mn USD"/>
    <s v="N/A"/>
  </r>
  <r>
    <x v="12"/>
    <x v="16"/>
    <s v="Revenue"/>
    <s v="mn USD"/>
    <s v="N/A"/>
  </r>
  <r>
    <x v="12"/>
    <x v="17"/>
    <s v="Revenue"/>
    <s v="mn USD"/>
    <s v="N/A"/>
  </r>
  <r>
    <x v="12"/>
    <x v="18"/>
    <s v="Revenue"/>
    <s v="mn USD"/>
    <s v="N/A"/>
  </r>
  <r>
    <x v="13"/>
    <x v="0"/>
    <s v="CDP"/>
    <s v="mn USD"/>
    <n v="342107.71916253841"/>
  </r>
  <r>
    <x v="13"/>
    <x v="1"/>
    <s v="CDP"/>
    <s v="mn USD"/>
    <n v="358552.41150796344"/>
  </r>
  <r>
    <x v="13"/>
    <x v="2"/>
    <s v="CDP"/>
    <s v="mn USD"/>
    <n v="379331.34470816527"/>
  </r>
  <r>
    <x v="13"/>
    <x v="3"/>
    <s v="CDP"/>
    <s v="mn USD"/>
    <n v="411597.73591312271"/>
  </r>
  <r>
    <x v="13"/>
    <x v="4"/>
    <s v="CDP"/>
    <s v="mn USD"/>
    <n v="434236.00452531391"/>
  </r>
  <r>
    <x v="13"/>
    <x v="5"/>
    <s v="CDP"/>
    <s v="mn USD"/>
    <n v="463602.67033544532"/>
  </r>
  <r>
    <x v="13"/>
    <x v="6"/>
    <s v="CDP"/>
    <s v="mn USD"/>
    <n v="486220.68097612407"/>
  </r>
  <r>
    <x v="13"/>
    <x v="7"/>
    <s v="CDP"/>
    <s v="mn USD"/>
    <n v="557979.07700000005"/>
  </r>
  <r>
    <x v="13"/>
    <x v="8"/>
    <s v="CDP"/>
    <s v="mn USD"/>
    <n v="610144.50858409493"/>
  </r>
  <r>
    <x v="13"/>
    <x v="9"/>
    <s v="CDP"/>
    <s v="mn USD"/>
    <n v="670492.80283723527"/>
  </r>
  <r>
    <x v="13"/>
    <x v="10"/>
    <s v="CDP"/>
    <s v="mn USD"/>
    <n v="697769.48107759689"/>
  </r>
  <r>
    <x v="13"/>
    <x v="11"/>
    <s v="CDP"/>
    <s v="mn USD"/>
    <n v="731056.21604142734"/>
  </r>
  <r>
    <x v="13"/>
    <x v="12"/>
    <s v="CDP"/>
    <s v="mn USD"/>
    <n v="768912.30595588649"/>
  </r>
  <r>
    <x v="13"/>
    <x v="13"/>
    <s v="CDP"/>
    <s v="mn USD"/>
    <n v="809438.85414581886"/>
  </r>
  <r>
    <x v="13"/>
    <x v="14"/>
    <s v="CDP"/>
    <s v="mn USD"/>
    <n v="852124.2415253158"/>
  </r>
  <r>
    <x v="13"/>
    <x v="15"/>
    <s v="CDP"/>
    <s v="mn USD"/>
    <n v="896362.12647953164"/>
  </r>
  <r>
    <x v="13"/>
    <x v="16"/>
    <s v="CDP"/>
    <s v="mn USD"/>
    <n v="942852.7030861316"/>
  </r>
  <r>
    <x v="13"/>
    <x v="17"/>
    <s v="CDP"/>
    <s v="mn USD"/>
    <n v="991839.83425363002"/>
  </r>
  <r>
    <x v="13"/>
    <x v="18"/>
    <s v="CDP"/>
    <s v="mn USD"/>
    <n v="1043792.40997355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A6031-142A-429F-A2F1-29234E1E676A}" name="PivotTable4"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G2:R18" firstHeaderRow="1" firstDataRow="2" firstDataCol="1"/>
  <pivotFields count="5">
    <pivotField axis="axisRow" showAll="0">
      <items count="15">
        <item x="0"/>
        <item x="5"/>
        <item x="8"/>
        <item x="13"/>
        <item x="4"/>
        <item x="2"/>
        <item x="7"/>
        <item x="9"/>
        <item x="3"/>
        <item x="1"/>
        <item x="10"/>
        <item x="6"/>
        <item x="11"/>
        <item x="12"/>
        <item t="default"/>
      </items>
    </pivotField>
    <pivotField axis="axisCol" showAll="0">
      <items count="20">
        <item h="1" x="0"/>
        <item h="1" x="1"/>
        <item h="1" x="2"/>
        <item h="1" x="3"/>
        <item h="1" x="4"/>
        <item h="1" x="5"/>
        <item h="1" x="6"/>
        <item h="1" x="7"/>
        <item h="1" x="8"/>
        <item x="9"/>
        <item x="10"/>
        <item x="11"/>
        <item x="12"/>
        <item x="13"/>
        <item x="14"/>
        <item x="15"/>
        <item x="16"/>
        <item x="17"/>
        <item x="18"/>
        <item t="default"/>
      </items>
    </pivotField>
    <pivotField showAll="0"/>
    <pivotField showAll="0"/>
    <pivotField dataField="1" showAll="0"/>
  </pivotFields>
  <rowFields count="1">
    <field x="0"/>
  </rowFields>
  <rowItems count="15">
    <i>
      <x/>
    </i>
    <i>
      <x v="1"/>
    </i>
    <i>
      <x v="2"/>
    </i>
    <i>
      <x v="3"/>
    </i>
    <i>
      <x v="4"/>
    </i>
    <i>
      <x v="5"/>
    </i>
    <i>
      <x v="6"/>
    </i>
    <i>
      <x v="7"/>
    </i>
    <i>
      <x v="8"/>
    </i>
    <i>
      <x v="9"/>
    </i>
    <i>
      <x v="10"/>
    </i>
    <i>
      <x v="11"/>
    </i>
    <i>
      <x v="12"/>
    </i>
    <i>
      <x v="13"/>
    </i>
    <i t="grand">
      <x/>
    </i>
  </rowItems>
  <colFields count="1">
    <field x="1"/>
  </colFields>
  <colItems count="11">
    <i>
      <x v="9"/>
    </i>
    <i>
      <x v="10"/>
    </i>
    <i>
      <x v="11"/>
    </i>
    <i>
      <x v="12"/>
    </i>
    <i>
      <x v="13"/>
    </i>
    <i>
      <x v="14"/>
    </i>
    <i>
      <x v="15"/>
    </i>
    <i>
      <x v="16"/>
    </i>
    <i>
      <x v="17"/>
    </i>
    <i>
      <x v="18"/>
    </i>
    <i t="grand">
      <x/>
    </i>
  </colItems>
  <dataFields count="1">
    <dataField name="Sum of volume" fld="4" showDataAs="percentDiff" baseField="1" baseItem="1048828" numFmtId="10"/>
  </dataFields>
  <chartFormats count="24">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2"/>
          </reference>
        </references>
      </pivotArea>
    </chartFormat>
    <chartFormat chart="0" format="2" series="1">
      <pivotArea type="data" outline="0" fieldPosition="0">
        <references count="1">
          <reference field="0" count="1" selected="0">
            <x v="1"/>
          </reference>
        </references>
      </pivotArea>
    </chartFormat>
    <chartFormat chart="0" format="3" series="1">
      <pivotArea type="data" outline="0" fieldPosition="0">
        <references count="1">
          <reference field="0" count="1" selected="0">
            <x v="13"/>
          </reference>
        </references>
      </pivotArea>
    </chartFormat>
    <chartFormat chart="0" format="4" series="1">
      <pivotArea type="data" outline="0" fieldPosition="0">
        <references count="1">
          <reference field="0" count="1" selected="0">
            <x v="2"/>
          </reference>
        </references>
      </pivotArea>
    </chartFormat>
    <chartFormat chart="0" format="5" series="1">
      <pivotArea type="data" outline="0" fieldPosition="0">
        <references count="1">
          <reference field="0" count="1" selected="0">
            <x v="3"/>
          </reference>
        </references>
      </pivotArea>
    </chartFormat>
    <chartFormat chart="0" format="6" series="1">
      <pivotArea type="data" outline="0" fieldPosition="0">
        <references count="1">
          <reference field="0" count="1" selected="0">
            <x v="4"/>
          </reference>
        </references>
      </pivotArea>
    </chartFormat>
    <chartFormat chart="0" format="7" series="1">
      <pivotArea type="data" outline="0" fieldPosition="0">
        <references count="1">
          <reference field="0" count="1" selected="0">
            <x v="5"/>
          </reference>
        </references>
      </pivotArea>
    </chartFormat>
    <chartFormat chart="0" format="8" series="1">
      <pivotArea type="data" outline="0" fieldPosition="0">
        <references count="1">
          <reference field="0" count="1" selected="0">
            <x v="6"/>
          </reference>
        </references>
      </pivotArea>
    </chartFormat>
    <chartFormat chart="0" format="9" series="1">
      <pivotArea type="data" outline="0" fieldPosition="0">
        <references count="1">
          <reference field="0" count="1" selected="0">
            <x v="7"/>
          </reference>
        </references>
      </pivotArea>
    </chartFormat>
    <chartFormat chart="0" format="10" series="1">
      <pivotArea type="data" outline="0" fieldPosition="0">
        <references count="1">
          <reference field="0" count="1" selected="0">
            <x v="8"/>
          </reference>
        </references>
      </pivotArea>
    </chartFormat>
    <chartFormat chart="0" format="11" series="1">
      <pivotArea type="data" outline="0" fieldPosition="0">
        <references count="1">
          <reference field="0" count="1" selected="0">
            <x v="9"/>
          </reference>
        </references>
      </pivotArea>
    </chartFormat>
    <chartFormat chart="0" format="12" series="1">
      <pivotArea type="data" outline="0" fieldPosition="0">
        <references count="1">
          <reference field="0" count="1" selected="0">
            <x v="10"/>
          </reference>
        </references>
      </pivotArea>
    </chartFormat>
    <chartFormat chart="0" format="13" series="1">
      <pivotArea type="data" outline="0" fieldPosition="0">
        <references count="1">
          <reference field="0" count="1" selected="0">
            <x v="11"/>
          </reference>
        </references>
      </pivotArea>
    </chartFormat>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1" count="1" selected="0">
            <x v="10"/>
          </reference>
        </references>
      </pivotArea>
    </chartFormat>
    <chartFormat chart="0" format="16" series="1">
      <pivotArea type="data" outline="0" fieldPosition="0">
        <references count="2">
          <reference field="4294967294" count="1" selected="0">
            <x v="0"/>
          </reference>
          <reference field="1" count="1" selected="0">
            <x v="11"/>
          </reference>
        </references>
      </pivotArea>
    </chartFormat>
    <chartFormat chart="0" format="17" series="1">
      <pivotArea type="data" outline="0" fieldPosition="0">
        <references count="2">
          <reference field="4294967294" count="1" selected="0">
            <x v="0"/>
          </reference>
          <reference field="1" count="1" selected="0">
            <x v="12"/>
          </reference>
        </references>
      </pivotArea>
    </chartFormat>
    <chartFormat chart="0" format="18" series="1">
      <pivotArea type="data" outline="0" fieldPosition="0">
        <references count="2">
          <reference field="4294967294" count="1" selected="0">
            <x v="0"/>
          </reference>
          <reference field="1" count="1" selected="0">
            <x v="13"/>
          </reference>
        </references>
      </pivotArea>
    </chartFormat>
    <chartFormat chart="0" format="19" series="1">
      <pivotArea type="data" outline="0" fieldPosition="0">
        <references count="2">
          <reference field="4294967294" count="1" selected="0">
            <x v="0"/>
          </reference>
          <reference field="1" count="1" selected="0">
            <x v="14"/>
          </reference>
        </references>
      </pivotArea>
    </chartFormat>
    <chartFormat chart="0" format="20" series="1">
      <pivotArea type="data" outline="0" fieldPosition="0">
        <references count="2">
          <reference field="4294967294" count="1" selected="0">
            <x v="0"/>
          </reference>
          <reference field="1" count="1" selected="0">
            <x v="15"/>
          </reference>
        </references>
      </pivotArea>
    </chartFormat>
    <chartFormat chart="0" format="21" series="1">
      <pivotArea type="data" outline="0" fieldPosition="0">
        <references count="2">
          <reference field="4294967294" count="1" selected="0">
            <x v="0"/>
          </reference>
          <reference field="1" count="1" selected="0">
            <x v="16"/>
          </reference>
        </references>
      </pivotArea>
    </chartFormat>
    <chartFormat chart="0" format="22" series="1">
      <pivotArea type="data" outline="0" fieldPosition="0">
        <references count="2">
          <reference field="4294967294" count="1" selected="0">
            <x v="0"/>
          </reference>
          <reference field="1" count="1" selected="0">
            <x v="17"/>
          </reference>
        </references>
      </pivotArea>
    </chartFormat>
    <chartFormat chart="0" format="23" series="1">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GrowthTable" displayName="GrowthTable" ref="A1:I11">
  <autoFilter ref="A1:I11"/>
  <tableColumns count="9">
    <tableColumn id="1" name="Column1"/>
    <tableColumn id="2" name="2025 FY"/>
    <tableColumn id="3" name="Column3"/>
    <tableColumn id="4" name="Column4"/>
    <tableColumn id="5" name="Column5"/>
    <tableColumn id="6" name="2025 Q1"/>
    <tableColumn id="7" name="Column7"/>
    <tableColumn id="8" name="Column8"/>
    <tableColumn id="9" name="Column9"/>
  </tableColumns>
  <tableStyleInfo name="TableStyleMedium2" showFirstColumn="false" showLastColumn="false" showRowStripes="true" showColumnStripes="true"/>
</table>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Relationships xmlns="http://schemas.openxmlformats.org/package/2006/relationships"><Relationship Id="rId1" Target="../tables/table1.xml" Type="http://schemas.openxmlformats.org/officeDocument/2006/relationships/table"></Relationship></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65865-5979-46F4-A8B0-CA76316A6A34}">
  <sheetPr>
    <tabColor rgb="FF004A96"/>
  </sheetPr>
  <dimension ref="A1:AA31"/>
  <sheetViews>
    <sheetView tabSelected="true" topLeftCell="H1" zoomScale="70" zoomScaleNormal="70" workbookViewId="0">
      <selection activeCell="U12" sqref="U12"/>
    </sheetView>
  </sheetViews>
  <sheetFormatPr defaultColWidth="9" defaultRowHeight="15.5"/>
  <cols>
    <col bestFit="true" customWidth="true" max="1" min="1" style="12" width="16.08203125"/>
    <col bestFit="true" customWidth="true" max="2" min="2" style="13" width="18"/>
    <col bestFit="true" customWidth="true" max="3" min="3" style="13" width="12.08203125"/>
    <col bestFit="true" customWidth="true" max="4" min="4" style="13" width="10.08203125"/>
    <col bestFit="true" customWidth="true" max="5" min="5" style="13" width="6.5"/>
    <col bestFit="true" customWidth="true" max="6" min="6" style="13" width="7.83203125"/>
    <col bestFit="true" customWidth="true" max="7" min="7" style="13" width="10.75"/>
    <col bestFit="true" customWidth="true" max="8" min="8" style="13" width="18.25"/>
    <col bestFit="true" customWidth="true" max="9" min="9" style="13" width="17.58203125"/>
    <col bestFit="true" customWidth="true" max="10" min="10" style="13" width="15.75"/>
    <col bestFit="true" customWidth="true" max="11" min="11" style="13" width="13.58203125"/>
    <col bestFit="true" customWidth="true" max="12" min="12" style="13" width="13.83203125"/>
    <col bestFit="true" customWidth="true" max="13" min="13" style="13" width="9.25"/>
    <col bestFit="true" customWidth="true" max="14" min="14" style="13" width="17.75"/>
    <col bestFit="true" customWidth="true" max="15" min="15" style="13" width="8.08203125"/>
    <col bestFit="true" customWidth="true" max="16" min="16" style="13" width="8.25"/>
    <col bestFit="true" customWidth="true" max="17" min="17" style="13" width="12.08203125"/>
    <col bestFit="true" customWidth="true" max="18" min="18" style="13" width="5.9140625"/>
    <col bestFit="true" customWidth="true" max="19" min="19" style="13" width="9"/>
    <col customWidth="true" max="20" min="20" style="13" width="9"/>
    <col max="25" min="21" style="13" width="9"/>
    <col customWidth="true" max="26" min="26" style="13" width="9"/>
    <col max="16384" min="27" style="13" width="9"/>
  </cols>
  <sheetData>
    <row r="1" spans="1:18" s="15" customFormat="true">
      <c r="A1" s="36" t="s">
        <v>52</v>
      </c>
    </row>
    <row r="2" spans="1:18" s="14" customFormat="true">
      <c r="B2" s="90" t="s">
        <v>47</v>
      </c>
      <c r="C2" s="26" t="s">
        <v>16</v>
      </c>
      <c r="D2" s="27" t="s">
        <v>15</v>
      </c>
      <c r="E2" s="27" t="s">
        <v>7</v>
      </c>
      <c r="F2" s="27" t="s">
        <v>12</v>
      </c>
      <c r="G2" s="27" t="s">
        <v>17</v>
      </c>
      <c r="H2" s="27" t="s">
        <v>11</v>
      </c>
      <c r="I2" s="27" t="s">
        <v>44</v>
      </c>
      <c r="J2" s="27" t="s">
        <v>14</v>
      </c>
      <c r="K2" s="27" t="s">
        <v>13</v>
      </c>
      <c r="L2" s="27" t="s">
        <v>9</v>
      </c>
      <c r="M2" s="27" t="s">
        <v>34</v>
      </c>
      <c r="N2" s="27" t="s">
        <v>43</v>
      </c>
      <c r="O2" s="27" t="s">
        <v>39</v>
      </c>
      <c r="P2" s="27" t="s">
        <v>40</v>
      </c>
      <c r="Q2" s="28" t="s">
        <v>41</v>
      </c>
    </row>
    <row r="3" spans="1:18">
      <c r="B3" s="91"/>
      <c r="C3" s="17" t="s">
        <v>45</v>
      </c>
      <c r="D3" s="14" t="s">
        <v>45</v>
      </c>
      <c r="E3" s="14" t="s">
        <v>45</v>
      </c>
      <c r="F3" s="14" t="s">
        <v>45</v>
      </c>
      <c r="G3" s="14" t="s">
        <v>45</v>
      </c>
      <c r="H3" s="14" t="s">
        <v>45</v>
      </c>
      <c r="I3" s="14" t="s">
        <v>25</v>
      </c>
      <c r="J3" s="14" t="s">
        <v>45</v>
      </c>
      <c r="K3" s="14" t="s">
        <v>45</v>
      </c>
      <c r="L3" s="14" t="s">
        <v>45</v>
      </c>
      <c r="M3" s="14" t="s">
        <v>45</v>
      </c>
      <c r="N3" s="14" t="s">
        <v>42</v>
      </c>
      <c r="O3" s="14" t="s">
        <v>114</v>
      </c>
      <c r="P3" s="14" t="s">
        <v>114</v>
      </c>
      <c r="Q3" s="18" t="s">
        <v>46</v>
      </c>
    </row>
    <row r="4" spans="1:18">
      <c r="B4" s="16" t="s">
        <v>115</v>
      </c>
      <c r="C4" s="21"/>
      <c r="D4" s="22"/>
      <c r="E4" s="22"/>
      <c r="F4" s="22"/>
      <c r="G4" s="22"/>
      <c r="H4" s="22"/>
      <c r="I4" s="23">
        <v>1</v>
      </c>
      <c r="J4" s="22"/>
      <c r="K4" s="22"/>
      <c r="L4" s="22"/>
      <c r="M4" s="22"/>
      <c r="N4" s="22"/>
      <c r="O4" s="68"/>
      <c r="P4" s="22"/>
      <c r="Q4" s="77"/>
      <c r="R4" s="29"/>
    </row>
    <row r="5" spans="1:18">
      <c r="B5" s="16" t="s">
        <v>116</v>
      </c>
      <c r="C5" s="62"/>
      <c r="D5" s="63"/>
      <c r="E5" s="63"/>
      <c r="F5" s="63"/>
      <c r="G5" s="63"/>
      <c r="H5" s="64">
        <v>0.1</v>
      </c>
      <c r="I5" s="64">
        <v>0.9</v>
      </c>
      <c r="J5" s="63"/>
      <c r="K5" s="63"/>
      <c r="L5" s="63"/>
      <c r="M5" s="63"/>
      <c r="N5" s="63"/>
      <c r="O5" s="69"/>
      <c r="P5" s="63"/>
      <c r="Q5" s="78"/>
      <c r="R5" s="29"/>
    </row>
    <row r="6" spans="1:18">
      <c r="B6" s="16" t="s">
        <v>2</v>
      </c>
      <c r="C6" s="24"/>
      <c r="D6" s="19"/>
      <c r="E6" s="19"/>
      <c r="F6" s="20">
        <v>0.1</v>
      </c>
      <c r="G6" s="19"/>
      <c r="H6" s="19"/>
      <c r="I6" s="20">
        <v>0.4</v>
      </c>
      <c r="J6" s="19"/>
      <c r="K6" s="19"/>
      <c r="L6" s="20">
        <v>0.35</v>
      </c>
      <c r="M6" s="19"/>
      <c r="N6" s="20">
        <v>0.15</v>
      </c>
      <c r="O6" s="70"/>
      <c r="P6" s="19"/>
      <c r="Q6" s="79"/>
      <c r="R6" s="29"/>
    </row>
    <row r="7" spans="1:18">
      <c r="B7" s="16" t="s">
        <v>34</v>
      </c>
      <c r="C7" s="24"/>
      <c r="D7" s="19"/>
      <c r="E7" s="19"/>
      <c r="F7" s="19"/>
      <c r="G7" s="19"/>
      <c r="H7" s="19"/>
      <c r="I7" s="19"/>
      <c r="J7" s="19"/>
      <c r="K7" s="19"/>
      <c r="L7" s="19"/>
      <c r="M7" s="20">
        <v>1</v>
      </c>
      <c r="N7" s="19"/>
      <c r="O7" s="70"/>
      <c r="P7" s="19"/>
      <c r="Q7" s="79"/>
      <c r="R7" s="29"/>
    </row>
    <row r="8" spans="1:18">
      <c r="B8" s="16" t="s">
        <v>35</v>
      </c>
      <c r="C8" s="25">
        <v>0.5</v>
      </c>
      <c r="D8" s="19"/>
      <c r="E8" s="19"/>
      <c r="F8" s="19"/>
      <c r="G8" s="19"/>
      <c r="H8" s="19"/>
      <c r="I8" s="19"/>
      <c r="J8" s="19"/>
      <c r="K8" s="19"/>
      <c r="L8" s="20">
        <v>0.5</v>
      </c>
      <c r="M8" s="19"/>
      <c r="N8" s="19"/>
      <c r="O8" s="70"/>
      <c r="P8" s="19"/>
      <c r="Q8" s="79"/>
      <c r="R8" s="29"/>
    </row>
    <row r="9" spans="1:18">
      <c r="B9" s="16" t="s">
        <v>37</v>
      </c>
      <c r="C9" s="24"/>
      <c r="D9" s="19"/>
      <c r="E9" s="19"/>
      <c r="F9" s="19"/>
      <c r="H9" s="20">
        <v>0.5</v>
      </c>
      <c r="I9" s="19"/>
      <c r="J9" s="19"/>
      <c r="K9" s="20">
        <v>0.2</v>
      </c>
      <c r="L9" s="20">
        <v>0.3</v>
      </c>
      <c r="M9" s="19"/>
      <c r="N9" s="19"/>
      <c r="O9" s="70"/>
      <c r="P9" s="19"/>
      <c r="Q9" s="79"/>
      <c r="R9" s="29"/>
    </row>
    <row r="10" spans="1:18">
      <c r="B10" s="16" t="s">
        <v>36</v>
      </c>
      <c r="C10" s="24"/>
      <c r="D10" s="19"/>
      <c r="E10" s="19"/>
      <c r="F10" s="20">
        <v>0.25</v>
      </c>
      <c r="G10" s="20">
        <v>0.15</v>
      </c>
      <c r="I10" s="19"/>
      <c r="J10" s="19"/>
      <c r="K10" s="19"/>
      <c r="L10" s="20">
        <v>0.6</v>
      </c>
      <c r="M10" s="19"/>
      <c r="N10" s="19"/>
      <c r="O10" s="70"/>
      <c r="P10" s="19"/>
      <c r="Q10" s="79"/>
      <c r="R10" s="29"/>
    </row>
    <row r="11" spans="1:18">
      <c r="B11" s="16" t="s">
        <v>3</v>
      </c>
      <c r="C11" s="24"/>
      <c r="D11" s="20">
        <v>0.05</v>
      </c>
      <c r="E11" s="19"/>
      <c r="F11" s="20">
        <v>0.05</v>
      </c>
      <c r="H11" s="20">
        <v>0.05</v>
      </c>
      <c r="I11" s="20">
        <v>0.65</v>
      </c>
      <c r="J11" s="19"/>
      <c r="K11" s="19"/>
      <c r="L11" s="20">
        <v>0.2</v>
      </c>
      <c r="M11" s="19"/>
      <c r="N11" s="19"/>
      <c r="O11" s="70"/>
      <c r="P11" s="19"/>
      <c r="Q11" s="79"/>
      <c r="R11" s="29"/>
    </row>
    <row r="12" spans="1:18">
      <c r="B12" s="16" t="s">
        <v>7</v>
      </c>
      <c r="C12" s="25">
        <v>0.3</v>
      </c>
      <c r="D12" s="19"/>
      <c r="E12" s="20">
        <v>0.7</v>
      </c>
      <c r="F12" s="19"/>
      <c r="G12" s="19"/>
      <c r="H12" s="19"/>
      <c r="I12" s="19"/>
      <c r="J12" s="19"/>
      <c r="K12" s="19"/>
      <c r="L12" s="19"/>
      <c r="M12" s="19"/>
      <c r="N12" s="19"/>
      <c r="O12" s="70"/>
      <c r="P12" s="19"/>
      <c r="Q12" s="79"/>
      <c r="R12" s="29"/>
    </row>
    <row r="13" spans="1:18">
      <c r="B13" s="16" t="s">
        <v>38</v>
      </c>
      <c r="C13" s="30"/>
      <c r="D13" s="31"/>
      <c r="E13" s="31"/>
      <c r="F13" s="31"/>
      <c r="G13" s="31"/>
      <c r="H13" s="31"/>
      <c r="I13" s="31"/>
      <c r="J13" s="32">
        <v>0.1</v>
      </c>
      <c r="K13" s="31"/>
      <c r="L13" s="31"/>
      <c r="M13" s="31"/>
      <c r="N13" s="31"/>
      <c r="O13" s="71">
        <v>0.5</v>
      </c>
      <c r="P13" s="32">
        <v>0.1</v>
      </c>
      <c r="Q13" s="81">
        <v>0.3</v>
      </c>
      <c r="R13" s="29"/>
    </row>
    <row r="14" spans="1:18">
      <c r="B14" s="33" t="s">
        <v>48</v>
      </c>
      <c r="C14" s="34"/>
      <c r="D14" s="35"/>
      <c r="E14" s="35"/>
      <c r="F14" s="35"/>
      <c r="G14" s="35"/>
      <c r="H14" s="35"/>
      <c r="I14" s="35"/>
      <c r="J14" s="35"/>
      <c r="K14" s="35"/>
      <c r="L14" s="35"/>
      <c r="M14" s="35"/>
      <c r="N14" s="35"/>
      <c r="O14" s="72"/>
      <c r="P14" s="35"/>
      <c r="Q14" s="80"/>
      <c r="R14" s="29"/>
    </row>
    <row r="15"/>
    <row r="16" spans="1:18" ht="17.5">
      <c r="A16" s="36" t="s">
        <v>18</v>
      </c>
      <c r="B16" s="108">
        <v>2024</v>
      </c>
      <c r="C16" s="109"/>
      <c r="D16" s="109"/>
      <c r="E16" s="109"/>
      <c r="F16" s="109"/>
      <c r="G16" s="109"/>
      <c r="H16" s="109"/>
      <c r="I16" s="109"/>
      <c r="J16" s="109"/>
      <c r="K16" s="109"/>
      <c r="L16" s="109"/>
      <c r="M16" s="109"/>
      <c r="N16" s="109"/>
      <c r="O16" s="109"/>
      <c r="P16" s="109"/>
      <c r="Q16" s="110"/>
    </row>
    <row r="17" spans="2:27">
      <c r="B17" s="90" t="s">
        <v>47</v>
      </c>
      <c r="C17" s="26" t="s">
        <v>16</v>
      </c>
      <c r="D17" s="27" t="s">
        <v>15</v>
      </c>
      <c r="E17" s="27" t="s">
        <v>7</v>
      </c>
      <c r="F17" s="27" t="s">
        <v>12</v>
      </c>
      <c r="G17" s="27" t="s">
        <v>17</v>
      </c>
      <c r="H17" s="27" t="s">
        <v>11</v>
      </c>
      <c r="I17" s="27" t="s">
        <v>44</v>
      </c>
      <c r="J17" s="27" t="s">
        <v>14</v>
      </c>
      <c r="K17" s="27" t="s">
        <v>13</v>
      </c>
      <c r="L17" s="27" t="s">
        <v>9</v>
      </c>
      <c r="M17" s="27" t="s">
        <v>34</v>
      </c>
      <c r="N17" s="27" t="s">
        <v>43</v>
      </c>
      <c r="O17" s="27" t="s">
        <v>39</v>
      </c>
      <c r="P17" s="27" t="s">
        <v>40</v>
      </c>
      <c r="Q17" s="27" t="s">
        <v>41</v>
      </c>
      <c r="R17" s="88">
        <v>2024</v>
      </c>
      <c r="S17" s="88" t="s">
        <v>160</v>
      </c>
      <c r="T17" s="88" t="s">
        <v>161</v>
      </c>
      <c r="U17" s="88" t="s">
        <v>162</v>
      </c>
      <c r="V17" s="88" t="s">
        <v>163</v>
      </c>
      <c r="W17" s="88" t="s">
        <v>164</v>
      </c>
      <c r="X17" s="88" t="s">
        <v>165</v>
      </c>
      <c r="Y17" s="88" t="s">
        <v>166</v>
      </c>
      <c r="Z17" s="88" t="s">
        <v>167</v>
      </c>
    </row>
    <row r="18" spans="2:27">
      <c r="B18" s="91"/>
      <c r="C18" s="17" t="s">
        <v>45</v>
      </c>
      <c r="D18" s="14" t="s">
        <v>45</v>
      </c>
      <c r="E18" s="14" t="s">
        <v>45</v>
      </c>
      <c r="F18" s="14" t="s">
        <v>45</v>
      </c>
      <c r="G18" s="14" t="s">
        <v>45</v>
      </c>
      <c r="H18" s="14" t="s">
        <v>45</v>
      </c>
      <c r="I18" s="14" t="s">
        <v>25</v>
      </c>
      <c r="J18" s="14" t="s">
        <v>45</v>
      </c>
      <c r="K18" s="14" t="s">
        <v>45</v>
      </c>
      <c r="L18" s="14" t="s">
        <v>45</v>
      </c>
      <c r="M18" s="14" t="s">
        <v>45</v>
      </c>
      <c r="N18" s="14" t="s">
        <v>42</v>
      </c>
      <c r="O18" s="14" t="s">
        <v>114</v>
      </c>
      <c r="P18" s="14" t="s">
        <v>114</v>
      </c>
      <c r="Q18" s="14" t="s">
        <v>46</v>
      </c>
      <c r="R18" s="89"/>
      <c r="S18" s="89"/>
      <c r="T18" s="89"/>
      <c r="U18" s="89"/>
      <c r="V18" s="89"/>
      <c r="W18" s="89"/>
      <c r="X18" s="89"/>
      <c r="Y18" s="89"/>
      <c r="Z18" s="89"/>
    </row>
    <row r="19" spans="2:27">
      <c r="B19" s="16" t="s">
        <v>8</v>
      </c>
      <c r="C19" s="52"/>
      <c r="D19" s="40"/>
      <c r="E19" s="40"/>
      <c r="F19" s="40"/>
      <c r="G19" s="40"/>
      <c r="H19" s="40"/>
      <c r="I19" s="55">
        <f>'Raw Data 1'!H15/'Raw Data 1'!H14-1</f>
        <v>6.010717126652132E-4</v>
      </c>
      <c r="J19" s="40"/>
      <c r="K19" s="40"/>
      <c r="L19" s="40"/>
      <c r="M19" s="40"/>
      <c r="N19" s="40"/>
      <c r="O19" s="73"/>
      <c r="P19" s="40"/>
      <c r="Q19" s="111"/>
      <c r="R19" s="117">
        <f>$I$4*GETPIVOTDATA("volume",'Raw Data'!$G$2,"indicator","Auto Production","year",2024)</f>
        <v>6.010717126652119E-4</v>
      </c>
      <c r="S19" s="117">
        <f>$I$4*GETPIVOTDATA("volume",'Raw Data'!$G$2,"indicator","Auto Production","year",2025)</f>
        <v>1.7144869108521518E-2</v>
      </c>
      <c r="T19" s="117">
        <f>$I$4*GETPIVOTDATA("volume",'Raw Data'!$G$2,"indicator","Auto Production","year",2026)</f>
        <v>1.4338148657487058E-2</v>
      </c>
      <c r="U19" s="117">
        <f>$I$4*GETPIVOTDATA("volume",'Raw Data'!$G$2,"indicator","Auto Production","year",2027)</f>
        <v>2.0662890704975425E-2</v>
      </c>
      <c r="V19" s="117">
        <f>$I$4*GETPIVOTDATA("volume",'Raw Data'!$G$2,"indicator","Auto Production","year",2028)</f>
        <v>4.1714221768061974E-3</v>
      </c>
      <c r="W19" s="117">
        <f>$I$4*GETPIVOTDATA("volume",'Raw Data'!$G$2,"indicator","Auto Production","year",2029)</f>
        <v>1.3119631179459246E-2</v>
      </c>
      <c r="X19" s="117">
        <f>$I$4*GETPIVOTDATA("volume",'Raw Data'!$G$2,"indicator","Auto Production","year",2030)</f>
        <v>1.2949699284881783E-2</v>
      </c>
      <c r="Y19" s="117">
        <f>$I$4*GETPIVOTDATA("volume",'Raw Data'!$G$2,"indicator","Auto Production","year",2031)</f>
        <v>1.7877948358643349E-2</v>
      </c>
      <c r="Z19" s="117">
        <f>$I$4*GETPIVOTDATA("volume",'Raw Data'!$G$2,"indicator","Auto Production","year",2032)</f>
        <v>1.4556746004524175E-2</v>
      </c>
    </row>
    <row r="20" spans="2:27">
      <c r="B20" s="16" t="s">
        <v>116</v>
      </c>
      <c r="C20" s="65"/>
      <c r="D20" s="66"/>
      <c r="E20" s="66"/>
      <c r="F20" s="66"/>
      <c r="G20" s="66"/>
      <c r="H20" s="112">
        <f>'Raw Data 1'!G15/'Raw Data 1'!G14-1</f>
        <v>4.0681537706204418E-2</v>
      </c>
      <c r="I20" s="112">
        <f>'Raw Data 1'!H15/'Raw Data 1'!H14-1</f>
        <v>6.010717126652132E-4</v>
      </c>
      <c r="J20" s="66"/>
      <c r="K20" s="66"/>
      <c r="L20" s="66"/>
      <c r="M20" s="66"/>
      <c r="N20" s="66"/>
      <c r="O20" s="74"/>
      <c r="P20" s="66"/>
      <c r="Q20" s="113"/>
      <c r="R20" s="118">
        <f>$H$5*GETPIVOTDATA("volume",'Raw Data'!$G$2,"indicator","Electric","year",2024)+Methodology!$I$5*GETPIVOTDATA("volume",'Raw Data'!$G$2,"indicator","Auto Production","year",2024)</f>
        <v>4.6091183120191264E-3</v>
      </c>
      <c r="S20" s="118">
        <f>$H$5*GETPIVOTDATA("volume",'Raw Data'!$G$2,"indicator","Electric","year",2025)+Methodology!$I$5*GETPIVOTDATA("volume",'Raw Data'!$G$2,"indicator","Auto Production","year",2025)</f>
        <v>2.0200830872556128E-2</v>
      </c>
      <c r="T20" s="118">
        <f>$H$5*GETPIVOTDATA("volume",'Raw Data'!$G$2,"indicator","Electric","year",2026)+Methodology!$I$5*GETPIVOTDATA("volume",'Raw Data'!$G$2,"indicator","Auto Production","year",2026)</f>
        <v>1.808260723826547E-2</v>
      </c>
      <c r="U20" s="118">
        <f>$H$5*GETPIVOTDATA("volume",'Raw Data'!$G$2,"indicator","Electric","year",2027)+Methodology!$I$5*GETPIVOTDATA("volume",'Raw Data'!$G$2,"indicator","Auto Production","year",2027)</f>
        <v>2.3867234953260718E-2</v>
      </c>
      <c r="V20" s="118">
        <f>$H$5*GETPIVOTDATA("volume",'Raw Data'!$G$2,"indicator","Electric","year",2028)+Methodology!$I$5*GETPIVOTDATA("volume",'Raw Data'!$G$2,"indicator","Auto Production","year",2028)</f>
        <v>9.0277341750764281E-3</v>
      </c>
      <c r="W20" s="118">
        <f>$H$5*GETPIVOTDATA("volume",'Raw Data'!$G$2,"indicator","Electric","year",2029)+Methodology!$I$5*GETPIVOTDATA("volume",'Raw Data'!$G$2,"indicator","Auto Production","year",2029)</f>
        <v>1.6999151039984787E-2</v>
      </c>
      <c r="X20" s="118">
        <f>$H$5*GETPIVOTDATA("volume",'Raw Data'!$G$2,"indicator","Electric","year",2030)+Methodology!$I$5*GETPIVOTDATA("volume",'Raw Data'!$G$2,"indicator","Auto Production","year",2030)</f>
        <v>1.6841313576455647E-2</v>
      </c>
      <c r="Y20" s="118">
        <f>$H$5*GETPIVOTDATA("volume",'Raw Data'!$G$2,"indicator","Electric","year",2031)+Methodology!$I$5*GETPIVOTDATA("volume",'Raw Data'!$G$2,"indicator","Auto Production","year",2031)</f>
        <v>2.1285782809003093E-2</v>
      </c>
      <c r="Z20" s="118">
        <f>$H$5*GETPIVOTDATA("volume",'Raw Data'!$G$2,"indicator","Electric","year",2032)+Methodology!$I$5*GETPIVOTDATA("volume",'Raw Data'!$G$2,"indicator","Auto Production","year",2032)</f>
        <v>1.833907192852292E-2</v>
      </c>
    </row>
    <row r="21" spans="2:27">
      <c r="B21" s="16" t="s">
        <v>2</v>
      </c>
      <c r="C21" s="53"/>
      <c r="D21" s="54"/>
      <c r="E21" s="54"/>
      <c r="F21" s="56">
        <f>'Raw Data 1'!E15/'Raw Data 1'!E14-1</f>
        <v>4.2613479050034542E-2</v>
      </c>
      <c r="G21" s="54"/>
      <c r="H21" s="54"/>
      <c r="I21" s="56">
        <f>'Raw Data 1'!H15/'Raw Data 1'!H14-1</f>
        <v>6.010717126652132E-4</v>
      </c>
      <c r="J21" s="54"/>
      <c r="K21" s="54"/>
      <c r="L21" s="56">
        <f>'Raw Data 1'!K15/'Raw Data 1'!K14-1</f>
        <v>1.572256206771705E-2</v>
      </c>
      <c r="M21" s="54"/>
      <c r="N21" s="56">
        <f>'Raw Data 1'!M15/'Raw Data 1'!M14-1</f>
        <v>-1.2040512784191493E-2</v>
      </c>
      <c r="O21" s="75"/>
      <c r="P21" s="54"/>
      <c r="Q21" s="114"/>
      <c r="R21" s="118">
        <f>$F$6*GETPIVOTDATA("volume",'Raw Data'!$G$2,"indicator","Metals","year",2024)+$I$6*GETPIVOTDATA("volume",'Raw Data'!$G$2,"indicator","Auto Production","year",2024)+$L$6*GETPIVOTDATA("volume",'Raw Data'!$G$2,"indicator","Construction","year",2024)+$N$6*GETPIVOTDATA("volume",'Raw Data'!$G$2,"indicator","Steel Production","year",2024)</f>
        <v>8.1985963961417642E-3</v>
      </c>
      <c r="S21" s="118">
        <f>$F$6*GETPIVOTDATA("volume",'Raw Data'!$G$2,"indicator","Metals","year",2025)+$I$6*GETPIVOTDATA("volume",'Raw Data'!$G$2,"indicator","Auto Production","year",2025)+$L$6*GETPIVOTDATA("volume",'Raw Data'!$G$2,"indicator","Construction","year",2025)+$N$6*GETPIVOTDATA("volume",'Raw Data'!$G$2,"indicator","Steel Production","year",2025)</f>
        <v>-0.13021921097363148</v>
      </c>
      <c r="T21" s="118" t="e">
        <f>$F$6*GETPIVOTDATA("volume",'Raw Data'!$G$2,"indicator","Metals","year",2026)+$I$6*GETPIVOTDATA("volume",'Raw Data'!$G$2,"indicator","Auto Production","year",2026)+$L$6*GETPIVOTDATA("volume",'Raw Data'!$G$2,"indicator","Construction","year",2026)+$N$6*GETPIVOTDATA("volume",'Raw Data'!$G$2,"indicator","Steel Production","year",2026)</f>
        <v>#DIV/0!</v>
      </c>
      <c r="U21" s="118" t="e">
        <f>$F$6*GETPIVOTDATA("volume",'Raw Data'!$G$2,"indicator","Metals","year",2026)+$I$6*GETPIVOTDATA("volume",'Raw Data'!$G$2,"indicator","Auto Production","year",2026)+$L$6*GETPIVOTDATA("volume",'Raw Data'!$G$2,"indicator","Construction","year",2026)+$N$6*GETPIVOTDATA("volume",'Raw Data'!$G$2,"indicator","Steel Production","year",2026)</f>
        <v>#DIV/0!</v>
      </c>
      <c r="V21" s="118" t="e">
        <f>$F$6*GETPIVOTDATA("volume",'Raw Data'!$G$2,"indicator","Metals","year",2026)+$I$6*GETPIVOTDATA("volume",'Raw Data'!$G$2,"indicator","Auto Production","year",2026)+$L$6*GETPIVOTDATA("volume",'Raw Data'!$G$2,"indicator","Construction","year",2026)+$N$6*GETPIVOTDATA("volume",'Raw Data'!$G$2,"indicator","Steel Production","year",2026)</f>
        <v>#DIV/0!</v>
      </c>
      <c r="W21" s="118" t="e">
        <f>$F$6*GETPIVOTDATA("volume",'Raw Data'!$G$2,"indicator","Metals","year",2026)+$I$6*GETPIVOTDATA("volume",'Raw Data'!$G$2,"indicator","Auto Production","year",2026)+$L$6*GETPIVOTDATA("volume",'Raw Data'!$G$2,"indicator","Construction","year",2026)+$N$6*GETPIVOTDATA("volume",'Raw Data'!$G$2,"indicator","Steel Production","year",2026)</f>
        <v>#DIV/0!</v>
      </c>
      <c r="X21" s="118" t="e">
        <f>$F$6*GETPIVOTDATA("volume",'Raw Data'!$G$2,"indicator","Metals","year",2026)+$I$6*GETPIVOTDATA("volume",'Raw Data'!$G$2,"indicator","Auto Production","year",2026)+$L$6*GETPIVOTDATA("volume",'Raw Data'!$G$2,"indicator","Construction","year",2026)+$N$6*GETPIVOTDATA("volume",'Raw Data'!$G$2,"indicator","Steel Production","year",2026)</f>
        <v>#DIV/0!</v>
      </c>
      <c r="Y21" s="118" t="e">
        <f>$F$6*GETPIVOTDATA("volume",'Raw Data'!$G$2,"indicator","Metals","year",2026)+$I$6*GETPIVOTDATA("volume",'Raw Data'!$G$2,"indicator","Auto Production","year",2026)+$L$6*GETPIVOTDATA("volume",'Raw Data'!$G$2,"indicator","Construction","year",2026)+$N$6*GETPIVOTDATA("volume",'Raw Data'!$G$2,"indicator","Steel Production","year",2026)</f>
        <v>#DIV/0!</v>
      </c>
      <c r="Z21" s="118" t="e">
        <f>$F$6*GETPIVOTDATA("volume",'Raw Data'!$G$2,"indicator","Metals","year",2026)+$I$6*GETPIVOTDATA("volume",'Raw Data'!$G$2,"indicator","Auto Production","year",2026)+$L$6*GETPIVOTDATA("volume",'Raw Data'!$G$2,"indicator","Construction","year",2026)+$N$6*GETPIVOTDATA("volume",'Raw Data'!$G$2,"indicator","Steel Production","year",2026)</f>
        <v>#DIV/0!</v>
      </c>
      <c r="AA21" s="12" t="s">
        <v>169</v>
      </c>
    </row>
    <row r="22" spans="2:27">
      <c r="B22" s="16" t="s">
        <v>34</v>
      </c>
      <c r="C22" s="53"/>
      <c r="D22" s="54"/>
      <c r="E22" s="54"/>
      <c r="F22" s="54"/>
      <c r="G22" s="54"/>
      <c r="H22" s="54"/>
      <c r="I22" s="54"/>
      <c r="J22" s="54"/>
      <c r="K22" s="54"/>
      <c r="L22" s="54"/>
      <c r="M22" s="56">
        <f>'Raw Data 1'!L15/'Raw Data 1'!L14-1</f>
        <v>4.0669848326009062E-2</v>
      </c>
      <c r="N22" s="54"/>
      <c r="O22" s="75"/>
      <c r="P22" s="54"/>
      <c r="Q22" s="114"/>
      <c r="R22" s="118">
        <f>$M$7*GETPIVOTDATA("volume",'Raw Data'!$G$2,"indicator","Industry","year",2024)</f>
        <v>4.0669848326009145E-2</v>
      </c>
      <c r="S22" s="118">
        <f>$M$7*GETPIVOTDATA("volume",'Raw Data'!$G$2,"indicator","Industry","year",2025)</f>
        <v>3.5524723856088347E-2</v>
      </c>
      <c r="T22" s="118">
        <f>$M$7*GETPIVOTDATA("volume",'Raw Data'!$G$2,"indicator","Industry","year",2026)</f>
        <v>3.8849240121861986E-2</v>
      </c>
      <c r="U22" s="118">
        <f>$M$7*GETPIVOTDATA("volume",'Raw Data'!$G$2,"indicator","Industry","year",2027)</f>
        <v>3.9711169856343424E-2</v>
      </c>
      <c r="V22" s="118">
        <f>$M$7*GETPIVOTDATA("volume",'Raw Data'!$G$2,"indicator","Industry","year",2028)</f>
        <v>3.947919815893091E-2</v>
      </c>
      <c r="W22" s="118">
        <f>$M$7*GETPIVOTDATA("volume",'Raw Data'!$G$2,"indicator","Industry","year",2029)</f>
        <v>3.820530566334214E-2</v>
      </c>
      <c r="X22" s="118">
        <f>$M$7*GETPIVOTDATA("volume",'Raw Data'!$G$2,"indicator","Industry","year",2030)</f>
        <v>3.7406761732290628E-2</v>
      </c>
      <c r="Y22" s="118">
        <f>$M$7*GETPIVOTDATA("volume",'Raw Data'!$G$2,"indicator","Industry","year",2031)</f>
        <v>3.8733720601048148E-2</v>
      </c>
      <c r="Z22" s="118">
        <f>$M$7*GETPIVOTDATA("volume",'Raw Data'!$G$2,"indicator","Industry","year",2032)</f>
        <v>3.8191718552416619E-2</v>
      </c>
    </row>
    <row r="23" spans="2:27">
      <c r="B23" s="16" t="s">
        <v>35</v>
      </c>
      <c r="C23" s="57">
        <f>'Raw Data 1'!B15/'Raw Data 1'!B14-1</f>
        <v>2.6464848911524452E-2</v>
      </c>
      <c r="D23" s="54"/>
      <c r="E23" s="54"/>
      <c r="F23" s="54"/>
      <c r="G23" s="54"/>
      <c r="H23" s="54"/>
      <c r="I23" s="54"/>
      <c r="J23" s="54"/>
      <c r="K23" s="54"/>
      <c r="L23" s="56">
        <f>'Raw Data 1'!K15/'Raw Data 1'!K14-1</f>
        <v>1.572256206771705E-2</v>
      </c>
      <c r="M23" s="54"/>
      <c r="N23" s="54"/>
      <c r="O23" s="75"/>
      <c r="P23" s="54"/>
      <c r="Q23" s="114"/>
      <c r="R23" s="118">
        <f>$C$8*GETPIVOTDATA("volume",'Raw Data'!$G$2,"indicator","Agriculture","year",2024)+Methodology!$L$8*GETPIVOTDATA("volume",'Raw Data'!$G$2,"indicator","Food","year",2024)</f>
        <v>3.582112684397662E-2</v>
      </c>
      <c r="S23" s="118">
        <f>$C$8*GETPIVOTDATA("volume",'Raw Data'!$G$2,"indicator","Agriculture","year",2025)+Methodology!$L$8*GETPIVOTDATA("volume",'Raw Data'!$G$2,"indicator","Food","year",2025)</f>
        <v>3.3077619233257638E-2</v>
      </c>
      <c r="T23" s="118">
        <f>$C$8*GETPIVOTDATA("volume",'Raw Data'!$G$2,"indicator","Agriculture","year",2026)+Methodology!$L$8*GETPIVOTDATA("volume",'Raw Data'!$G$2,"indicator","Food","year",2026)</f>
        <v>2.9470697668995675E-2</v>
      </c>
      <c r="U23" s="118">
        <f>$C$8*GETPIVOTDATA("volume",'Raw Data'!$G$2,"indicator","Agriculture","year",2027)+Methodology!$L$8*GETPIVOTDATA("volume",'Raw Data'!$G$2,"indicator","Food","year",2027)</f>
        <v>2.7514543699260329E-2</v>
      </c>
      <c r="V23" s="118">
        <f>$C$8*GETPIVOTDATA("volume",'Raw Data'!$G$2,"indicator","Agriculture","year",2028)+Methodology!$L$8*GETPIVOTDATA("volume",'Raw Data'!$G$2,"indicator","Food","year",2028)</f>
        <v>2.780244441795857E-2</v>
      </c>
      <c r="W23" s="118">
        <f>$C$8*GETPIVOTDATA("volume",'Raw Data'!$G$2,"indicator","Agriculture","year",2029)+Methodology!$L$8*GETPIVOTDATA("volume",'Raw Data'!$G$2,"indicator","Food","year",2029)</f>
        <v>2.7759793191376659E-2</v>
      </c>
      <c r="X23" s="118">
        <f>$C$8*GETPIVOTDATA("volume",'Raw Data'!$G$2,"indicator","Agriculture","year",2030)+Methodology!$L$8*GETPIVOTDATA("volume",'Raw Data'!$G$2,"indicator","Food","year",2030)</f>
        <v>2.6820385923512088E-2</v>
      </c>
      <c r="Y23" s="118">
        <f>$C$8*GETPIVOTDATA("volume",'Raw Data'!$G$2,"indicator","Agriculture","year",2031)+Methodology!$L$8*GETPIVOTDATA("volume",'Raw Data'!$G$2,"indicator","Food","year",2031)</f>
        <v>2.6135809788981036E-2</v>
      </c>
      <c r="Z23" s="118">
        <f>$C$8*GETPIVOTDATA("volume",'Raw Data'!$G$2,"indicator","Agriculture","year",2032)+Methodology!$L$8*GETPIVOTDATA("volume",'Raw Data'!$G$2,"indicator","Food","year",2032)</f>
        <v>2.5882606592939929E-2</v>
      </c>
    </row>
    <row r="24" spans="2:27">
      <c r="B24" s="16" t="s">
        <v>37</v>
      </c>
      <c r="C24" s="53"/>
      <c r="D24" s="54"/>
      <c r="E24" s="54"/>
      <c r="F24" s="54"/>
      <c r="G24" s="115"/>
      <c r="H24" s="56">
        <f>GETPIVOTDATA("volume",'Raw Data'!$G$2,"indicator","Electric","year",2024)</f>
        <v>4.0681537706204349E-2</v>
      </c>
      <c r="I24" s="54"/>
      <c r="J24" s="54"/>
      <c r="K24" s="56">
        <f>'Raw Data 1'!J15/'Raw Data 1'!J14-1</f>
        <v>3.3246695611066635E-2</v>
      </c>
      <c r="L24" s="56">
        <f>'Raw Data 1'!K15/'Raw Data 1'!K14-1</f>
        <v>1.572256206771705E-2</v>
      </c>
      <c r="M24" s="54"/>
      <c r="N24" s="54"/>
      <c r="O24" s="75"/>
      <c r="P24" s="54"/>
      <c r="Q24" s="114"/>
      <c r="R24" s="118">
        <f>$H$9*GETPIVOTDATA("volume",'Raw Data'!$G$2,"indicator","Electric","year",2024)+Methodology!$K$9*GETPIVOTDATA("volume",'Raw Data'!$G$2,"indicator","Furniture","year",2024)+Methodology!$L$9*GETPIVOTDATA("volume",'Raw Data'!$G$2,"indicator","Construction","year",2024)</f>
        <v>3.1706876595630588E-2</v>
      </c>
      <c r="S24" s="118">
        <f>$H$9*GETPIVOTDATA("volume",'Raw Data'!$G$2,"indicator","Electric","year",2025)+Methodology!$K$9*GETPIVOTDATA("volume",'Raw Data'!$G$2,"indicator","Furniture","year",2025)+Methodology!$L$9*GETPIVOTDATA("volume",'Raw Data'!$G$2,"indicator","Construction","year",2025)</f>
        <v>3.5201672977430432E-2</v>
      </c>
      <c r="T24" s="118">
        <f>$H$9*GETPIVOTDATA("volume",'Raw Data'!$G$2,"indicator","Electric","year",2026)+Methodology!$K$9*GETPIVOTDATA("volume",'Raw Data'!$G$2,"indicator","Furniture","year",2026)+Methodology!$L$9*GETPIVOTDATA("volume",'Raw Data'!$G$2,"indicator","Construction","year",2026)</f>
        <v>4.0043684060224016E-2</v>
      </c>
      <c r="U24" s="118">
        <f>$H$9*GETPIVOTDATA("volume",'Raw Data'!$G$2,"indicator","Electric","year",2027)+Methodology!$K$9*GETPIVOTDATA("volume",'Raw Data'!$G$2,"indicator","Furniture","year",2027)+Methodology!$L$9*GETPIVOTDATA("volume",'Raw Data'!$G$2,"indicator","Construction","year",2027)</f>
        <v>4.1275984833695184E-2</v>
      </c>
      <c r="V24" s="118">
        <f>$H$9*GETPIVOTDATA("volume",'Raw Data'!$G$2,"indicator","Electric","year",2028)+Methodology!$K$9*GETPIVOTDATA("volume",'Raw Data'!$G$2,"indicator","Furniture","year",2028)+Methodology!$L$9*GETPIVOTDATA("volume",'Raw Data'!$G$2,"indicator","Construction","year",2028)</f>
        <v>4.1507254605245174E-2</v>
      </c>
      <c r="W24" s="118">
        <f>$H$9*GETPIVOTDATA("volume",'Raw Data'!$G$2,"indicator","Electric","year",2029)+Methodology!$K$9*GETPIVOTDATA("volume",'Raw Data'!$G$2,"indicator","Furniture","year",2029)+Methodology!$L$9*GETPIVOTDATA("volume",'Raw Data'!$G$2,"indicator","Construction","year",2029)</f>
        <v>4.0898685347223081E-2</v>
      </c>
      <c r="X24" s="118">
        <f>$H$9*GETPIVOTDATA("volume",'Raw Data'!$G$2,"indicator","Electric","year",2030)+Methodology!$K$9*GETPIVOTDATA("volume",'Raw Data'!$G$2,"indicator","Furniture","year",2030)+Methodology!$L$9*GETPIVOTDATA("volume",'Raw Data'!$G$2,"indicator","Construction","year",2030)</f>
        <v>4.0633021519821309E-2</v>
      </c>
      <c r="Y24" s="118">
        <f>$H$9*GETPIVOTDATA("volume",'Raw Data'!$G$2,"indicator","Electric","year",2031)+Methodology!$K$9*GETPIVOTDATA("volume",'Raw Data'!$G$2,"indicator","Furniture","year",2031)+Methodology!$L$9*GETPIVOTDATA("volume",'Raw Data'!$G$2,"indicator","Construction","year",2031)</f>
        <v>4.1032658111750879E-2</v>
      </c>
      <c r="Z24" s="118">
        <f>$H$9*GETPIVOTDATA("volume",'Raw Data'!$G$2,"indicator","Electric","year",2032)+Methodology!$K$9*GETPIVOTDATA("volume",'Raw Data'!$G$2,"indicator","Furniture","year",2032)+Methodology!$L$9*GETPIVOTDATA("volume",'Raw Data'!$G$2,"indicator","Construction","year",2032)</f>
        <v>4.1517508087702507E-2</v>
      </c>
    </row>
    <row r="25" spans="2:27">
      <c r="B25" s="16" t="s">
        <v>36</v>
      </c>
      <c r="C25" s="53"/>
      <c r="D25" s="54"/>
      <c r="E25" s="54"/>
      <c r="F25" s="56">
        <f>'Raw Data 1'!E15/'Raw Data 1'!E14-1</f>
        <v>4.2613479050034542E-2</v>
      </c>
      <c r="G25" s="56">
        <f>GETPIVOTDATA("volume",'Raw Data'!$G$2,"indicator","Electronic","year",2024)</f>
        <v>0.10614337494234168</v>
      </c>
      <c r="H25" s="115"/>
      <c r="I25" s="54"/>
      <c r="J25" s="54"/>
      <c r="K25" s="54"/>
      <c r="L25" s="56">
        <f>'Raw Data 1'!K15/'Raw Data 1'!K14-1</f>
        <v>1.572256206771705E-2</v>
      </c>
      <c r="M25" s="54"/>
      <c r="N25" s="54"/>
      <c r="O25" s="75"/>
      <c r="P25" s="54"/>
      <c r="Q25" s="114"/>
      <c r="R25" s="118">
        <f>$F$10*GETPIVOTDATA("volume",'Raw Data'!$G$2,"indicator","Metals","year",2024)+Methodology!$G$10*GETPIVOTDATA("volume",'Raw Data'!$G$2,"indicator","Electronic","year",2024)+Methodology!$L$10*GETPIVOTDATA("volume",'Raw Data'!$G$2,"indicator","Construction","year",2024)</f>
        <v>3.6008413244490091E-2</v>
      </c>
      <c r="S25" s="118">
        <f>$F$10*GETPIVOTDATA("volume",'Raw Data'!$G$2,"indicator","Metals","year",2025)+Methodology!$G$10*GETPIVOTDATA("volume",'Raw Data'!$G$2,"indicator","Electronic","year",2025)+Methodology!$L$10*GETPIVOTDATA("volume",'Raw Data'!$G$2,"indicator","Construction","year",2025)</f>
        <v>3.3181633575961551E-2</v>
      </c>
      <c r="T25" s="118">
        <f>$F$10*GETPIVOTDATA("volume",'Raw Data'!$G$2,"indicator","Metals","year",2026)+Methodology!$G$10*GETPIVOTDATA("volume",'Raw Data'!$G$2,"indicator","Electronic","year",2026)+Methodology!$L$10*GETPIVOTDATA("volume",'Raw Data'!$G$2,"indicator","Construction","year",2026)</f>
        <v>3.8295031400297018E-2</v>
      </c>
      <c r="U25" s="118">
        <f>$F$10*GETPIVOTDATA("volume",'Raw Data'!$G$2,"indicator","Metals","year",2027)+Methodology!$G$10*GETPIVOTDATA("volume",'Raw Data'!$G$2,"indicator","Electronic","year",2027)+Methodology!$L$10*GETPIVOTDATA("volume",'Raw Data'!$G$2,"indicator","Construction","year",2027)</f>
        <v>4.1139741889258188E-2</v>
      </c>
      <c r="V25" s="118">
        <f>$F$10*GETPIVOTDATA("volume",'Raw Data'!$G$2,"indicator","Metals","year",2028)+Methodology!$G$10*GETPIVOTDATA("volume",'Raw Data'!$G$2,"indicator","Electronic","year",2028)+Methodology!$L$10*GETPIVOTDATA("volume",'Raw Data'!$G$2,"indicator","Construction","year",2028)</f>
        <v>4.1301712179439148E-2</v>
      </c>
      <c r="W25" s="118">
        <f>$F$10*GETPIVOTDATA("volume",'Raw Data'!$G$2,"indicator","Metals","year",2029)+Methodology!$G$10*GETPIVOTDATA("volume",'Raw Data'!$G$2,"indicator","Electronic","year",2029)+Methodology!$L$10*GETPIVOTDATA("volume",'Raw Data'!$G$2,"indicator","Construction","year",2029)</f>
        <v>4.0060770612984298E-2</v>
      </c>
      <c r="X25" s="118">
        <f>$F$10*GETPIVOTDATA("volume",'Raw Data'!$G$2,"indicator","Metals","year",2030)+Methodology!$G$10*GETPIVOTDATA("volume",'Raw Data'!$G$2,"indicator","Electronic","year",2030)+Methodology!$L$10*GETPIVOTDATA("volume",'Raw Data'!$G$2,"indicator","Construction","year",2030)</f>
        <v>3.9673498086821093E-2</v>
      </c>
      <c r="Y25" s="118">
        <f>$F$10*GETPIVOTDATA("volume",'Raw Data'!$G$2,"indicator","Metals","year",2031)+Methodology!$G$10*GETPIVOTDATA("volume",'Raw Data'!$G$2,"indicator","Electronic","year",2031)+Methodology!$L$10*GETPIVOTDATA("volume",'Raw Data'!$G$2,"indicator","Construction","year",2031)</f>
        <v>3.9130429084687238E-2</v>
      </c>
      <c r="Z25" s="118">
        <f>$F$10*GETPIVOTDATA("volume",'Raw Data'!$G$2,"indicator","Metals","year",2032)+Methodology!$G$10*GETPIVOTDATA("volume",'Raw Data'!$G$2,"indicator","Electronic","year",2032)+Methodology!$L$10*GETPIVOTDATA("volume",'Raw Data'!$G$2,"indicator","Construction","year",2032)</f>
        <v>3.8376713535762913E-2</v>
      </c>
    </row>
    <row r="26" spans="2:27">
      <c r="B26" s="16" t="s">
        <v>3</v>
      </c>
      <c r="C26" s="53"/>
      <c r="D26" s="56">
        <f>'Raw Data 1'!C15/'Raw Data 1'!C14-1</f>
        <v>8.3398962835905532E-3</v>
      </c>
      <c r="E26" s="54"/>
      <c r="F26" s="56">
        <f>'Raw Data 1'!E15/'Raw Data 1'!E14-1</f>
        <v>4.2613479050034542E-2</v>
      </c>
      <c r="G26" s="115"/>
      <c r="H26" s="56">
        <f>GETPIVOTDATA("volume",'Raw Data'!$G$2,"indicator","Electric","year",2024)</f>
        <v>4.0681537706204349E-2</v>
      </c>
      <c r="I26" s="56">
        <f>'Raw Data 1'!H15/'Raw Data 1'!H14-1</f>
        <v>6.010717126652132E-4</v>
      </c>
      <c r="J26" s="54"/>
      <c r="K26" s="54"/>
      <c r="L26" s="56">
        <f>'Raw Data 1'!K15/'Raw Data 1'!K14-1</f>
        <v>1.572256206771705E-2</v>
      </c>
      <c r="M26" s="54"/>
      <c r="N26" s="54"/>
      <c r="O26" s="75"/>
      <c r="P26" s="54"/>
      <c r="Q26" s="114"/>
      <c r="R26" s="118">
        <f>$D$11*GETPIVOTDATA("volume",'Raw Data'!$G$2,"indicator","Oil &amp; Gas","year",2024)+Methodology!$F$11*GETPIVOTDATA("volume",'Raw Data'!$G$2,"indicator","Metals","year",2024)+Methodology!$H$11*GETPIVOTDATA("volume",'Raw Data'!$G$2,"indicator","Electric","year",2024)+Methodology!$I$11*GETPIVOTDATA("volume",'Raw Data'!$G$2,"indicator","Auto Production","year",2024)+Methodology!$L$11*GETPIVOTDATA("volume",'Raw Data'!$G$2,"indicator","Construction","year",2024)</f>
        <v>8.1169546787672655E-3</v>
      </c>
      <c r="S26" s="118">
        <f>$D$11*GETPIVOTDATA("volume",'Raw Data'!$G$2,"indicator","Oil &amp; Gas","year",2025)+Methodology!$F$11*GETPIVOTDATA("volume",'Raw Data'!$G$2,"indicator","Metals","year",2025)+Methodology!$H$11*GETPIVOTDATA("volume",'Raw Data'!$G$2,"indicator","Electric","year",2025)+Methodology!$I$11*GETPIVOTDATA("volume",'Raw Data'!$G$2,"indicator","Auto Production","year",2025)+Methodology!$L$11*GETPIVOTDATA("volume",'Raw Data'!$G$2,"indicator","Construction","year",2025)</f>
        <v>2.0407222838496452E-2</v>
      </c>
      <c r="T26" s="118">
        <f>$D$11*GETPIVOTDATA("volume",'Raw Data'!$G$2,"indicator","Oil &amp; Gas","year",2026)+Methodology!$F$11*GETPIVOTDATA("volume",'Raw Data'!$G$2,"indicator","Metals","year",2026)+Methodology!$H$11*GETPIVOTDATA("volume",'Raw Data'!$G$2,"indicator","Electric","year",2026)+Methodology!$I$11*GETPIVOTDATA("volume",'Raw Data'!$G$2,"indicator","Auto Production","year",2026)+Methodology!$L$11*GETPIVOTDATA("volume",'Raw Data'!$G$2,"indicator","Construction","year",2026)</f>
        <v>2.0844897813677776E-2</v>
      </c>
      <c r="U26" s="118">
        <f>$D$11*GETPIVOTDATA("volume",'Raw Data'!$G$2,"indicator","Oil &amp; Gas","year",2027)+Methodology!$F$11*GETPIVOTDATA("volume",'Raw Data'!$G$2,"indicator","Metals","year",2027)+Methodology!$H$11*GETPIVOTDATA("volume",'Raw Data'!$G$2,"indicator","Electric","year",2027)+Methodology!$I$11*GETPIVOTDATA("volume",'Raw Data'!$G$2,"indicator","Auto Production","year",2024)+Methodology!$L$11*GETPIVOTDATA("volume",'Raw Data'!$G$2,"indicator","Construction","year",2027)</f>
        <v>1.2934864601098829E-2</v>
      </c>
      <c r="V26" s="118">
        <f>$D$11*GETPIVOTDATA("volume",'Raw Data'!$G$2,"indicator","Oil &amp; Gas","year",2024)+Methodology!$F$11*GETPIVOTDATA("volume",'Raw Data'!$G$2,"indicator","Metals","year",2024)+Methodology!$H$11*GETPIVOTDATA("volume",'Raw Data'!$G$2,"indicator","Electric","year",2024)+Methodology!$I$11*GETPIVOTDATA("volume",'Raw Data'!$G$2,"indicator","Auto Production","year",2024)+Methodology!$L$11*GETPIVOTDATA("volume",'Raw Data'!$G$2,"indicator","Construction","year",2024)</f>
        <v>8.1169546787672655E-3</v>
      </c>
      <c r="W26" s="118">
        <f>$D$11*GETPIVOTDATA("volume",'Raw Data'!$G$2,"indicator","Oil &amp; Gas","year",2024)+Methodology!$F$11*GETPIVOTDATA("volume",'Raw Data'!$G$2,"indicator","Metals","year",2024)+Methodology!$H$11*GETPIVOTDATA("volume",'Raw Data'!$G$2,"indicator","Electric","year",2024)+Methodology!$I$11*GETPIVOTDATA("volume",'Raw Data'!$G$2,"indicator","Auto Production","year",2024)+Methodology!$L$11*GETPIVOTDATA("volume",'Raw Data'!$G$2,"indicator","Construction","year",2024)</f>
        <v>8.1169546787672655E-3</v>
      </c>
      <c r="X26" s="118">
        <f>$D$11*GETPIVOTDATA("volume",'Raw Data'!$G$2,"indicator","Oil &amp; Gas","year",2024)+Methodology!$F$11*GETPIVOTDATA("volume",'Raw Data'!$G$2,"indicator","Metals","year",2024)+Methodology!$H$11*GETPIVOTDATA("volume",'Raw Data'!$G$2,"indicator","Electric","year",2024)+Methodology!$I$11*GETPIVOTDATA("volume",'Raw Data'!$G$2,"indicator","Auto Production","year",2024)+Methodology!$L$11*GETPIVOTDATA("volume",'Raw Data'!$G$2,"indicator","Construction","year",2024)</f>
        <v>8.1169546787672655E-3</v>
      </c>
      <c r="Y26" s="118">
        <f>$D$11*GETPIVOTDATA("volume",'Raw Data'!$G$2,"indicator","Oil &amp; Gas","year",2024)+Methodology!$F$11*GETPIVOTDATA("volume",'Raw Data'!$G$2,"indicator","Metals","year",2024)+Methodology!$H$11*GETPIVOTDATA("volume",'Raw Data'!$G$2,"indicator","Electric","year",2024)+Methodology!$I$11*GETPIVOTDATA("volume",'Raw Data'!$G$2,"indicator","Auto Production","year",2024)+Methodology!$L$11*GETPIVOTDATA("volume",'Raw Data'!$G$2,"indicator","Construction","year",2024)</f>
        <v>8.1169546787672655E-3</v>
      </c>
      <c r="Z26" s="118">
        <f>$D$11*GETPIVOTDATA("volume",'Raw Data'!$G$2,"indicator","Oil &amp; Gas","year",2024)+Methodology!$F$11*GETPIVOTDATA("volume",'Raw Data'!$G$2,"indicator","Metals","year",2024)+Methodology!$H$11*GETPIVOTDATA("volume",'Raw Data'!$G$2,"indicator","Electric","year",2024)+Methodology!$I$11*GETPIVOTDATA("volume",'Raw Data'!$G$2,"indicator","Auto Production","year",2024)+Methodology!$L$11*GETPIVOTDATA("volume",'Raw Data'!$G$2,"indicator","Construction","year",2024)</f>
        <v>8.1169546787672655E-3</v>
      </c>
    </row>
    <row r="27" spans="2:27">
      <c r="B27" s="16" t="s">
        <v>7</v>
      </c>
      <c r="C27" s="57">
        <f>'Raw Data 1'!B15/'Raw Data 1'!B14-1</f>
        <v>2.6464848911524452E-2</v>
      </c>
      <c r="D27" s="54"/>
      <c r="E27" s="56">
        <f>'Raw Data 1'!D15/'Raw Data 1'!D14-1</f>
        <v>4.517740477642862E-2</v>
      </c>
      <c r="F27" s="54"/>
      <c r="G27" s="54"/>
      <c r="H27" s="54"/>
      <c r="I27" s="54"/>
      <c r="J27" s="54"/>
      <c r="K27" s="54"/>
      <c r="L27" s="54"/>
      <c r="M27" s="54"/>
      <c r="N27" s="54"/>
      <c r="O27" s="75"/>
      <c r="P27" s="54"/>
      <c r="Q27" s="114"/>
      <c r="R27" s="118">
        <f>C12*GETPIVOTDATA("volume",'Raw Data'!$G$2,"indicator","Agriculture","year",2024)*Methodology!E12+GETPIVOTDATA("volume",'Raw Data'!$G$2,"indicator","Food","year",2024)</f>
        <v>5.0735023047848861E-2</v>
      </c>
      <c r="S27" s="118">
        <f>D12*GETPIVOTDATA("volume",'Raw Data'!$G$2,"indicator","Agriculture","year",2024)*Methodology!F12+GETPIVOTDATA("volume",'Raw Data'!$G$2,"indicator","Food","year",2024)</f>
        <v>4.517740477642871E-2</v>
      </c>
      <c r="T27" s="118">
        <f>E12*GETPIVOTDATA("volume",'Raw Data'!$G$2,"indicator","Agriculture","year",2024)*Methodology!G12+GETPIVOTDATA("volume",'Raw Data'!$G$2,"indicator","Food","year",2024)</f>
        <v>4.517740477642871E-2</v>
      </c>
      <c r="U27" s="118">
        <f>F12*GETPIVOTDATA("volume",'Raw Data'!$G$2,"indicator","Agriculture","year",2024)*Methodology!H12+GETPIVOTDATA("volume",'Raw Data'!$G$2,"indicator","Food","year",2024)</f>
        <v>4.517740477642871E-2</v>
      </c>
      <c r="V27" s="118">
        <f>G12*GETPIVOTDATA("volume",'Raw Data'!$G$2,"indicator","Agriculture","year",2024)*Methodology!I12+GETPIVOTDATA("volume",'Raw Data'!$G$2,"indicator","Food","year",2024)</f>
        <v>4.517740477642871E-2</v>
      </c>
      <c r="W27" s="118">
        <f>H12*GETPIVOTDATA("volume",'Raw Data'!$G$2,"indicator","Agriculture","year",2024)*Methodology!J12+GETPIVOTDATA("volume",'Raw Data'!$G$2,"indicator","Food","year",2024)</f>
        <v>4.517740477642871E-2</v>
      </c>
      <c r="X27" s="118">
        <f>I12*GETPIVOTDATA("volume",'Raw Data'!$G$2,"indicator","Agriculture","year",2024)*Methodology!K12+GETPIVOTDATA("volume",'Raw Data'!$G$2,"indicator","Food","year",2024)</f>
        <v>4.517740477642871E-2</v>
      </c>
      <c r="Y27" s="118">
        <f>J12*GETPIVOTDATA("volume",'Raw Data'!$G$2,"indicator","Agriculture","year",2024)*Methodology!L12+GETPIVOTDATA("volume",'Raw Data'!$G$2,"indicator","Food","year",2024)</f>
        <v>4.517740477642871E-2</v>
      </c>
      <c r="Z27" s="118">
        <f>K12*GETPIVOTDATA("volume",'Raw Data'!$G$2,"indicator","Agriculture","year",2024)*Methodology!M12+GETPIVOTDATA("volume",'Raw Data'!$G$2,"indicator","Food","year",2024)</f>
        <v>4.517740477642871E-2</v>
      </c>
    </row>
    <row r="28" spans="2:27">
      <c r="B28" s="16" t="s">
        <v>38</v>
      </c>
      <c r="C28" s="58"/>
      <c r="D28" s="59"/>
      <c r="E28" s="59"/>
      <c r="F28" s="59"/>
      <c r="G28" s="59"/>
      <c r="H28" s="59"/>
      <c r="I28" s="59"/>
      <c r="J28" s="60">
        <f>'Raw Data 1'!I15/'Raw Data 1'!I14-1</f>
        <v>1.269820315423531E-2</v>
      </c>
      <c r="K28" s="59"/>
      <c r="L28" s="59"/>
      <c r="M28" s="59"/>
      <c r="N28" s="59"/>
      <c r="O28" s="76">
        <f>'Raw Data 1'!N15/'Raw Data 1'!N14-1</f>
        <v>5.7818659658344318E-2</v>
      </c>
      <c r="P28" s="60">
        <f>'Raw Data 1'!O15/'Raw Data 1'!O14-1</f>
        <v>-0.14495976553461709</v>
      </c>
      <c r="Q28" s="116"/>
      <c r="R28" s="118">
        <f>J13*GETPIVOTDATA("volume",'Raw Data'!$G$2,"indicator","Transportation","year",2024)+Methodology!O13*GETPIVOTDATA("volume",'Raw Data'!$G$2,"indicator","Air Bus","year",2024)+Methodology!P13*GETPIVOTDATA("volume",'Raw Data'!$G$2,"indicator","Boeing","year",2024)</f>
        <v>1.5683173591133959E-2</v>
      </c>
      <c r="S28" s="118">
        <f>K13*GETPIVOTDATA("volume",'Raw Data'!$G$2,"indicator","Transportation","year",2024)+Methodology!P13*GETPIVOTDATA("volume",'Raw Data'!$G$2,"indicator","Air Bus","year",2024)+Methodology!Q13*GETPIVOTDATA("volume",'Raw Data'!$G$2,"indicator","Boeing","year",2024)</f>
        <v>-3.7706063694550686E-2</v>
      </c>
      <c r="T28" s="118">
        <f>L13*GETPIVOTDATA("volume",'Raw Data'!$G$2,"indicator","Transportation","year",2024)+Methodology!Q13*GETPIVOTDATA("volume",'Raw Data'!$G$2,"indicator","Air Bus","year",2024)+Methodology!R13*GETPIVOTDATA("volume",'Raw Data'!$G$2,"indicator","Boeing","year",2024)</f>
        <v>1.7345597897503284E-2</v>
      </c>
      <c r="U28" s="118">
        <f>M13*GETPIVOTDATA("volume",'Raw Data'!$G$2,"indicator","Transportation","year",2024)+Methodology!R13*GETPIVOTDATA("volume",'Raw Data'!$G$2,"indicator","Air Bus","year",2024)+Methodology!S13*GETPIVOTDATA("volume",'Raw Data'!$G$2,"indicator","Boeing","year",2024)</f>
        <v>0</v>
      </c>
      <c r="V28" s="118">
        <f>N13*GETPIVOTDATA("volume",'Raw Data'!$G$2,"indicator","Transportation","year",2024)+Methodology!S13*GETPIVOTDATA("volume",'Raw Data'!$G$2,"indicator","Air Bus","year",2024)+Methodology!T13*GETPIVOTDATA("volume",'Raw Data'!$G$2,"indicator","Boeing","year",2024)</f>
        <v>0</v>
      </c>
      <c r="W28" s="118">
        <f>O13*GETPIVOTDATA("volume",'Raw Data'!$G$2,"indicator","Transportation","year",2024)+Methodology!T13*GETPIVOTDATA("volume",'Raw Data'!$G$2,"indicator","Air Bus","year",2024)+Methodology!U13*GETPIVOTDATA("volume",'Raw Data'!$G$2,"indicator","Boeing","year",2024)</f>
        <v>6.3491015771176204E-3</v>
      </c>
      <c r="X28" s="118">
        <f>P13*GETPIVOTDATA("volume",'Raw Data'!$G$2,"indicator","Transportation","year",2024)+Methodology!U13*GETPIVOTDATA("volume",'Raw Data'!$G$2,"indicator","Air Bus","year",2024)+Methodology!V13*GETPIVOTDATA("volume",'Raw Data'!$G$2,"indicator","Boeing","year",2024)</f>
        <v>1.2698203154235242E-3</v>
      </c>
      <c r="Y28" s="118">
        <f>Q13*GETPIVOTDATA("volume",'Raw Data'!$G$2,"indicator","Transportation","year",2024)+Methodology!V13*GETPIVOTDATA("volume",'Raw Data'!$G$2,"indicator","Air Bus","year",2024)+Methodology!W13*GETPIVOTDATA("volume",'Raw Data'!$G$2,"indicator","Boeing","year",2024)</f>
        <v>3.8094609462705721E-3</v>
      </c>
      <c r="Z28" s="118">
        <f>R13*GETPIVOTDATA("volume",'Raw Data'!$G$2,"indicator","Transportation","year",2024)+Methodology!W13*GETPIVOTDATA("volume",'Raw Data'!$G$2,"indicator","Air Bus","year",2024)+Methodology!X13*GETPIVOTDATA("volume",'Raw Data'!$G$2,"indicator","Boeing","year",2024)</f>
        <v>0</v>
      </c>
    </row>
    <row r="29" spans="2:27">
      <c r="B29" s="33" t="s">
        <v>48</v>
      </c>
      <c r="C29" s="34"/>
      <c r="D29" s="35"/>
      <c r="E29" s="35"/>
      <c r="F29" s="35"/>
      <c r="G29" s="35"/>
      <c r="H29" s="35"/>
      <c r="I29" s="35"/>
      <c r="J29" s="35"/>
      <c r="K29" s="35"/>
      <c r="L29" s="35"/>
      <c r="M29" s="35"/>
      <c r="N29" s="35"/>
      <c r="O29" s="72"/>
      <c r="P29" s="35"/>
      <c r="Q29" s="35"/>
      <c r="R29" s="67"/>
    </row>
    <row r="30"/>
    <row r="31" spans="2:27" ht="15.75" customHeight="true"/>
  </sheetData>
  <mergeCells count="12">
    <mergeCell ref="X17:X18"/>
    <mergeCell ref="Y17:Y18"/>
    <mergeCell ref="Z17:Z18"/>
    <mergeCell ref="B16:Q16"/>
    <mergeCell ref="V17:V18"/>
    <mergeCell ref="W17:W18"/>
    <mergeCell ref="B2:B3"/>
    <mergeCell ref="B17:B18"/>
    <mergeCell ref="R17:R18"/>
    <mergeCell ref="T17:T18"/>
    <mergeCell ref="U17:U18"/>
    <mergeCell ref="S17:S1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F950-6023-48E8-9888-8D250EFAEF79}">
  <dimension ref="A1:B20"/>
  <sheetViews>
    <sheetView workbookViewId="0">
      <selection activeCell="B24" sqref="B24"/>
    </sheetView>
  </sheetViews>
  <sheetFormatPr defaultRowHeight="14"/>
  <cols>
    <col bestFit="true" customWidth="true" max="1" min="1" width="16.5"/>
    <col bestFit="true" customWidth="true" max="2" min="2" width="204.33203125"/>
  </cols>
  <sheetData>
    <row r="1" spans="1:2" ht="15.5">
      <c r="A1" s="86" t="s">
        <v>117</v>
      </c>
      <c r="B1" s="87" t="s">
        <v>118</v>
      </c>
    </row>
    <row r="2" spans="1:2">
      <c r="A2" s="82" t="s">
        <v>45</v>
      </c>
      <c r="B2" s="83" t="s">
        <v>129</v>
      </c>
    </row>
    <row r="3" spans="1:2">
      <c r="A3" s="82" t="s">
        <v>25</v>
      </c>
      <c r="B3" s="83" t="s">
        <v>130</v>
      </c>
    </row>
    <row r="4" spans="1:2">
      <c r="A4" s="82" t="s">
        <v>42</v>
      </c>
      <c r="B4" s="83" t="s">
        <v>131</v>
      </c>
    </row>
    <row r="5" spans="1:2">
      <c r="A5" s="82" t="s">
        <v>16</v>
      </c>
      <c r="B5" s="83" t="s">
        <v>119</v>
      </c>
    </row>
    <row r="6" spans="1:2">
      <c r="A6" s="82" t="s">
        <v>15</v>
      </c>
      <c r="B6" s="83" t="s">
        <v>120</v>
      </c>
    </row>
    <row r="7" spans="1:2">
      <c r="A7" s="82" t="s">
        <v>7</v>
      </c>
      <c r="B7" s="83" t="s">
        <v>121</v>
      </c>
    </row>
    <row r="8" spans="1:2">
      <c r="A8" s="82" t="s">
        <v>12</v>
      </c>
      <c r="B8" s="83" t="s">
        <v>122</v>
      </c>
    </row>
    <row r="9" spans="1:2">
      <c r="A9" s="82" t="s">
        <v>17</v>
      </c>
      <c r="B9" s="83" t="s">
        <v>123</v>
      </c>
    </row>
    <row r="10" spans="1:2">
      <c r="A10" s="82" t="s">
        <v>11</v>
      </c>
      <c r="B10" s="83" t="s">
        <v>124</v>
      </c>
    </row>
    <row r="11" spans="1:2">
      <c r="A11" s="82" t="s">
        <v>44</v>
      </c>
      <c r="B11" s="83" t="s">
        <v>130</v>
      </c>
    </row>
    <row r="12" spans="1:2">
      <c r="A12" s="82" t="s">
        <v>14</v>
      </c>
      <c r="B12" s="83" t="s">
        <v>125</v>
      </c>
    </row>
    <row r="13" spans="1:2">
      <c r="A13" s="82" t="s">
        <v>13</v>
      </c>
      <c r="B13" s="83" t="s">
        <v>126</v>
      </c>
    </row>
    <row r="14" spans="1:2">
      <c r="A14" s="82" t="s">
        <v>10</v>
      </c>
      <c r="B14" s="83" t="s">
        <v>127</v>
      </c>
    </row>
    <row r="15" spans="1:2">
      <c r="A15" s="82" t="s">
        <v>9</v>
      </c>
      <c r="B15" s="83" t="s">
        <v>128</v>
      </c>
    </row>
    <row r="16" spans="1:2">
      <c r="A16" s="82" t="s">
        <v>34</v>
      </c>
      <c r="B16" s="83" t="s">
        <v>135</v>
      </c>
    </row>
    <row r="17" spans="1:2">
      <c r="A17" s="82" t="s">
        <v>43</v>
      </c>
      <c r="B17" s="83" t="s">
        <v>131</v>
      </c>
    </row>
    <row r="18" spans="1:2">
      <c r="A18" s="82" t="s">
        <v>39</v>
      </c>
      <c r="B18" s="83" t="s">
        <v>132</v>
      </c>
    </row>
    <row r="19" spans="1:2">
      <c r="A19" s="82" t="s">
        <v>40</v>
      </c>
      <c r="B19" s="83" t="s">
        <v>133</v>
      </c>
    </row>
    <row r="20" spans="1:2">
      <c r="A20" s="84" t="s">
        <v>41</v>
      </c>
      <c r="B20" s="85" t="s">
        <v>134</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3263-7F62-40F9-93BA-F00043B0072B}">
  <dimension ref="A1:I20"/>
  <sheetViews>
    <sheetView workbookViewId="0">
      <selection activeCell="B28" sqref="B28"/>
    </sheetView>
  </sheetViews>
  <sheetFormatPr defaultRowHeight="14"/>
  <cols>
    <col customWidth="true" max="1" min="1" width="15"/>
    <col bestFit="true" customWidth="true" max="2" min="2" width="14.83203125"/>
    <col bestFit="true" customWidth="true" max="3" min="3" width="85.58203125"/>
    <col bestFit="true" customWidth="true" max="5" min="5" width="10.5"/>
    <col customWidth="true" max="7" min="7" width="14.33203125"/>
    <col bestFit="true" customWidth="true" max="8" min="8" width="14.33203125"/>
    <col bestFit="true" customWidth="true" max="9" min="9" width="35.5"/>
  </cols>
  <sheetData>
    <row r="1" spans="1:9" s="1" customFormat="true">
      <c r="A1" s="8" t="s">
        <v>177</v>
      </c>
      <c r="B1" s="96" t="s">
        <v>19</v>
      </c>
      <c r="C1" s="97"/>
      <c r="D1" s="97"/>
      <c r="E1" s="98"/>
      <c r="F1" s="99" t="s">
        <v>23</v>
      </c>
      <c r="G1" s="100"/>
      <c r="H1" s="100"/>
      <c r="I1" s="101"/>
    </row>
    <row r="2" spans="1:9" s="1" customFormat="true">
      <c r="A2" s="8" t="s">
        <v>177</v>
      </c>
      <c r="B2" s="96" t="s">
        <v>21</v>
      </c>
      <c r="C2" s="98"/>
      <c r="D2" s="96" t="s">
        <v>57</v>
      </c>
      <c r="E2" s="98"/>
      <c r="F2" s="5" t="s">
        <v>21</v>
      </c>
      <c r="G2" s="96" t="s">
        <v>57</v>
      </c>
      <c r="H2" s="97"/>
      <c r="I2" s="98"/>
    </row>
    <row r="3" spans="1:9" s="1" customFormat="true">
      <c r="A3" s="8" t="s">
        <v>177</v>
      </c>
      <c r="B3" s="5" t="s">
        <v>20</v>
      </c>
      <c r="C3" s="5" t="s">
        <v>25</v>
      </c>
      <c r="D3" s="5" t="s">
        <v>20</v>
      </c>
      <c r="E3" s="5" t="s">
        <v>25</v>
      </c>
      <c r="F3" s="5" t="s">
        <v>25</v>
      </c>
      <c r="G3" s="5" t="s">
        <v>25</v>
      </c>
      <c r="H3" s="5" t="s">
        <v>24</v>
      </c>
      <c r="I3" s="5" t="s">
        <v>26</v>
      </c>
    </row>
    <row r="4" spans="1:9">
      <c r="A4" s="2" t="s">
        <v>0</v>
      </c>
      <c r="B4" s="3" t="s">
        <v>178</v>
      </c>
      <c r="C4" s="3" t="s">
        <v>179</v>
      </c>
      <c r="D4" s="3" t="s">
        <v>180</v>
      </c>
      <c r="E4" s="3" t="s">
        <v>181</v>
      </c>
      <c r="F4" s="7" t="s">
        <v>182</v>
      </c>
      <c r="G4" s="3" t="s">
        <v>183</v>
      </c>
      <c r="H4" s="3" t="s">
        <v>177</v>
      </c>
      <c r="I4" s="3" t="s">
        <v>177</v>
      </c>
    </row>
    <row r="5" spans="1:9">
      <c r="A5" s="2" t="s">
        <v>1</v>
      </c>
      <c r="B5" s="3" t="s">
        <v>184</v>
      </c>
      <c r="C5" s="4"/>
      <c r="D5" s="3" t="s">
        <v>185</v>
      </c>
      <c r="E5" s="4"/>
      <c r="F5" s="7" t="s">
        <v>182</v>
      </c>
      <c r="G5" s="4"/>
      <c r="H5" s="3" t="s">
        <v>186</v>
      </c>
      <c r="I5" s="3" t="s">
        <v>187</v>
      </c>
    </row>
    <row r="6" spans="1:9">
      <c r="A6" s="2" t="s">
        <v>2</v>
      </c>
      <c r="B6" s="3" t="s">
        <v>188</v>
      </c>
      <c r="C6" s="4"/>
      <c r="D6" s="3" t="s">
        <v>184</v>
      </c>
      <c r="E6" s="4"/>
      <c r="F6" s="3" t="s">
        <v>189</v>
      </c>
      <c r="G6" s="4"/>
      <c r="H6" s="3" t="s">
        <v>190</v>
      </c>
      <c r="I6" s="3" t="s">
        <v>184</v>
      </c>
    </row>
    <row r="7" spans="1:9">
      <c r="A7" s="2" t="s">
        <v>3</v>
      </c>
      <c r="B7" s="3" t="s">
        <v>180</v>
      </c>
      <c r="C7" s="4"/>
      <c r="D7" s="3" t="s">
        <v>181</v>
      </c>
      <c r="E7" s="4"/>
      <c r="F7" s="3" t="s">
        <v>191</v>
      </c>
      <c r="G7" s="4"/>
      <c r="H7" s="3" t="s">
        <v>192</v>
      </c>
      <c r="I7" s="3" t="s">
        <v>193</v>
      </c>
    </row>
    <row r="8" spans="1:9">
      <c r="A8" s="2" t="s">
        <v>4</v>
      </c>
      <c r="B8" s="3" t="s">
        <v>194</v>
      </c>
      <c r="C8" s="4"/>
      <c r="D8" s="3" t="s">
        <v>185</v>
      </c>
      <c r="E8" s="4"/>
      <c r="F8" s="10"/>
      <c r="G8" s="4"/>
      <c r="H8" s="3" t="s">
        <v>179</v>
      </c>
      <c r="I8" s="3" t="s">
        <v>179</v>
      </c>
    </row>
    <row r="9" spans="1:9">
      <c r="A9" s="2" t="s">
        <v>5</v>
      </c>
      <c r="B9" s="3" t="s">
        <v>194</v>
      </c>
      <c r="C9" s="4"/>
      <c r="D9" s="3" t="s">
        <v>191</v>
      </c>
      <c r="E9" s="4"/>
      <c r="F9" s="10"/>
      <c r="G9" s="4"/>
      <c r="H9" s="3" t="s">
        <v>184</v>
      </c>
      <c r="I9" s="3" t="s">
        <v>184</v>
      </c>
    </row>
    <row r="10" spans="1:9">
      <c r="A10" s="2" t="s">
        <v>6</v>
      </c>
      <c r="B10" s="3" t="s">
        <v>195</v>
      </c>
      <c r="C10" s="4"/>
      <c r="D10" s="3" t="s">
        <v>196</v>
      </c>
      <c r="E10" s="4"/>
      <c r="F10" s="3" t="s">
        <v>197</v>
      </c>
      <c r="G10" s="4"/>
      <c r="H10" s="9" t="s">
        <v>177</v>
      </c>
      <c r="I10" s="9" t="s">
        <v>177</v>
      </c>
    </row>
    <row r="11" spans="1:9">
      <c r="A11" s="2" t="s">
        <v>153</v>
      </c>
      <c r="B11" s="3" t="s">
        <v>198</v>
      </c>
      <c r="C11" s="4"/>
      <c r="D11" s="3" t="s">
        <v>199</v>
      </c>
      <c r="E11" s="4"/>
      <c r="F11" s="3" t="s">
        <v>200</v>
      </c>
      <c r="G11" s="4"/>
      <c r="H11" s="6" t="s">
        <v>200</v>
      </c>
      <c r="I11" s="3" t="s">
        <v>200</v>
      </c>
    </row>
    <row r="12"/>
    <row r="13"/>
    <row r="14" spans="1:9">
      <c r="A14" s="96" t="s">
        <v>28</v>
      </c>
      <c r="B14" s="97"/>
      <c r="C14" s="97"/>
    </row>
    <row r="15" spans="1:9">
      <c r="A15" s="4"/>
      <c r="B15" s="11" t="s">
        <v>18</v>
      </c>
      <c r="C15" s="11" t="s">
        <v>27</v>
      </c>
    </row>
    <row r="16" spans="1:9">
      <c r="A16" s="2" t="s">
        <v>8</v>
      </c>
      <c r="B16" s="3">
        <v>5.0999999999999997E-2</v>
      </c>
      <c r="C16" s="4" t="s">
        <v>29</v>
      </c>
    </row>
    <row r="17" spans="1:3">
      <c r="A17" s="2" t="s">
        <v>2</v>
      </c>
      <c r="B17" s="3">
        <v>5.0000000000000001E-3</v>
      </c>
      <c r="C17" s="4" t="s">
        <v>30</v>
      </c>
    </row>
    <row r="18" spans="1:3">
      <c r="A18" s="2" t="s">
        <v>3</v>
      </c>
      <c r="B18" s="3">
        <v>3.1E-2</v>
      </c>
      <c r="C18" s="4" t="s">
        <v>31</v>
      </c>
    </row>
    <row r="19" spans="1:3">
      <c r="A19" s="2" t="s">
        <v>6</v>
      </c>
      <c r="B19" s="3">
        <v>0.16</v>
      </c>
      <c r="C19" s="4" t="s">
        <v>33</v>
      </c>
    </row>
    <row r="20" spans="1:3">
      <c r="A20" s="2" t="s">
        <v>7</v>
      </c>
      <c r="B20" s="3">
        <v>1.4E-2</v>
      </c>
      <c r="C20" s="4" t="s">
        <v>32</v>
      </c>
    </row>
  </sheetData>
  <mergeCells count="6">
    <mergeCell ref="A14:C14"/>
    <mergeCell ref="B1:E1"/>
    <mergeCell ref="B2:C2"/>
    <mergeCell ref="D2:E2"/>
    <mergeCell ref="F1:I1"/>
    <mergeCell ref="G2:I2"/>
  </mergeCells>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ACC99-CE0B-4DE3-822B-35F3A9CE5B32}">
  <dimension ref="A1:R267"/>
  <sheetViews>
    <sheetView topLeftCell="B1" zoomScale="85" zoomScaleNormal="85" workbookViewId="0">
      <selection activeCell="K14" sqref="K14"/>
    </sheetView>
  </sheetViews>
  <sheetFormatPr defaultRowHeight="14"/>
  <cols>
    <col bestFit="true" customWidth="true" max="1" min="1" width="14.5"/>
    <col max="4" min="2" style="1" width="8.6640625"/>
    <col bestFit="true" customWidth="true" max="5" min="5" style="102" width="12.58203125"/>
    <col bestFit="true" customWidth="true" max="7" min="7" width="14.75"/>
    <col bestFit="true" customWidth="true" max="8" min="8" width="16.25"/>
    <col bestFit="true" customWidth="true" max="9" min="9" width="7.6640625"/>
    <col bestFit="true" customWidth="true" max="10" min="10" width="8.58203125"/>
    <col bestFit="true" customWidth="true" max="17" min="11" width="7.5"/>
    <col bestFit="true" customWidth="true" max="18" min="18" width="11.25"/>
  </cols>
  <sheetData>
    <row r="1" spans="1:18" s="103" customFormat="true">
      <c r="A1" s="103" t="s">
        <v>137</v>
      </c>
      <c r="B1" s="103" t="s">
        <v>138</v>
      </c>
      <c r="C1" s="103" t="s">
        <v>139</v>
      </c>
      <c r="D1" s="103" t="s">
        <v>140</v>
      </c>
      <c r="E1" s="104" t="s">
        <v>141</v>
      </c>
    </row>
    <row r="2" spans="1:18">
      <c r="A2" t="s">
        <v>16</v>
      </c>
      <c r="B2" s="1">
        <v>2014</v>
      </c>
      <c r="C2" s="1" t="s">
        <v>45</v>
      </c>
      <c r="D2" s="1" t="s">
        <v>49</v>
      </c>
      <c r="E2" s="102">
        <v>1984154.1432880235</v>
      </c>
      <c r="G2" s="105" t="s">
        <v>143</v>
      </c>
      <c r="H2" s="105" t="s">
        <v>146</v>
      </c>
    </row>
    <row r="3" spans="1:18">
      <c r="A3" t="s">
        <v>16</v>
      </c>
      <c r="B3" s="1">
        <v>2015</v>
      </c>
      <c r="C3" s="1" t="s">
        <v>45</v>
      </c>
      <c r="D3" s="1" t="s">
        <v>49</v>
      </c>
      <c r="E3" s="102">
        <v>2026880.4548225864</v>
      </c>
      <c r="G3" s="105" t="s">
        <v>147</v>
      </c>
      <c r="H3">
        <v>2023</v>
      </c>
      <c r="I3">
        <v>2024</v>
      </c>
      <c r="J3">
        <v>2025</v>
      </c>
      <c r="K3">
        <v>2026</v>
      </c>
      <c r="L3">
        <v>2027</v>
      </c>
      <c r="M3">
        <v>2028</v>
      </c>
      <c r="N3">
        <v>2029</v>
      </c>
      <c r="O3">
        <v>2030</v>
      </c>
      <c r="P3">
        <v>2031</v>
      </c>
      <c r="Q3">
        <v>2032</v>
      </c>
      <c r="R3" t="s">
        <v>144</v>
      </c>
    </row>
    <row r="4" spans="1:18">
      <c r="A4" t="s">
        <v>16</v>
      </c>
      <c r="B4" s="1">
        <v>2016</v>
      </c>
      <c r="C4" s="1" t="s">
        <v>45</v>
      </c>
      <c r="D4" s="1" t="s">
        <v>49</v>
      </c>
      <c r="E4" s="102">
        <v>2089804.4344935615</v>
      </c>
      <c r="G4" s="106" t="s">
        <v>145</v>
      </c>
      <c r="H4" s="107"/>
      <c r="I4" s="107">
        <v>2.6464848911524536E-2</v>
      </c>
      <c r="J4" s="107">
        <v>2.7992220881812396E-2</v>
      </c>
      <c r="K4" s="107">
        <v>2.6395774529386972E-2</v>
      </c>
      <c r="L4" s="107">
        <v>2.5761715555757486E-2</v>
      </c>
      <c r="M4" s="107">
        <v>2.5624569134726015E-2</v>
      </c>
      <c r="N4" s="107">
        <v>2.5364424353413132E-2</v>
      </c>
      <c r="O4" s="107">
        <v>2.5183130794517995E-2</v>
      </c>
      <c r="P4" s="107">
        <v>2.4935489291009222E-2</v>
      </c>
      <c r="Q4" s="107">
        <v>2.4970322343361159E-2</v>
      </c>
      <c r="R4" s="107"/>
    </row>
    <row r="5" spans="1:18">
      <c r="A5" t="s">
        <v>16</v>
      </c>
      <c r="B5" s="1">
        <v>2017</v>
      </c>
      <c r="C5" s="1" t="s">
        <v>45</v>
      </c>
      <c r="D5" s="1" t="s">
        <v>49</v>
      </c>
      <c r="E5" s="102">
        <v>2166743.0790580329</v>
      </c>
      <c r="G5" s="106" t="s">
        <v>149</v>
      </c>
      <c r="H5" s="107"/>
      <c r="I5" s="107">
        <v>6.010717126652119E-4</v>
      </c>
      <c r="J5" s="107">
        <v>1.7144869108521518E-2</v>
      </c>
      <c r="K5" s="107">
        <v>1.4338148657487058E-2</v>
      </c>
      <c r="L5" s="107">
        <v>2.0662890704975425E-2</v>
      </c>
      <c r="M5" s="107">
        <v>4.1714221768061974E-3</v>
      </c>
      <c r="N5" s="107">
        <v>1.3119631179459246E-2</v>
      </c>
      <c r="O5" s="107">
        <v>1.2949699284881783E-2</v>
      </c>
      <c r="P5" s="107">
        <v>1.7877948358643349E-2</v>
      </c>
      <c r="Q5" s="107">
        <v>1.4556746004524175E-2</v>
      </c>
      <c r="R5" s="107"/>
    </row>
    <row r="6" spans="1:18">
      <c r="A6" t="s">
        <v>16</v>
      </c>
      <c r="B6" s="1">
        <v>2018</v>
      </c>
      <c r="C6" s="1" t="s">
        <v>45</v>
      </c>
      <c r="D6" s="1" t="s">
        <v>49</v>
      </c>
      <c r="E6" s="102">
        <v>2233855.95615162</v>
      </c>
      <c r="G6" s="106" t="s">
        <v>151</v>
      </c>
      <c r="H6" s="107"/>
      <c r="I6" s="107">
        <v>1.5722562067716994E-2</v>
      </c>
      <c r="J6" s="107">
        <v>2.5758456251984734E-2</v>
      </c>
      <c r="K6" s="107">
        <v>3.5372111294698722E-2</v>
      </c>
      <c r="L6" s="107">
        <v>3.786661861688323E-2</v>
      </c>
      <c r="M6" s="107">
        <v>3.7321011084638603E-2</v>
      </c>
      <c r="N6" s="107">
        <v>3.6147527574779445E-2</v>
      </c>
      <c r="O6" s="107">
        <v>3.6050932852235346E-2</v>
      </c>
      <c r="P6" s="107">
        <v>3.5646727442700525E-2</v>
      </c>
      <c r="Q6" s="107">
        <v>3.5606979276463953E-2</v>
      </c>
      <c r="R6" s="107"/>
    </row>
    <row r="7" spans="1:18">
      <c r="A7" t="s">
        <v>16</v>
      </c>
      <c r="B7" s="1">
        <v>2019</v>
      </c>
      <c r="C7" s="1" t="s">
        <v>45</v>
      </c>
      <c r="D7" s="1" t="s">
        <v>49</v>
      </c>
      <c r="E7" s="102">
        <v>2305703.0323980432</v>
      </c>
      <c r="G7" s="106" t="s">
        <v>168</v>
      </c>
      <c r="H7" s="107"/>
      <c r="I7" s="107">
        <v>4.0681537706204349E-2</v>
      </c>
      <c r="J7" s="107">
        <v>4.7704486748867604E-2</v>
      </c>
      <c r="K7" s="107">
        <v>5.178273446527118E-2</v>
      </c>
      <c r="L7" s="107">
        <v>5.2706333187828344E-2</v>
      </c>
      <c r="M7" s="107">
        <v>5.2734542159508506E-2</v>
      </c>
      <c r="N7" s="107">
        <v>5.191482978471465E-2</v>
      </c>
      <c r="O7" s="107">
        <v>5.1865842200620432E-2</v>
      </c>
      <c r="P7" s="107">
        <v>5.1956292862240794E-2</v>
      </c>
      <c r="Q7" s="107">
        <v>5.2380005244511627E-2</v>
      </c>
      <c r="R7" s="107"/>
    </row>
    <row r="8" spans="1:18">
      <c r="A8" t="s">
        <v>16</v>
      </c>
      <c r="B8" s="1">
        <v>2020</v>
      </c>
      <c r="C8" s="1" t="s">
        <v>45</v>
      </c>
      <c r="D8" s="1" t="s">
        <v>49</v>
      </c>
      <c r="E8" s="102">
        <v>2354085.69353271</v>
      </c>
      <c r="G8" s="106" t="s">
        <v>152</v>
      </c>
      <c r="H8" s="107"/>
      <c r="I8" s="107">
        <v>0.10614337494234168</v>
      </c>
      <c r="J8" s="107">
        <v>5.3054037252384202E-2</v>
      </c>
      <c r="K8" s="107">
        <v>5.1036149192415933E-2</v>
      </c>
      <c r="L8" s="107">
        <v>5.1331493998906449E-2</v>
      </c>
      <c r="M8" s="107">
        <v>5.1544956968239353E-2</v>
      </c>
      <c r="N8" s="107">
        <v>5.0756786865694938E-2</v>
      </c>
      <c r="O8" s="107">
        <v>4.9116803242298224E-2</v>
      </c>
      <c r="P8" s="107">
        <v>4.8053953773415446E-2</v>
      </c>
      <c r="Q8" s="107">
        <v>4.704663333413444E-2</v>
      </c>
      <c r="R8" s="107"/>
    </row>
    <row r="9" spans="1:18">
      <c r="A9" t="s">
        <v>16</v>
      </c>
      <c r="B9" s="1">
        <v>2021</v>
      </c>
      <c r="C9" s="1" t="s">
        <v>45</v>
      </c>
      <c r="D9" s="1" t="s">
        <v>49</v>
      </c>
      <c r="E9" s="102">
        <v>2485893.4408868095</v>
      </c>
      <c r="G9" s="106" t="s">
        <v>153</v>
      </c>
      <c r="H9" s="107"/>
      <c r="I9" s="107">
        <v>4.517740477642871E-2</v>
      </c>
      <c r="J9" s="107">
        <v>3.8163017584702884E-2</v>
      </c>
      <c r="K9" s="107">
        <v>3.2545620808604382E-2</v>
      </c>
      <c r="L9" s="107">
        <v>2.9267371842763172E-2</v>
      </c>
      <c r="M9" s="107">
        <v>2.9980319701191124E-2</v>
      </c>
      <c r="N9" s="107">
        <v>3.0155162029340186E-2</v>
      </c>
      <c r="O9" s="107">
        <v>2.8457641052506179E-2</v>
      </c>
      <c r="P9" s="107">
        <v>2.7336130286952851E-2</v>
      </c>
      <c r="Q9" s="107">
        <v>2.6794890842518702E-2</v>
      </c>
      <c r="R9" s="107"/>
    </row>
    <row r="10" spans="1:18">
      <c r="A10" t="s">
        <v>16</v>
      </c>
      <c r="B10" s="1">
        <v>2022</v>
      </c>
      <c r="C10" s="1" t="s">
        <v>45</v>
      </c>
      <c r="D10" s="1" t="s">
        <v>49</v>
      </c>
      <c r="E10" s="102">
        <v>2582346.5490111676</v>
      </c>
      <c r="G10" s="106" t="s">
        <v>154</v>
      </c>
      <c r="H10" s="107"/>
      <c r="I10" s="107">
        <v>3.3246695611066586E-2</v>
      </c>
      <c r="J10" s="107">
        <v>1.8109463637006037E-2</v>
      </c>
      <c r="K10" s="107">
        <v>1.7703417195894026E-2</v>
      </c>
      <c r="L10" s="107">
        <v>1.7814163273580208E-2</v>
      </c>
      <c r="M10" s="107">
        <v>1.9718401000496696E-2</v>
      </c>
      <c r="N10" s="107">
        <v>2.0485060912159625E-2</v>
      </c>
      <c r="O10" s="107">
        <v>1.9424102819202441E-2</v>
      </c>
      <c r="P10" s="107">
        <v>2.1802467239101633E-2</v>
      </c>
      <c r="Q10" s="107">
        <v>2.3227058412537513E-2</v>
      </c>
      <c r="R10" s="107"/>
    </row>
    <row r="11" spans="1:18">
      <c r="A11" t="s">
        <v>16</v>
      </c>
      <c r="B11" s="1">
        <v>2023</v>
      </c>
      <c r="C11" s="1" t="s">
        <v>45</v>
      </c>
      <c r="D11" s="1" t="s">
        <v>49</v>
      </c>
      <c r="E11" s="102">
        <v>2676632.5358016375</v>
      </c>
      <c r="G11" s="106" t="s">
        <v>155</v>
      </c>
      <c r="H11" s="107"/>
      <c r="I11" s="107">
        <v>4.0669848326009145E-2</v>
      </c>
      <c r="J11" s="107">
        <v>3.5524723856088347E-2</v>
      </c>
      <c r="K11" s="107">
        <v>3.8849240121861986E-2</v>
      </c>
      <c r="L11" s="107">
        <v>3.9711169856343424E-2</v>
      </c>
      <c r="M11" s="107">
        <v>3.947919815893091E-2</v>
      </c>
      <c r="N11" s="107">
        <v>3.820530566334214E-2</v>
      </c>
      <c r="O11" s="107">
        <v>3.7406761732290628E-2</v>
      </c>
      <c r="P11" s="107">
        <v>3.8733720601048148E-2</v>
      </c>
      <c r="Q11" s="107">
        <v>3.8191718552416619E-2</v>
      </c>
      <c r="R11" s="107"/>
    </row>
    <row r="12" spans="1:18">
      <c r="A12" t="s">
        <v>16</v>
      </c>
      <c r="B12" s="1">
        <v>2024</v>
      </c>
      <c r="C12" s="1" t="s">
        <v>45</v>
      </c>
      <c r="D12" s="1" t="s">
        <v>49</v>
      </c>
      <c r="E12" s="102">
        <v>2747469.2114532986</v>
      </c>
      <c r="G12" s="106" t="s">
        <v>156</v>
      </c>
      <c r="H12" s="107"/>
      <c r="I12" s="107">
        <v>4.261347905003459E-2</v>
      </c>
      <c r="J12" s="107">
        <v>3.9073816947652322E-2</v>
      </c>
      <c r="K12" s="107">
        <v>3.766536897846158E-2</v>
      </c>
      <c r="L12" s="107">
        <v>4.2880186477169152E-2</v>
      </c>
      <c r="M12" s="107">
        <v>4.4709447933680313E-2</v>
      </c>
      <c r="N12" s="107">
        <v>4.3034944153049551E-2</v>
      </c>
      <c r="O12" s="107">
        <v>4.2701671556540609E-2</v>
      </c>
      <c r="P12" s="107">
        <v>4.213719821221841E-2</v>
      </c>
      <c r="Q12" s="107">
        <v>3.9822123879057508E-2</v>
      </c>
      <c r="R12" s="107"/>
    </row>
    <row r="13" spans="1:18">
      <c r="A13" t="s">
        <v>16</v>
      </c>
      <c r="B13" s="1">
        <v>2025</v>
      </c>
      <c r="C13" s="1" t="s">
        <v>45</v>
      </c>
      <c r="D13" s="1" t="s">
        <v>49</v>
      </c>
      <c r="E13" s="102">
        <v>2824376.9764862782</v>
      </c>
      <c r="G13" s="106" t="s">
        <v>157</v>
      </c>
      <c r="H13" s="107"/>
      <c r="I13" s="107">
        <v>8.33989628359064E-3</v>
      </c>
      <c r="J13" s="107">
        <v>-4.5509703453095723E-3</v>
      </c>
      <c r="K13" s="107">
        <v>-4.3452489630387849E-4</v>
      </c>
      <c r="L13" s="107">
        <v>3.8303656247984119E-3</v>
      </c>
      <c r="M13" s="107">
        <v>-7.6554434414572152E-4</v>
      </c>
      <c r="N13" s="107">
        <v>-4.1068387942811025E-3</v>
      </c>
      <c r="O13" s="107">
        <v>-9.0207664426328743E-3</v>
      </c>
      <c r="P13" s="107">
        <v>-1.0785458692479205E-2</v>
      </c>
      <c r="Q13" s="107">
        <v>3.2213101962444298E-3</v>
      </c>
      <c r="R13" s="107"/>
    </row>
    <row r="14" spans="1:18">
      <c r="A14" t="s">
        <v>16</v>
      </c>
      <c r="B14" s="1">
        <v>2026</v>
      </c>
      <c r="C14" s="1" t="s">
        <v>45</v>
      </c>
      <c r="D14" s="1" t="s">
        <v>49</v>
      </c>
      <c r="E14" s="102">
        <v>2898928.5943436017</v>
      </c>
      <c r="G14" s="106" t="s">
        <v>158</v>
      </c>
      <c r="H14" s="107"/>
      <c r="I14" s="107">
        <v>-1.2040512784191514E-2</v>
      </c>
      <c r="J14" s="107">
        <v>-1</v>
      </c>
      <c r="K14" s="107" t="e">
        <v>#DIV/0!</v>
      </c>
      <c r="L14" s="107" t="e">
        <v>#DIV/0!</v>
      </c>
      <c r="M14" s="107" t="e">
        <v>#DIV/0!</v>
      </c>
      <c r="N14" s="107" t="e">
        <v>#DIV/0!</v>
      </c>
      <c r="O14" s="107" t="e">
        <v>#DIV/0!</v>
      </c>
      <c r="P14" s="107" t="e">
        <v>#DIV/0!</v>
      </c>
      <c r="Q14" s="107" t="e">
        <v>#DIV/0!</v>
      </c>
      <c r="R14" s="107"/>
    </row>
    <row r="15" spans="1:18">
      <c r="A15" t="s">
        <v>16</v>
      </c>
      <c r="B15" s="1">
        <v>2027</v>
      </c>
      <c r="C15" s="1" t="s">
        <v>45</v>
      </c>
      <c r="D15" s="1" t="s">
        <v>49</v>
      </c>
      <c r="E15" s="102">
        <v>2973609.9682075335</v>
      </c>
      <c r="G15" s="106" t="s">
        <v>159</v>
      </c>
      <c r="H15" s="107"/>
      <c r="I15" s="107">
        <v>1.2698203154235241E-2</v>
      </c>
      <c r="J15" s="107">
        <v>1.8502970164592243E-2</v>
      </c>
      <c r="K15" s="107">
        <v>1.9290597711849829E-2</v>
      </c>
      <c r="L15" s="107">
        <v>2.7552388423158856E-2</v>
      </c>
      <c r="M15" s="107">
        <v>1.0928483631127696E-2</v>
      </c>
      <c r="N15" s="107">
        <v>1.721640195745993E-2</v>
      </c>
      <c r="O15" s="107">
        <v>1.5712815892956651E-2</v>
      </c>
      <c r="P15" s="107">
        <v>2.065536399982535E-2</v>
      </c>
      <c r="Q15" s="107">
        <v>1.97314843417527E-2</v>
      </c>
      <c r="R15" s="107"/>
    </row>
    <row r="16" spans="1:18">
      <c r="A16" t="s">
        <v>16</v>
      </c>
      <c r="B16" s="1">
        <v>2028</v>
      </c>
      <c r="C16" s="1" t="s">
        <v>45</v>
      </c>
      <c r="D16" s="1" t="s">
        <v>49</v>
      </c>
      <c r="E16" s="102">
        <v>3049807.4424175778</v>
      </c>
      <c r="G16" s="106" t="s">
        <v>148</v>
      </c>
      <c r="H16" s="107"/>
      <c r="I16" s="107">
        <v>5.7818659658344283E-2</v>
      </c>
      <c r="J16" s="107">
        <v>-1</v>
      </c>
      <c r="K16" s="107" t="e">
        <v>#DIV/0!</v>
      </c>
      <c r="L16" s="107" t="e">
        <v>#DIV/0!</v>
      </c>
      <c r="M16" s="107" t="e">
        <v>#DIV/0!</v>
      </c>
      <c r="N16" s="107" t="e">
        <v>#DIV/0!</v>
      </c>
      <c r="O16" s="107" t="e">
        <v>#DIV/0!</v>
      </c>
      <c r="P16" s="107" t="e">
        <v>#DIV/0!</v>
      </c>
      <c r="Q16" s="107" t="e">
        <v>#DIV/0!</v>
      </c>
      <c r="R16" s="107"/>
    </row>
    <row r="17" spans="1:18">
      <c r="A17" t="s">
        <v>16</v>
      </c>
      <c r="B17" s="1">
        <v>2029</v>
      </c>
      <c r="C17" s="1" t="s">
        <v>45</v>
      </c>
      <c r="D17" s="1" t="s">
        <v>49</v>
      </c>
      <c r="E17" s="102">
        <v>3127164.0525832549</v>
      </c>
      <c r="G17" s="106" t="s">
        <v>150</v>
      </c>
      <c r="H17" s="107"/>
      <c r="I17" s="107">
        <v>-0.14495976553461706</v>
      </c>
      <c r="J17" s="107">
        <v>-1</v>
      </c>
      <c r="K17" s="107" t="e">
        <v>#DIV/0!</v>
      </c>
      <c r="L17" s="107" t="e">
        <v>#DIV/0!</v>
      </c>
      <c r="M17" s="107" t="e">
        <v>#DIV/0!</v>
      </c>
      <c r="N17" s="107" t="e">
        <v>#DIV/0!</v>
      </c>
      <c r="O17" s="107" t="e">
        <v>#DIV/0!</v>
      </c>
      <c r="P17" s="107" t="e">
        <v>#DIV/0!</v>
      </c>
      <c r="Q17" s="107" t="e">
        <v>#DIV/0!</v>
      </c>
      <c r="R17" s="107"/>
    </row>
    <row r="18" spans="1:18">
      <c r="A18" t="s">
        <v>16</v>
      </c>
      <c r="B18" s="1">
        <v>2030</v>
      </c>
      <c r="C18" s="1" t="s">
        <v>45</v>
      </c>
      <c r="D18" s="1" t="s">
        <v>49</v>
      </c>
      <c r="E18" s="102">
        <v>3205915.8339353739</v>
      </c>
      <c r="G18" s="106" t="s">
        <v>144</v>
      </c>
      <c r="H18" s="107"/>
      <c r="I18" s="107">
        <v>1.1989256340532274E-2</v>
      </c>
      <c r="J18" s="107">
        <v>2.0450369644656081E-2</v>
      </c>
      <c r="K18" s="107">
        <v>2.1006432583580786E-2</v>
      </c>
      <c r="L18" s="107">
        <v>2.5826865808520644E-2</v>
      </c>
      <c r="M18" s="107">
        <v>1.4275919482771123E-2</v>
      </c>
      <c r="N18" s="107">
        <v>2.039868717339248E-2</v>
      </c>
      <c r="O18" s="107">
        <v>2.0149188259328404E-2</v>
      </c>
      <c r="P18" s="107">
        <v>2.3889266221727577E-2</v>
      </c>
      <c r="Q18" s="107">
        <v>2.1640520746517494E-2</v>
      </c>
      <c r="R18" s="107"/>
    </row>
    <row r="19" spans="1:18">
      <c r="A19" t="s">
        <v>16</v>
      </c>
      <c r="B19" s="1">
        <v>2031</v>
      </c>
      <c r="C19" s="1" t="s">
        <v>45</v>
      </c>
      <c r="D19" s="1" t="s">
        <v>49</v>
      </c>
      <c r="E19" s="102">
        <v>3285856.9138803463</v>
      </c>
    </row>
    <row r="20" spans="1:18">
      <c r="A20" t="s">
        <v>16</v>
      </c>
      <c r="B20" s="1">
        <v>2032</v>
      </c>
      <c r="C20" s="1" t="s">
        <v>45</v>
      </c>
      <c r="D20" s="1" t="s">
        <v>49</v>
      </c>
      <c r="E20" s="102">
        <v>3367905.8201941005</v>
      </c>
    </row>
    <row r="21" spans="1:18">
      <c r="A21" t="s">
        <v>15</v>
      </c>
      <c r="B21" s="1">
        <v>2014</v>
      </c>
      <c r="C21" s="1" t="s">
        <v>45</v>
      </c>
      <c r="D21" s="1" t="s">
        <v>49</v>
      </c>
      <c r="E21" s="102">
        <v>380048.53866562591</v>
      </c>
    </row>
    <row r="22" spans="1:18">
      <c r="A22" t="s">
        <v>15</v>
      </c>
      <c r="B22" s="1">
        <v>2015</v>
      </c>
      <c r="C22" s="1" t="s">
        <v>45</v>
      </c>
      <c r="D22" s="1" t="s">
        <v>49</v>
      </c>
      <c r="E22" s="102">
        <v>391674.25283228548</v>
      </c>
    </row>
    <row r="23" spans="1:18">
      <c r="A23" t="s">
        <v>15</v>
      </c>
      <c r="B23" s="1">
        <v>2016</v>
      </c>
      <c r="C23" s="1" t="s">
        <v>45</v>
      </c>
      <c r="D23" s="1" t="s">
        <v>49</v>
      </c>
      <c r="E23" s="102">
        <v>394639.63322090515</v>
      </c>
    </row>
    <row r="24" spans="1:18">
      <c r="A24" t="s">
        <v>15</v>
      </c>
      <c r="B24" s="1">
        <v>2017</v>
      </c>
      <c r="C24" s="1" t="s">
        <v>45</v>
      </c>
      <c r="D24" s="1" t="s">
        <v>49</v>
      </c>
      <c r="E24" s="102">
        <v>381235.42218366271</v>
      </c>
    </row>
    <row r="25" spans="1:18">
      <c r="A25" t="s">
        <v>15</v>
      </c>
      <c r="B25" s="1">
        <v>2018</v>
      </c>
      <c r="C25" s="1" t="s">
        <v>45</v>
      </c>
      <c r="D25" s="1" t="s">
        <v>49</v>
      </c>
      <c r="E25" s="102">
        <v>388158.47904924204</v>
      </c>
    </row>
    <row r="26" spans="1:18">
      <c r="A26" t="s">
        <v>15</v>
      </c>
      <c r="B26" s="1">
        <v>2019</v>
      </c>
      <c r="C26" s="1" t="s">
        <v>45</v>
      </c>
      <c r="D26" s="1" t="s">
        <v>49</v>
      </c>
      <c r="E26" s="102">
        <v>407736.86772479449</v>
      </c>
    </row>
    <row r="27" spans="1:18">
      <c r="A27" t="s">
        <v>15</v>
      </c>
      <c r="B27" s="1">
        <v>2020</v>
      </c>
      <c r="C27" s="1" t="s">
        <v>45</v>
      </c>
      <c r="D27" s="1" t="s">
        <v>49</v>
      </c>
      <c r="E27" s="102">
        <v>393712.927657469</v>
      </c>
    </row>
    <row r="28" spans="1:18">
      <c r="A28" t="s">
        <v>15</v>
      </c>
      <c r="B28" s="1">
        <v>2021</v>
      </c>
      <c r="C28" s="1" t="s">
        <v>45</v>
      </c>
      <c r="D28" s="1" t="s">
        <v>49</v>
      </c>
      <c r="E28" s="102">
        <v>387311.46577575</v>
      </c>
    </row>
    <row r="29" spans="1:18">
      <c r="A29" t="s">
        <v>15</v>
      </c>
      <c r="B29" s="1">
        <v>2022</v>
      </c>
      <c r="C29" s="1" t="s">
        <v>45</v>
      </c>
      <c r="D29" s="1" t="s">
        <v>49</v>
      </c>
      <c r="E29" s="102">
        <v>383017.48008572182</v>
      </c>
    </row>
    <row r="30" spans="1:18">
      <c r="A30" t="s">
        <v>15</v>
      </c>
      <c r="B30" s="1">
        <v>2023</v>
      </c>
      <c r="C30" s="1" t="s">
        <v>45</v>
      </c>
      <c r="D30" s="1" t="s">
        <v>49</v>
      </c>
      <c r="E30" s="102">
        <v>381280.16804919293</v>
      </c>
    </row>
    <row r="31" spans="1:18">
      <c r="A31" t="s">
        <v>15</v>
      </c>
      <c r="B31" s="1">
        <v>2024</v>
      </c>
      <c r="C31" s="1" t="s">
        <v>45</v>
      </c>
      <c r="D31" s="1" t="s">
        <v>49</v>
      </c>
      <c r="E31" s="102">
        <v>384460.00510571321</v>
      </c>
    </row>
    <row r="32" spans="1:18">
      <c r="A32" t="s">
        <v>15</v>
      </c>
      <c r="B32" s="1">
        <v>2025</v>
      </c>
      <c r="C32" s="1" t="s">
        <v>45</v>
      </c>
      <c r="D32" s="1" t="s">
        <v>49</v>
      </c>
      <c r="E32" s="102">
        <v>382710.33902351954</v>
      </c>
    </row>
    <row r="33" spans="1:5">
      <c r="A33" t="s">
        <v>15</v>
      </c>
      <c r="B33" s="1">
        <v>2026</v>
      </c>
      <c r="C33" s="1" t="s">
        <v>45</v>
      </c>
      <c r="D33" s="1" t="s">
        <v>49</v>
      </c>
      <c r="E33" s="102">
        <v>382544.04185314092</v>
      </c>
    </row>
    <row r="34" spans="1:5">
      <c r="A34" t="s">
        <v>15</v>
      </c>
      <c r="B34" s="1">
        <v>2027</v>
      </c>
      <c r="C34" s="1" t="s">
        <v>45</v>
      </c>
      <c r="D34" s="1" t="s">
        <v>49</v>
      </c>
      <c r="E34" s="102">
        <v>384009.32540102664</v>
      </c>
    </row>
    <row r="35" spans="1:5">
      <c r="A35" t="s">
        <v>15</v>
      </c>
      <c r="B35" s="1">
        <v>2028</v>
      </c>
      <c r="C35" s="1" t="s">
        <v>45</v>
      </c>
      <c r="D35" s="1" t="s">
        <v>49</v>
      </c>
      <c r="E35" s="102">
        <v>383715.34923386667</v>
      </c>
    </row>
    <row r="36" spans="1:5">
      <c r="A36" t="s">
        <v>15</v>
      </c>
      <c r="B36" s="1">
        <v>2029</v>
      </c>
      <c r="C36" s="1" t="s">
        <v>45</v>
      </c>
      <c r="D36" s="1" t="s">
        <v>49</v>
      </c>
      <c r="E36" s="102">
        <v>382139.4921516719</v>
      </c>
    </row>
    <row r="37" spans="1:5">
      <c r="A37" t="s">
        <v>15</v>
      </c>
      <c r="B37" s="1">
        <v>2030</v>
      </c>
      <c r="C37" s="1" t="s">
        <v>45</v>
      </c>
      <c r="D37" s="1" t="s">
        <v>49</v>
      </c>
      <c r="E37" s="102">
        <v>378692.30104446533</v>
      </c>
    </row>
    <row r="38" spans="1:5">
      <c r="A38" t="s">
        <v>15</v>
      </c>
      <c r="B38" s="1">
        <v>2031</v>
      </c>
      <c r="C38" s="1" t="s">
        <v>45</v>
      </c>
      <c r="D38" s="1" t="s">
        <v>49</v>
      </c>
      <c r="E38" s="102">
        <v>374607.93087439035</v>
      </c>
    </row>
    <row r="39" spans="1:5">
      <c r="A39" t="s">
        <v>15</v>
      </c>
      <c r="B39" s="1">
        <v>2032</v>
      </c>
      <c r="C39" s="1" t="s">
        <v>45</v>
      </c>
      <c r="D39" s="1" t="s">
        <v>49</v>
      </c>
      <c r="E39" s="102">
        <v>375814.65922171006</v>
      </c>
    </row>
    <row r="40" spans="1:5">
      <c r="A40" t="s">
        <v>7</v>
      </c>
      <c r="B40" s="1">
        <v>2014</v>
      </c>
      <c r="C40" s="1" t="s">
        <v>45</v>
      </c>
      <c r="D40" s="1" t="s">
        <v>49</v>
      </c>
      <c r="E40" s="102">
        <v>658274.53302526323</v>
      </c>
    </row>
    <row r="41" spans="1:5">
      <c r="A41" t="s">
        <v>7</v>
      </c>
      <c r="B41" s="1">
        <v>2015</v>
      </c>
      <c r="C41" s="1" t="s">
        <v>45</v>
      </c>
      <c r="D41" s="1" t="s">
        <v>49</v>
      </c>
      <c r="E41" s="102">
        <v>689808.70716579491</v>
      </c>
    </row>
    <row r="42" spans="1:5">
      <c r="A42" t="s">
        <v>7</v>
      </c>
      <c r="B42" s="1">
        <v>2016</v>
      </c>
      <c r="C42" s="1" t="s">
        <v>45</v>
      </c>
      <c r="D42" s="1" t="s">
        <v>49</v>
      </c>
      <c r="E42" s="102">
        <v>722918.94963520684</v>
      </c>
    </row>
    <row r="43" spans="1:5">
      <c r="A43" t="s">
        <v>7</v>
      </c>
      <c r="B43" s="1">
        <v>2017</v>
      </c>
      <c r="C43" s="1" t="s">
        <v>45</v>
      </c>
      <c r="D43" s="1" t="s">
        <v>49</v>
      </c>
      <c r="E43" s="102">
        <v>766239.81404323876</v>
      </c>
    </row>
    <row r="44" spans="1:5">
      <c r="A44" t="s">
        <v>7</v>
      </c>
      <c r="B44" s="1">
        <v>2018</v>
      </c>
      <c r="C44" s="1" t="s">
        <v>45</v>
      </c>
      <c r="D44" s="1" t="s">
        <v>49</v>
      </c>
      <c r="E44" s="102">
        <v>807510.50307132886</v>
      </c>
    </row>
    <row r="45" spans="1:5">
      <c r="A45" t="s">
        <v>7</v>
      </c>
      <c r="B45" s="1">
        <v>2019</v>
      </c>
      <c r="C45" s="1" t="s">
        <v>45</v>
      </c>
      <c r="D45" s="1" t="s">
        <v>49</v>
      </c>
      <c r="E45" s="102">
        <v>831738.5025018045</v>
      </c>
    </row>
    <row r="46" spans="1:5">
      <c r="A46" t="s">
        <v>7</v>
      </c>
      <c r="B46" s="1">
        <v>2020</v>
      </c>
      <c r="C46" s="1" t="s">
        <v>45</v>
      </c>
      <c r="D46" s="1" t="s">
        <v>49</v>
      </c>
      <c r="E46" s="102">
        <v>821426.20255405665</v>
      </c>
    </row>
    <row r="47" spans="1:5">
      <c r="A47" t="s">
        <v>7</v>
      </c>
      <c r="B47" s="1">
        <v>2021</v>
      </c>
      <c r="C47" s="1" t="s">
        <v>45</v>
      </c>
      <c r="D47" s="1" t="s">
        <v>49</v>
      </c>
      <c r="E47" s="102">
        <v>869897.40099999995</v>
      </c>
    </row>
    <row r="48" spans="1:5">
      <c r="A48" t="s">
        <v>7</v>
      </c>
      <c r="B48" s="1">
        <v>2022</v>
      </c>
      <c r="C48" s="1" t="s">
        <v>45</v>
      </c>
      <c r="D48" s="1" t="s">
        <v>49</v>
      </c>
      <c r="E48" s="102">
        <v>889193.17385539447</v>
      </c>
    </row>
    <row r="49" spans="1:5">
      <c r="A49" t="s">
        <v>7</v>
      </c>
      <c r="B49" s="1">
        <v>2023</v>
      </c>
      <c r="C49" s="1" t="s">
        <v>45</v>
      </c>
      <c r="D49" s="1" t="s">
        <v>49</v>
      </c>
      <c r="E49" s="102">
        <v>908105.8672110287</v>
      </c>
    </row>
    <row r="50" spans="1:5">
      <c r="A50" t="s">
        <v>7</v>
      </c>
      <c r="B50" s="1">
        <v>2024</v>
      </c>
      <c r="C50" s="1" t="s">
        <v>45</v>
      </c>
      <c r="D50" s="1" t="s">
        <v>49</v>
      </c>
      <c r="E50" s="102">
        <v>949131.73355387116</v>
      </c>
    </row>
    <row r="51" spans="1:5">
      <c r="A51" t="s">
        <v>7</v>
      </c>
      <c r="B51" s="1">
        <v>2025</v>
      </c>
      <c r="C51" s="1" t="s">
        <v>45</v>
      </c>
      <c r="D51" s="1" t="s">
        <v>49</v>
      </c>
      <c r="E51" s="102">
        <v>985353.46459168708</v>
      </c>
    </row>
    <row r="52" spans="1:5">
      <c r="A52" t="s">
        <v>7</v>
      </c>
      <c r="B52" s="1">
        <v>2026</v>
      </c>
      <c r="C52" s="1" t="s">
        <v>45</v>
      </c>
      <c r="D52" s="1" t="s">
        <v>49</v>
      </c>
      <c r="E52" s="102">
        <v>1017422.4048127327</v>
      </c>
    </row>
    <row r="53" spans="1:5">
      <c r="A53" t="s">
        <v>7</v>
      </c>
      <c r="B53" s="1">
        <v>2027</v>
      </c>
      <c r="C53" s="1" t="s">
        <v>45</v>
      </c>
      <c r="D53" s="1" t="s">
        <v>49</v>
      </c>
      <c r="E53" s="102">
        <v>1047199.6846555453</v>
      </c>
    </row>
    <row r="54" spans="1:5">
      <c r="A54" t="s">
        <v>7</v>
      </c>
      <c r="B54" s="1">
        <v>2028</v>
      </c>
      <c r="C54" s="1" t="s">
        <v>45</v>
      </c>
      <c r="D54" s="1" t="s">
        <v>49</v>
      </c>
      <c r="E54" s="102">
        <v>1078595.0659925051</v>
      </c>
    </row>
    <row r="55" spans="1:5">
      <c r="A55" t="s">
        <v>7</v>
      </c>
      <c r="B55" s="1">
        <v>2029</v>
      </c>
      <c r="C55" s="1" t="s">
        <v>45</v>
      </c>
      <c r="D55" s="1" t="s">
        <v>49</v>
      </c>
      <c r="E55" s="102">
        <v>1111120.2749715559</v>
      </c>
    </row>
    <row r="56" spans="1:5">
      <c r="A56" t="s">
        <v>7</v>
      </c>
      <c r="B56" s="1">
        <v>2030</v>
      </c>
      <c r="C56" s="1" t="s">
        <v>45</v>
      </c>
      <c r="D56" s="1" t="s">
        <v>49</v>
      </c>
      <c r="E56" s="102">
        <v>1142740.1369228584</v>
      </c>
    </row>
    <row r="57" spans="1:5">
      <c r="A57" t="s">
        <v>7</v>
      </c>
      <c r="B57" s="1">
        <v>2031</v>
      </c>
      <c r="C57" s="1" t="s">
        <v>45</v>
      </c>
      <c r="D57" s="1" t="s">
        <v>49</v>
      </c>
      <c r="E57" s="102">
        <v>1173978.230189912</v>
      </c>
    </row>
    <row r="58" spans="1:5">
      <c r="A58" t="s">
        <v>7</v>
      </c>
      <c r="B58" s="1">
        <v>2032</v>
      </c>
      <c r="C58" s="1" t="s">
        <v>45</v>
      </c>
      <c r="D58" s="1" t="s">
        <v>49</v>
      </c>
      <c r="E58" s="102">
        <v>1205434.848719344</v>
      </c>
    </row>
    <row r="59" spans="1:5">
      <c r="A59" t="s">
        <v>12</v>
      </c>
      <c r="B59" s="1">
        <v>2014</v>
      </c>
      <c r="C59" s="1" t="s">
        <v>45</v>
      </c>
      <c r="D59" s="1" t="s">
        <v>49</v>
      </c>
      <c r="E59" s="102">
        <v>701911.69747473742</v>
      </c>
    </row>
    <row r="60" spans="1:5">
      <c r="A60" t="s">
        <v>12</v>
      </c>
      <c r="B60" s="1">
        <v>2015</v>
      </c>
      <c r="C60" s="1" t="s">
        <v>45</v>
      </c>
      <c r="D60" s="1" t="s">
        <v>49</v>
      </c>
      <c r="E60" s="102">
        <v>720141.96866704139</v>
      </c>
    </row>
    <row r="61" spans="1:5">
      <c r="A61" t="s">
        <v>12</v>
      </c>
      <c r="B61" s="1">
        <v>2016</v>
      </c>
      <c r="C61" s="1" t="s">
        <v>45</v>
      </c>
      <c r="D61" s="1" t="s">
        <v>49</v>
      </c>
      <c r="E61" s="102">
        <v>743995.27098694805</v>
      </c>
    </row>
    <row r="62" spans="1:5">
      <c r="A62" t="s">
        <v>12</v>
      </c>
      <c r="B62" s="1">
        <v>2017</v>
      </c>
      <c r="C62" s="1" t="s">
        <v>45</v>
      </c>
      <c r="D62" s="1" t="s">
        <v>49</v>
      </c>
      <c r="E62" s="102">
        <v>758745.14457276091</v>
      </c>
    </row>
    <row r="63" spans="1:5">
      <c r="A63" t="s">
        <v>12</v>
      </c>
      <c r="B63" s="1">
        <v>2018</v>
      </c>
      <c r="C63" s="1" t="s">
        <v>45</v>
      </c>
      <c r="D63" s="1" t="s">
        <v>49</v>
      </c>
      <c r="E63" s="102">
        <v>790716.84099424898</v>
      </c>
    </row>
    <row r="64" spans="1:5">
      <c r="A64" t="s">
        <v>12</v>
      </c>
      <c r="B64" s="1">
        <v>2019</v>
      </c>
      <c r="C64" s="1" t="s">
        <v>45</v>
      </c>
      <c r="D64" s="1" t="s">
        <v>49</v>
      </c>
      <c r="E64" s="102">
        <v>819738.36532724393</v>
      </c>
    </row>
    <row r="65" spans="1:5">
      <c r="A65" t="s">
        <v>12</v>
      </c>
      <c r="B65" s="1">
        <v>2020</v>
      </c>
      <c r="C65" s="1" t="s">
        <v>45</v>
      </c>
      <c r="D65" s="1" t="s">
        <v>49</v>
      </c>
      <c r="E65" s="102">
        <v>814985.83673724416</v>
      </c>
    </row>
    <row r="66" spans="1:5">
      <c r="A66" t="s">
        <v>12</v>
      </c>
      <c r="B66" s="1">
        <v>2021</v>
      </c>
      <c r="C66" s="1" t="s">
        <v>45</v>
      </c>
      <c r="D66" s="1" t="s">
        <v>49</v>
      </c>
      <c r="E66" s="102">
        <v>874859.29400000011</v>
      </c>
    </row>
    <row r="67" spans="1:5">
      <c r="A67" t="s">
        <v>12</v>
      </c>
      <c r="B67" s="1">
        <v>2022</v>
      </c>
      <c r="C67" s="1" t="s">
        <v>45</v>
      </c>
      <c r="D67" s="1" t="s">
        <v>49</v>
      </c>
      <c r="E67" s="102">
        <v>879048.65144304966</v>
      </c>
    </row>
    <row r="68" spans="1:5">
      <c r="A68" t="s">
        <v>12</v>
      </c>
      <c r="B68" s="1">
        <v>2023</v>
      </c>
      <c r="C68" s="1" t="s">
        <v>45</v>
      </c>
      <c r="D68" s="1" t="s">
        <v>49</v>
      </c>
      <c r="E68" s="102">
        <v>914431.6126637531</v>
      </c>
    </row>
    <row r="69" spans="1:5">
      <c r="A69" t="s">
        <v>12</v>
      </c>
      <c r="B69" s="1">
        <v>2024</v>
      </c>
      <c r="C69" s="1" t="s">
        <v>45</v>
      </c>
      <c r="D69" s="1" t="s">
        <v>49</v>
      </c>
      <c r="E69" s="102">
        <v>953398.72503268928</v>
      </c>
    </row>
    <row r="70" spans="1:5">
      <c r="A70" t="s">
        <v>12</v>
      </c>
      <c r="B70" s="1">
        <v>2025</v>
      </c>
      <c r="C70" s="1" t="s">
        <v>45</v>
      </c>
      <c r="D70" s="1" t="s">
        <v>49</v>
      </c>
      <c r="E70" s="102">
        <v>990651.6522927417</v>
      </c>
    </row>
    <row r="71" spans="1:5">
      <c r="A71" t="s">
        <v>12</v>
      </c>
      <c r="B71" s="1">
        <v>2026</v>
      </c>
      <c r="C71" s="1" t="s">
        <v>45</v>
      </c>
      <c r="D71" s="1" t="s">
        <v>49</v>
      </c>
      <c r="E71" s="102">
        <v>1027964.9123054704</v>
      </c>
    </row>
    <row r="72" spans="1:5">
      <c r="A72" t="s">
        <v>12</v>
      </c>
      <c r="B72" s="1">
        <v>2027</v>
      </c>
      <c r="C72" s="1" t="s">
        <v>45</v>
      </c>
      <c r="D72" s="1" t="s">
        <v>49</v>
      </c>
      <c r="E72" s="102">
        <v>1072044.2394371158</v>
      </c>
    </row>
    <row r="73" spans="1:5">
      <c r="A73" t="s">
        <v>12</v>
      </c>
      <c r="B73" s="1">
        <v>2028</v>
      </c>
      <c r="C73" s="1" t="s">
        <v>45</v>
      </c>
      <c r="D73" s="1" t="s">
        <v>49</v>
      </c>
      <c r="E73" s="102">
        <v>1119974.7455428315</v>
      </c>
    </row>
    <row r="74" spans="1:5">
      <c r="A74" t="s">
        <v>12</v>
      </c>
      <c r="B74" s="1">
        <v>2029</v>
      </c>
      <c r="C74" s="1" t="s">
        <v>45</v>
      </c>
      <c r="D74" s="1" t="s">
        <v>49</v>
      </c>
      <c r="E74" s="102">
        <v>1168172.7961700931</v>
      </c>
    </row>
    <row r="75" spans="1:5">
      <c r="A75" t="s">
        <v>12</v>
      </c>
      <c r="B75" s="1">
        <v>2030</v>
      </c>
      <c r="C75" s="1" t="s">
        <v>45</v>
      </c>
      <c r="D75" s="1" t="s">
        <v>49</v>
      </c>
      <c r="E75" s="102">
        <v>1218055.7272334341</v>
      </c>
    </row>
    <row r="76" spans="1:5">
      <c r="A76" t="s">
        <v>12</v>
      </c>
      <c r="B76" s="1">
        <v>2031</v>
      </c>
      <c r="C76" s="1" t="s">
        <v>45</v>
      </c>
      <c r="D76" s="1" t="s">
        <v>49</v>
      </c>
      <c r="E76" s="102">
        <v>1269381.1828453972</v>
      </c>
    </row>
    <row r="77" spans="1:5">
      <c r="A77" t="s">
        <v>12</v>
      </c>
      <c r="B77" s="1">
        <v>2032</v>
      </c>
      <c r="C77" s="1" t="s">
        <v>45</v>
      </c>
      <c r="D77" s="1" t="s">
        <v>49</v>
      </c>
      <c r="E77" s="102">
        <v>1319930.6375584111</v>
      </c>
    </row>
    <row r="78" spans="1:5">
      <c r="A78" t="s">
        <v>17</v>
      </c>
      <c r="B78" s="1">
        <v>2014</v>
      </c>
      <c r="C78" s="1" t="s">
        <v>45</v>
      </c>
      <c r="D78" s="1" t="s">
        <v>49</v>
      </c>
      <c r="E78" s="102">
        <v>541984.72796708508</v>
      </c>
    </row>
    <row r="79" spans="1:5">
      <c r="A79" t="s">
        <v>17</v>
      </c>
      <c r="B79" s="1">
        <v>2015</v>
      </c>
      <c r="C79" s="1" t="s">
        <v>45</v>
      </c>
      <c r="D79" s="1" t="s">
        <v>49</v>
      </c>
      <c r="E79" s="102">
        <v>571188.77672527148</v>
      </c>
    </row>
    <row r="80" spans="1:5">
      <c r="A80" t="s">
        <v>17</v>
      </c>
      <c r="B80" s="1">
        <v>2016</v>
      </c>
      <c r="C80" s="1" t="s">
        <v>45</v>
      </c>
      <c r="D80" s="1" t="s">
        <v>49</v>
      </c>
      <c r="E80" s="102">
        <v>603941.09917692223</v>
      </c>
    </row>
    <row r="81" spans="1:5">
      <c r="A81" t="s">
        <v>17</v>
      </c>
      <c r="B81" s="1">
        <v>2017</v>
      </c>
      <c r="C81" s="1" t="s">
        <v>45</v>
      </c>
      <c r="D81" s="1" t="s">
        <v>49</v>
      </c>
      <c r="E81" s="102">
        <v>665276.09077746829</v>
      </c>
    </row>
    <row r="82" spans="1:5">
      <c r="A82" t="s">
        <v>17</v>
      </c>
      <c r="B82" s="1">
        <v>2018</v>
      </c>
      <c r="C82" s="1" t="s">
        <v>45</v>
      </c>
      <c r="D82" s="1" t="s">
        <v>49</v>
      </c>
      <c r="E82" s="102">
        <v>729824.7001797969</v>
      </c>
    </row>
    <row r="83" spans="1:5">
      <c r="A83" t="s">
        <v>17</v>
      </c>
      <c r="B83" s="1">
        <v>2019</v>
      </c>
      <c r="C83" s="1" t="s">
        <v>45</v>
      </c>
      <c r="D83" s="1" t="s">
        <v>49</v>
      </c>
      <c r="E83" s="102">
        <v>769849.72529347462</v>
      </c>
    </row>
    <row r="84" spans="1:5">
      <c r="A84" t="s">
        <v>17</v>
      </c>
      <c r="B84" s="1">
        <v>2020</v>
      </c>
      <c r="C84" s="1" t="s">
        <v>45</v>
      </c>
      <c r="D84" s="1" t="s">
        <v>49</v>
      </c>
      <c r="E84" s="102">
        <v>823571.81309801491</v>
      </c>
    </row>
    <row r="85" spans="1:5">
      <c r="A85" t="s">
        <v>17</v>
      </c>
      <c r="B85" s="1">
        <v>2021</v>
      </c>
      <c r="C85" s="1" t="s">
        <v>45</v>
      </c>
      <c r="D85" s="1" t="s">
        <v>49</v>
      </c>
      <c r="E85" s="102">
        <v>937674.17800000007</v>
      </c>
    </row>
    <row r="86" spans="1:5">
      <c r="A86" t="s">
        <v>17</v>
      </c>
      <c r="B86" s="1">
        <v>2022</v>
      </c>
      <c r="C86" s="1" t="s">
        <v>45</v>
      </c>
      <c r="D86" s="1" t="s">
        <v>49</v>
      </c>
      <c r="E86" s="102">
        <v>985647.6284598012</v>
      </c>
    </row>
    <row r="87" spans="1:5">
      <c r="A87" t="s">
        <v>17</v>
      </c>
      <c r="B87" s="1">
        <v>2023</v>
      </c>
      <c r="C87" s="1" t="s">
        <v>45</v>
      </c>
      <c r="D87" s="1" t="s">
        <v>49</v>
      </c>
      <c r="E87" s="102">
        <v>988867.40290018206</v>
      </c>
    </row>
    <row r="88" spans="1:5">
      <c r="A88" t="s">
        <v>17</v>
      </c>
      <c r="B88" s="1">
        <v>2024</v>
      </c>
      <c r="C88" s="1" t="s">
        <v>45</v>
      </c>
      <c r="D88" s="1" t="s">
        <v>49</v>
      </c>
      <c r="E88" s="102">
        <v>1093829.1264144757</v>
      </c>
    </row>
    <row r="89" spans="1:5">
      <c r="A89" t="s">
        <v>17</v>
      </c>
      <c r="B89" s="1">
        <v>2025</v>
      </c>
      <c r="C89" s="1" t="s">
        <v>45</v>
      </c>
      <c r="D89" s="1" t="s">
        <v>49</v>
      </c>
      <c r="E89" s="102">
        <v>1151861.1776350122</v>
      </c>
    </row>
    <row r="90" spans="1:5">
      <c r="A90" t="s">
        <v>17</v>
      </c>
      <c r="B90" s="1">
        <v>2026</v>
      </c>
      <c r="C90" s="1" t="s">
        <v>45</v>
      </c>
      <c r="D90" s="1" t="s">
        <v>49</v>
      </c>
      <c r="E90" s="102">
        <v>1210647.7365457446</v>
      </c>
    </row>
    <row r="91" spans="1:5">
      <c r="A91" t="s">
        <v>17</v>
      </c>
      <c r="B91" s="1">
        <v>2027</v>
      </c>
      <c r="C91" s="1" t="s">
        <v>45</v>
      </c>
      <c r="D91" s="1" t="s">
        <v>49</v>
      </c>
      <c r="E91" s="102">
        <v>1272792.0935690321</v>
      </c>
    </row>
    <row r="92" spans="1:5">
      <c r="A92" t="s">
        <v>17</v>
      </c>
      <c r="B92" s="1">
        <v>2028</v>
      </c>
      <c r="C92" s="1" t="s">
        <v>45</v>
      </c>
      <c r="D92" s="1" t="s">
        <v>49</v>
      </c>
      <c r="E92" s="102">
        <v>1338398.1072615632</v>
      </c>
    </row>
    <row r="93" spans="1:5">
      <c r="A93" t="s">
        <v>17</v>
      </c>
      <c r="B93" s="1">
        <v>2029</v>
      </c>
      <c r="C93" s="1" t="s">
        <v>45</v>
      </c>
      <c r="D93" s="1" t="s">
        <v>49</v>
      </c>
      <c r="E93" s="102">
        <v>1406330.8947332879</v>
      </c>
    </row>
    <row r="94" spans="1:5">
      <c r="A94" t="s">
        <v>17</v>
      </c>
      <c r="B94" s="1">
        <v>2030</v>
      </c>
      <c r="C94" s="1" t="s">
        <v>45</v>
      </c>
      <c r="D94" s="1" t="s">
        <v>49</v>
      </c>
      <c r="E94" s="102">
        <v>1475405.372583468</v>
      </c>
    </row>
    <row r="95" spans="1:5">
      <c r="A95" t="s">
        <v>17</v>
      </c>
      <c r="B95" s="1">
        <v>2031</v>
      </c>
      <c r="C95" s="1" t="s">
        <v>45</v>
      </c>
      <c r="D95" s="1" t="s">
        <v>49</v>
      </c>
      <c r="E95" s="102">
        <v>1546304.4341546427</v>
      </c>
    </row>
    <row r="96" spans="1:5">
      <c r="A96" t="s">
        <v>17</v>
      </c>
      <c r="B96" s="1">
        <v>2032</v>
      </c>
      <c r="C96" s="1" t="s">
        <v>45</v>
      </c>
      <c r="D96" s="1" t="s">
        <v>49</v>
      </c>
      <c r="E96" s="102">
        <v>1619052.8518912625</v>
      </c>
    </row>
    <row r="97" spans="1:5">
      <c r="A97" t="s">
        <v>44</v>
      </c>
      <c r="B97" s="1">
        <v>2014</v>
      </c>
      <c r="C97" s="1" t="s">
        <v>25</v>
      </c>
      <c r="D97" s="1" t="s">
        <v>50</v>
      </c>
      <c r="E97" s="102" t="s">
        <v>142</v>
      </c>
    </row>
    <row r="98" spans="1:5">
      <c r="A98" t="s">
        <v>44</v>
      </c>
      <c r="B98" s="1">
        <v>2015</v>
      </c>
      <c r="C98" s="1" t="s">
        <v>25</v>
      </c>
      <c r="D98" s="1" t="s">
        <v>50</v>
      </c>
      <c r="E98" s="102" t="s">
        <v>142</v>
      </c>
    </row>
    <row r="99" spans="1:5">
      <c r="A99" t="s">
        <v>44</v>
      </c>
      <c r="B99" s="1">
        <v>2016</v>
      </c>
      <c r="C99" s="1" t="s">
        <v>25</v>
      </c>
      <c r="D99" s="1" t="s">
        <v>50</v>
      </c>
      <c r="E99" s="102" t="s">
        <v>142</v>
      </c>
    </row>
    <row r="100" spans="1:5">
      <c r="A100" t="s">
        <v>44</v>
      </c>
      <c r="B100" s="1">
        <v>2017</v>
      </c>
      <c r="C100" s="1" t="s">
        <v>25</v>
      </c>
      <c r="D100" s="1" t="s">
        <v>50</v>
      </c>
      <c r="E100" s="102" t="s">
        <v>142</v>
      </c>
    </row>
    <row r="101" spans="1:5">
      <c r="A101" t="s">
        <v>44</v>
      </c>
      <c r="B101" s="1">
        <v>2018</v>
      </c>
      <c r="C101" s="1" t="s">
        <v>25</v>
      </c>
      <c r="D101" s="1" t="s">
        <v>50</v>
      </c>
      <c r="E101" s="102" t="s">
        <v>142</v>
      </c>
    </row>
    <row r="102" spans="1:5">
      <c r="A102" t="s">
        <v>44</v>
      </c>
      <c r="B102" s="1">
        <v>2019</v>
      </c>
      <c r="C102" s="1" t="s">
        <v>25</v>
      </c>
      <c r="D102" s="1" t="s">
        <v>50</v>
      </c>
      <c r="E102" s="102" t="s">
        <v>142</v>
      </c>
    </row>
    <row r="103" spans="1:5">
      <c r="A103" t="s">
        <v>44</v>
      </c>
      <c r="B103" s="1">
        <v>2020</v>
      </c>
      <c r="C103" s="1" t="s">
        <v>25</v>
      </c>
      <c r="D103" s="1" t="s">
        <v>50</v>
      </c>
      <c r="E103" s="102">
        <v>40975578</v>
      </c>
    </row>
    <row r="104" spans="1:5">
      <c r="A104" t="s">
        <v>44</v>
      </c>
      <c r="B104" s="1">
        <v>2021</v>
      </c>
      <c r="C104" s="1" t="s">
        <v>25</v>
      </c>
      <c r="D104" s="1" t="s">
        <v>50</v>
      </c>
      <c r="E104" s="102">
        <v>43597702</v>
      </c>
    </row>
    <row r="105" spans="1:5">
      <c r="A105" t="s">
        <v>44</v>
      </c>
      <c r="B105" s="1">
        <v>2022</v>
      </c>
      <c r="C105" s="1" t="s">
        <v>25</v>
      </c>
      <c r="D105" s="1" t="s">
        <v>50</v>
      </c>
      <c r="E105" s="102">
        <v>47155228</v>
      </c>
    </row>
    <row r="106" spans="1:5">
      <c r="A106" t="s">
        <v>44</v>
      </c>
      <c r="B106" s="1">
        <v>2023</v>
      </c>
      <c r="C106" s="1" t="s">
        <v>25</v>
      </c>
      <c r="D106" s="1" t="s">
        <v>50</v>
      </c>
      <c r="E106" s="102">
        <v>51622792</v>
      </c>
    </row>
    <row r="107" spans="1:5">
      <c r="A107" t="s">
        <v>44</v>
      </c>
      <c r="B107" s="1">
        <v>2024</v>
      </c>
      <c r="C107" s="1" t="s">
        <v>25</v>
      </c>
      <c r="D107" s="1" t="s">
        <v>50</v>
      </c>
      <c r="E107" s="102">
        <v>51653821</v>
      </c>
    </row>
    <row r="108" spans="1:5">
      <c r="A108" t="s">
        <v>44</v>
      </c>
      <c r="B108" s="1">
        <v>2025</v>
      </c>
      <c r="C108" s="1" t="s">
        <v>25</v>
      </c>
      <c r="D108" s="1" t="s">
        <v>50</v>
      </c>
      <c r="E108" s="102">
        <v>52539419</v>
      </c>
    </row>
    <row r="109" spans="1:5">
      <c r="A109" t="s">
        <v>44</v>
      </c>
      <c r="B109" s="1">
        <v>2026</v>
      </c>
      <c r="C109" s="1" t="s">
        <v>25</v>
      </c>
      <c r="D109" s="1" t="s">
        <v>50</v>
      </c>
      <c r="E109" s="102">
        <v>53292737</v>
      </c>
    </row>
    <row r="110" spans="1:5">
      <c r="A110" t="s">
        <v>44</v>
      </c>
      <c r="B110" s="1">
        <v>2027</v>
      </c>
      <c r="C110" s="1" t="s">
        <v>25</v>
      </c>
      <c r="D110" s="1" t="s">
        <v>50</v>
      </c>
      <c r="E110" s="102">
        <v>54393919</v>
      </c>
    </row>
    <row r="111" spans="1:5">
      <c r="A111" t="s">
        <v>44</v>
      </c>
      <c r="B111" s="1">
        <v>2028</v>
      </c>
      <c r="C111" s="1" t="s">
        <v>25</v>
      </c>
      <c r="D111" s="1" t="s">
        <v>50</v>
      </c>
      <c r="E111" s="102">
        <v>54620819</v>
      </c>
    </row>
    <row r="112" spans="1:5">
      <c r="A112" t="s">
        <v>44</v>
      </c>
      <c r="B112" s="1">
        <v>2029</v>
      </c>
      <c r="C112" s="1" t="s">
        <v>25</v>
      </c>
      <c r="D112" s="1" t="s">
        <v>50</v>
      </c>
      <c r="E112" s="102">
        <v>55337424</v>
      </c>
    </row>
    <row r="113" spans="1:5">
      <c r="A113" t="s">
        <v>44</v>
      </c>
      <c r="B113" s="1">
        <v>2030</v>
      </c>
      <c r="C113" s="1" t="s">
        <v>25</v>
      </c>
      <c r="D113" s="1" t="s">
        <v>50</v>
      </c>
      <c r="E113" s="102">
        <v>56054027</v>
      </c>
    </row>
    <row r="114" spans="1:5">
      <c r="A114" t="s">
        <v>44</v>
      </c>
      <c r="B114" s="1">
        <v>2031</v>
      </c>
      <c r="C114" s="1" t="s">
        <v>25</v>
      </c>
      <c r="D114" s="1" t="s">
        <v>50</v>
      </c>
      <c r="E114" s="102">
        <v>57056158</v>
      </c>
    </row>
    <row r="115" spans="1:5">
      <c r="A115" t="s">
        <v>44</v>
      </c>
      <c r="B115" s="1">
        <v>2032</v>
      </c>
      <c r="C115" s="1" t="s">
        <v>25</v>
      </c>
      <c r="D115" s="1" t="s">
        <v>50</v>
      </c>
      <c r="E115" s="102">
        <v>57886710</v>
      </c>
    </row>
    <row r="116" spans="1:5">
      <c r="A116" t="s">
        <v>14</v>
      </c>
      <c r="B116" s="1">
        <v>2014</v>
      </c>
      <c r="C116" s="1" t="s">
        <v>45</v>
      </c>
      <c r="D116" s="1" t="s">
        <v>49</v>
      </c>
      <c r="E116" s="102">
        <v>683355.62986038742</v>
      </c>
    </row>
    <row r="117" spans="1:5">
      <c r="A117" t="s">
        <v>14</v>
      </c>
      <c r="B117" s="1">
        <v>2015</v>
      </c>
      <c r="C117" s="1" t="s">
        <v>45</v>
      </c>
      <c r="D117" s="1" t="s">
        <v>49</v>
      </c>
      <c r="E117" s="102">
        <v>694993.86170964071</v>
      </c>
    </row>
    <row r="118" spans="1:5">
      <c r="A118" t="s">
        <v>14</v>
      </c>
      <c r="B118" s="1">
        <v>2016</v>
      </c>
      <c r="C118" s="1" t="s">
        <v>45</v>
      </c>
      <c r="D118" s="1" t="s">
        <v>49</v>
      </c>
      <c r="E118" s="102">
        <v>741953.2574761943</v>
      </c>
    </row>
    <row r="119" spans="1:5">
      <c r="A119" t="s">
        <v>14</v>
      </c>
      <c r="B119" s="1">
        <v>2017</v>
      </c>
      <c r="C119" s="1" t="s">
        <v>45</v>
      </c>
      <c r="D119" s="1" t="s">
        <v>49</v>
      </c>
      <c r="E119" s="102">
        <v>762796.10968758608</v>
      </c>
    </row>
    <row r="120" spans="1:5">
      <c r="A120" t="s">
        <v>14</v>
      </c>
      <c r="B120" s="1">
        <v>2018</v>
      </c>
      <c r="C120" s="1" t="s">
        <v>45</v>
      </c>
      <c r="D120" s="1" t="s">
        <v>49</v>
      </c>
      <c r="E120" s="102">
        <v>756662.26977057185</v>
      </c>
    </row>
    <row r="121" spans="1:5">
      <c r="A121" t="s">
        <v>14</v>
      </c>
      <c r="B121" s="1">
        <v>2019</v>
      </c>
      <c r="C121" s="1" t="s">
        <v>45</v>
      </c>
      <c r="D121" s="1" t="s">
        <v>49</v>
      </c>
      <c r="E121" s="102">
        <v>730886.93185971922</v>
      </c>
    </row>
    <row r="122" spans="1:5">
      <c r="A122" t="s">
        <v>14</v>
      </c>
      <c r="B122" s="1">
        <v>2020</v>
      </c>
      <c r="C122" s="1" t="s">
        <v>45</v>
      </c>
      <c r="D122" s="1" t="s">
        <v>49</v>
      </c>
      <c r="E122" s="102">
        <v>667277.88541088544</v>
      </c>
    </row>
    <row r="123" spans="1:5">
      <c r="A123" t="s">
        <v>14</v>
      </c>
      <c r="B123" s="1">
        <v>2021</v>
      </c>
      <c r="C123" s="1" t="s">
        <v>45</v>
      </c>
      <c r="D123" s="1" t="s">
        <v>49</v>
      </c>
      <c r="E123" s="102">
        <v>710434.51909469999</v>
      </c>
    </row>
    <row r="124" spans="1:5">
      <c r="A124" t="s">
        <v>14</v>
      </c>
      <c r="B124" s="1">
        <v>2022</v>
      </c>
      <c r="C124" s="1" t="s">
        <v>45</v>
      </c>
      <c r="D124" s="1" t="s">
        <v>49</v>
      </c>
      <c r="E124" s="102">
        <v>747027.82508485019</v>
      </c>
    </row>
    <row r="125" spans="1:5">
      <c r="A125" t="s">
        <v>14</v>
      </c>
      <c r="B125" s="1">
        <v>2023</v>
      </c>
      <c r="C125" s="1" t="s">
        <v>45</v>
      </c>
      <c r="D125" s="1" t="s">
        <v>49</v>
      </c>
      <c r="E125" s="102">
        <v>816808.79762235726</v>
      </c>
    </row>
    <row r="126" spans="1:5">
      <c r="A126" t="s">
        <v>14</v>
      </c>
      <c r="B126" s="1">
        <v>2024</v>
      </c>
      <c r="C126" s="1" t="s">
        <v>45</v>
      </c>
      <c r="D126" s="1" t="s">
        <v>49</v>
      </c>
      <c r="E126" s="102">
        <v>827180.80167273257</v>
      </c>
    </row>
    <row r="127" spans="1:5">
      <c r="A127" t="s">
        <v>14</v>
      </c>
      <c r="B127" s="1">
        <v>2025</v>
      </c>
      <c r="C127" s="1" t="s">
        <v>45</v>
      </c>
      <c r="D127" s="1" t="s">
        <v>49</v>
      </c>
      <c r="E127" s="102">
        <v>842486.10336680664</v>
      </c>
    </row>
    <row r="128" spans="1:5">
      <c r="A128" t="s">
        <v>14</v>
      </c>
      <c r="B128" s="1">
        <v>2026</v>
      </c>
      <c r="C128" s="1" t="s">
        <v>45</v>
      </c>
      <c r="D128" s="1" t="s">
        <v>49</v>
      </c>
      <c r="E128" s="102">
        <v>858738.16386467963</v>
      </c>
    </row>
    <row r="129" spans="1:5">
      <c r="A129" t="s">
        <v>14</v>
      </c>
      <c r="B129" s="1">
        <v>2027</v>
      </c>
      <c r="C129" s="1" t="s">
        <v>45</v>
      </c>
      <c r="D129" s="1" t="s">
        <v>49</v>
      </c>
      <c r="E129" s="102">
        <v>882398.45130926953</v>
      </c>
    </row>
    <row r="130" spans="1:5">
      <c r="A130" t="s">
        <v>14</v>
      </c>
      <c r="B130" s="1">
        <v>2028</v>
      </c>
      <c r="C130" s="1" t="s">
        <v>45</v>
      </c>
      <c r="D130" s="1" t="s">
        <v>49</v>
      </c>
      <c r="E130" s="102">
        <v>892041.72834053531</v>
      </c>
    </row>
    <row r="131" spans="1:5">
      <c r="A131" t="s">
        <v>14</v>
      </c>
      <c r="B131" s="1">
        <v>2029</v>
      </c>
      <c r="C131" s="1" t="s">
        <v>45</v>
      </c>
      <c r="D131" s="1" t="s">
        <v>49</v>
      </c>
      <c r="E131" s="102">
        <v>907399.47729847324</v>
      </c>
    </row>
    <row r="132" spans="1:5">
      <c r="A132" t="s">
        <v>14</v>
      </c>
      <c r="B132" s="1">
        <v>2030</v>
      </c>
      <c r="C132" s="1" t="s">
        <v>45</v>
      </c>
      <c r="D132" s="1" t="s">
        <v>49</v>
      </c>
      <c r="E132" s="102">
        <v>921657.27822662925</v>
      </c>
    </row>
    <row r="133" spans="1:5">
      <c r="A133" t="s">
        <v>14</v>
      </c>
      <c r="B133" s="1">
        <v>2031</v>
      </c>
      <c r="C133" s="1" t="s">
        <v>45</v>
      </c>
      <c r="D133" s="1" t="s">
        <v>49</v>
      </c>
      <c r="E133" s="102">
        <v>940694.44479148858</v>
      </c>
    </row>
    <row r="134" spans="1:5">
      <c r="A134" t="s">
        <v>14</v>
      </c>
      <c r="B134" s="1">
        <v>2032</v>
      </c>
      <c r="C134" s="1" t="s">
        <v>45</v>
      </c>
      <c r="D134" s="1" t="s">
        <v>49</v>
      </c>
      <c r="E134" s="102">
        <v>959255.74249926559</v>
      </c>
    </row>
    <row r="135" spans="1:5">
      <c r="A135" t="s">
        <v>13</v>
      </c>
      <c r="B135" s="1">
        <v>2014</v>
      </c>
      <c r="C135" s="1" t="s">
        <v>45</v>
      </c>
      <c r="D135" s="1" t="s">
        <v>49</v>
      </c>
      <c r="E135" s="102">
        <v>42050.906588215003</v>
      </c>
    </row>
    <row r="136" spans="1:5">
      <c r="A136" t="s">
        <v>13</v>
      </c>
      <c r="B136" s="1">
        <v>2015</v>
      </c>
      <c r="C136" s="1" t="s">
        <v>45</v>
      </c>
      <c r="D136" s="1" t="s">
        <v>49</v>
      </c>
      <c r="E136" s="102">
        <v>44111.780300222541</v>
      </c>
    </row>
    <row r="137" spans="1:5">
      <c r="A137" t="s">
        <v>13</v>
      </c>
      <c r="B137" s="1">
        <v>2016</v>
      </c>
      <c r="C137" s="1" t="s">
        <v>45</v>
      </c>
      <c r="D137" s="1" t="s">
        <v>49</v>
      </c>
      <c r="E137" s="102">
        <v>46420.701662578394</v>
      </c>
    </row>
    <row r="138" spans="1:5">
      <c r="A138" t="s">
        <v>13</v>
      </c>
      <c r="B138" s="1">
        <v>2017</v>
      </c>
      <c r="C138" s="1" t="s">
        <v>45</v>
      </c>
      <c r="D138" s="1" t="s">
        <v>49</v>
      </c>
      <c r="E138" s="102">
        <v>49469.57275245701</v>
      </c>
    </row>
    <row r="139" spans="1:5">
      <c r="A139" t="s">
        <v>13</v>
      </c>
      <c r="B139" s="1">
        <v>2018</v>
      </c>
      <c r="C139" s="1" t="s">
        <v>45</v>
      </c>
      <c r="D139" s="1" t="s">
        <v>49</v>
      </c>
      <c r="E139" s="102">
        <v>51479.91710742547</v>
      </c>
    </row>
    <row r="140" spans="1:5">
      <c r="A140" t="s">
        <v>13</v>
      </c>
      <c r="B140" s="1">
        <v>2019</v>
      </c>
      <c r="C140" s="1" t="s">
        <v>45</v>
      </c>
      <c r="D140" s="1" t="s">
        <v>49</v>
      </c>
      <c r="E140" s="102">
        <v>52813.741775301038</v>
      </c>
    </row>
    <row r="141" spans="1:5">
      <c r="A141" t="s">
        <v>13</v>
      </c>
      <c r="B141" s="1">
        <v>2020</v>
      </c>
      <c r="C141" s="1" t="s">
        <v>45</v>
      </c>
      <c r="D141" s="1" t="s">
        <v>49</v>
      </c>
      <c r="E141" s="102">
        <v>50442.651944753401</v>
      </c>
    </row>
    <row r="142" spans="1:5">
      <c r="A142" t="s">
        <v>13</v>
      </c>
      <c r="B142" s="1">
        <v>2021</v>
      </c>
      <c r="C142" s="1" t="s">
        <v>45</v>
      </c>
      <c r="D142" s="1" t="s">
        <v>49</v>
      </c>
      <c r="E142" s="102">
        <v>55034.405999999995</v>
      </c>
    </row>
    <row r="143" spans="1:5">
      <c r="A143" t="s">
        <v>13</v>
      </c>
      <c r="B143" s="1">
        <v>2022</v>
      </c>
      <c r="C143" s="1" t="s">
        <v>45</v>
      </c>
      <c r="D143" s="1" t="s">
        <v>49</v>
      </c>
      <c r="E143" s="102">
        <v>52525.924627890534</v>
      </c>
    </row>
    <row r="144" spans="1:5">
      <c r="A144" t="s">
        <v>13</v>
      </c>
      <c r="B144" s="1">
        <v>2023</v>
      </c>
      <c r="C144" s="1" t="s">
        <v>45</v>
      </c>
      <c r="D144" s="1" t="s">
        <v>49</v>
      </c>
      <c r="E144" s="102">
        <v>49611.855905827848</v>
      </c>
    </row>
    <row r="145" spans="1:5">
      <c r="A145" t="s">
        <v>13</v>
      </c>
      <c r="B145" s="1">
        <v>2024</v>
      </c>
      <c r="C145" s="1" t="s">
        <v>45</v>
      </c>
      <c r="D145" s="1" t="s">
        <v>49</v>
      </c>
      <c r="E145" s="102">
        <v>51261.286177829003</v>
      </c>
    </row>
    <row r="146" spans="1:5">
      <c r="A146" t="s">
        <v>13</v>
      </c>
      <c r="B146" s="1">
        <v>2025</v>
      </c>
      <c r="C146" s="1" t="s">
        <v>45</v>
      </c>
      <c r="D146" s="1" t="s">
        <v>49</v>
      </c>
      <c r="E146" s="102">
        <v>52189.600575852557</v>
      </c>
    </row>
    <row r="147" spans="1:5">
      <c r="A147" t="s">
        <v>13</v>
      </c>
      <c r="B147" s="1">
        <v>2026</v>
      </c>
      <c r="C147" s="1" t="s">
        <v>45</v>
      </c>
      <c r="D147" s="1" t="s">
        <v>49</v>
      </c>
      <c r="E147" s="102">
        <v>53113.534848133946</v>
      </c>
    </row>
    <row r="148" spans="1:5">
      <c r="A148" t="s">
        <v>13</v>
      </c>
      <c r="B148" s="1">
        <v>2027</v>
      </c>
      <c r="C148" s="1" t="s">
        <v>45</v>
      </c>
      <c r="D148" s="1" t="s">
        <v>49</v>
      </c>
      <c r="E148" s="102">
        <v>54059.708029955596</v>
      </c>
    </row>
    <row r="149" spans="1:5">
      <c r="A149" t="s">
        <v>13</v>
      </c>
      <c r="B149" s="1">
        <v>2028</v>
      </c>
      <c r="C149" s="1" t="s">
        <v>45</v>
      </c>
      <c r="D149" s="1" t="s">
        <v>49</v>
      </c>
      <c r="E149" s="102">
        <v>55125.679030860032</v>
      </c>
    </row>
    <row r="150" spans="1:5">
      <c r="A150" t="s">
        <v>13</v>
      </c>
      <c r="B150" s="1">
        <v>2029</v>
      </c>
      <c r="C150" s="1" t="s">
        <v>45</v>
      </c>
      <c r="D150" s="1" t="s">
        <v>49</v>
      </c>
      <c r="E150" s="102">
        <v>56254.93192363136</v>
      </c>
    </row>
    <row r="151" spans="1:5">
      <c r="A151" t="s">
        <v>13</v>
      </c>
      <c r="B151" s="1">
        <v>2030</v>
      </c>
      <c r="C151" s="1" t="s">
        <v>45</v>
      </c>
      <c r="D151" s="1" t="s">
        <v>49</v>
      </c>
      <c r="E151" s="102">
        <v>57347.63350540321</v>
      </c>
    </row>
    <row r="152" spans="1:5">
      <c r="A152" t="s">
        <v>13</v>
      </c>
      <c r="B152" s="1">
        <v>2031</v>
      </c>
      <c r="C152" s="1" t="s">
        <v>45</v>
      </c>
      <c r="D152" s="1" t="s">
        <v>49</v>
      </c>
      <c r="E152" s="102">
        <v>58597.95340614477</v>
      </c>
    </row>
    <row r="153" spans="1:5">
      <c r="A153" t="s">
        <v>13</v>
      </c>
      <c r="B153" s="1">
        <v>2032</v>
      </c>
      <c r="C153" s="1" t="s">
        <v>45</v>
      </c>
      <c r="D153" s="1" t="s">
        <v>49</v>
      </c>
      <c r="E153" s="102">
        <v>59959.011492764446</v>
      </c>
    </row>
    <row r="154" spans="1:5">
      <c r="A154" t="s">
        <v>9</v>
      </c>
      <c r="B154" s="1">
        <v>2014</v>
      </c>
      <c r="C154" s="1" t="s">
        <v>45</v>
      </c>
      <c r="D154" s="1" t="s">
        <v>51</v>
      </c>
      <c r="E154" s="102">
        <v>5319.836457699379</v>
      </c>
    </row>
    <row r="155" spans="1:5">
      <c r="A155" t="s">
        <v>9</v>
      </c>
      <c r="B155" s="1">
        <v>2015</v>
      </c>
      <c r="C155" s="1" t="s">
        <v>45</v>
      </c>
      <c r="D155" s="1" t="s">
        <v>51</v>
      </c>
      <c r="E155" s="102">
        <v>5592.5721435003525</v>
      </c>
    </row>
    <row r="156" spans="1:5">
      <c r="A156" t="s">
        <v>9</v>
      </c>
      <c r="B156" s="1">
        <v>2016</v>
      </c>
      <c r="C156" s="1" t="s">
        <v>45</v>
      </c>
      <c r="D156" s="1" t="s">
        <v>51</v>
      </c>
      <c r="E156" s="102">
        <v>5921.5187592072552</v>
      </c>
    </row>
    <row r="157" spans="1:5">
      <c r="A157" t="s">
        <v>9</v>
      </c>
      <c r="B157" s="1">
        <v>2017</v>
      </c>
      <c r="C157" s="1" t="s">
        <v>45</v>
      </c>
      <c r="D157" s="1" t="s">
        <v>51</v>
      </c>
      <c r="E157" s="102">
        <v>6166.4465829625833</v>
      </c>
    </row>
    <row r="158" spans="1:5">
      <c r="A158" t="s">
        <v>9</v>
      </c>
      <c r="B158" s="1">
        <v>2018</v>
      </c>
      <c r="C158" s="1" t="s">
        <v>45</v>
      </c>
      <c r="D158" s="1" t="s">
        <v>51</v>
      </c>
      <c r="E158" s="102">
        <v>6423.2783904301568</v>
      </c>
    </row>
    <row r="159" spans="1:5">
      <c r="A159" t="s">
        <v>9</v>
      </c>
      <c r="B159" s="1">
        <v>2019</v>
      </c>
      <c r="C159" s="1" t="s">
        <v>45</v>
      </c>
      <c r="D159" s="1" t="s">
        <v>51</v>
      </c>
      <c r="E159" s="102">
        <v>6654.4812821573196</v>
      </c>
    </row>
    <row r="160" spans="1:5">
      <c r="A160" t="s">
        <v>9</v>
      </c>
      <c r="B160" s="1">
        <v>2020</v>
      </c>
      <c r="C160" s="1" t="s">
        <v>45</v>
      </c>
      <c r="D160" s="1" t="s">
        <v>51</v>
      </c>
      <c r="E160" s="102">
        <v>6788.0581727187691</v>
      </c>
    </row>
    <row r="161" spans="1:5">
      <c r="A161" t="s">
        <v>9</v>
      </c>
      <c r="B161" s="1">
        <v>2021</v>
      </c>
      <c r="C161" s="1" t="s">
        <v>45</v>
      </c>
      <c r="D161" s="1" t="s">
        <v>51</v>
      </c>
      <c r="E161" s="102">
        <v>6847.5339069797856</v>
      </c>
    </row>
    <row r="162" spans="1:5">
      <c r="A162" t="s">
        <v>9</v>
      </c>
      <c r="B162" s="1">
        <v>2022</v>
      </c>
      <c r="C162" s="1" t="s">
        <v>45</v>
      </c>
      <c r="D162" s="1" t="s">
        <v>51</v>
      </c>
      <c r="E162" s="102">
        <v>7095.3349347478843</v>
      </c>
    </row>
    <row r="163" spans="1:5">
      <c r="A163" t="s">
        <v>9</v>
      </c>
      <c r="B163" s="1">
        <v>2023</v>
      </c>
      <c r="C163" s="1" t="s">
        <v>45</v>
      </c>
      <c r="D163" s="1" t="s">
        <v>51</v>
      </c>
      <c r="E163" s="102">
        <v>7319.2101947827332</v>
      </c>
    </row>
    <row r="164" spans="1:5">
      <c r="A164" t="s">
        <v>9</v>
      </c>
      <c r="B164" s="1">
        <v>2024</v>
      </c>
      <c r="C164" s="1" t="s">
        <v>45</v>
      </c>
      <c r="D164" s="1" t="s">
        <v>51</v>
      </c>
      <c r="E164" s="102">
        <v>7434.2869313568717</v>
      </c>
    </row>
    <row r="165" spans="1:5">
      <c r="A165" t="s">
        <v>9</v>
      </c>
      <c r="B165" s="1">
        <v>2025</v>
      </c>
      <c r="C165" s="1" t="s">
        <v>45</v>
      </c>
      <c r="D165" s="1" t="s">
        <v>51</v>
      </c>
      <c r="E165" s="102">
        <v>7625.7826860429295</v>
      </c>
    </row>
    <row r="166" spans="1:5">
      <c r="A166" t="s">
        <v>9</v>
      </c>
      <c r="B166" s="1">
        <v>2026</v>
      </c>
      <c r="C166" s="1" t="s">
        <v>45</v>
      </c>
      <c r="D166" s="1" t="s">
        <v>51</v>
      </c>
      <c r="E166" s="102">
        <v>7895.5227199228266</v>
      </c>
    </row>
    <row r="167" spans="1:5">
      <c r="A167" t="s">
        <v>9</v>
      </c>
      <c r="B167" s="1">
        <v>2027</v>
      </c>
      <c r="C167" s="1" t="s">
        <v>45</v>
      </c>
      <c r="D167" s="1" t="s">
        <v>51</v>
      </c>
      <c r="E167" s="102">
        <v>8194.4994675390808</v>
      </c>
    </row>
    <row r="168" spans="1:5">
      <c r="A168" t="s">
        <v>9</v>
      </c>
      <c r="B168" s="1">
        <v>2028</v>
      </c>
      <c r="C168" s="1" t="s">
        <v>45</v>
      </c>
      <c r="D168" s="1" t="s">
        <v>51</v>
      </c>
      <c r="E168" s="102">
        <v>8500.326473000172</v>
      </c>
    </row>
    <row r="169" spans="1:5">
      <c r="A169" t="s">
        <v>9</v>
      </c>
      <c r="B169" s="1">
        <v>2029</v>
      </c>
      <c r="C169" s="1" t="s">
        <v>45</v>
      </c>
      <c r="D169" s="1" t="s">
        <v>51</v>
      </c>
      <c r="E169" s="102">
        <v>8807.5922585775734</v>
      </c>
    </row>
    <row r="170" spans="1:5">
      <c r="A170" t="s">
        <v>9</v>
      </c>
      <c r="B170" s="1">
        <v>2030</v>
      </c>
      <c r="C170" s="1" t="s">
        <v>45</v>
      </c>
      <c r="D170" s="1" t="s">
        <v>51</v>
      </c>
      <c r="E170" s="102">
        <v>9125.1141756814213</v>
      </c>
    </row>
    <row r="171" spans="1:5">
      <c r="A171" t="s">
        <v>9</v>
      </c>
      <c r="B171" s="1">
        <v>2031</v>
      </c>
      <c r="C171" s="1" t="s">
        <v>45</v>
      </c>
      <c r="D171" s="1" t="s">
        <v>51</v>
      </c>
      <c r="E171" s="102">
        <v>9450.3946335854598</v>
      </c>
    </row>
    <row r="172" spans="1:5">
      <c r="A172" t="s">
        <v>9</v>
      </c>
      <c r="B172" s="1">
        <v>2032</v>
      </c>
      <c r="C172" s="1" t="s">
        <v>45</v>
      </c>
      <c r="D172" s="1" t="s">
        <v>51</v>
      </c>
      <c r="E172" s="102">
        <v>9786.8946394579434</v>
      </c>
    </row>
    <row r="173" spans="1:5">
      <c r="A173" t="s">
        <v>34</v>
      </c>
      <c r="B173" s="1">
        <v>2014</v>
      </c>
      <c r="C173" s="1" t="s">
        <v>45</v>
      </c>
      <c r="D173" s="1" t="s">
        <v>49</v>
      </c>
      <c r="E173" s="102">
        <v>9257156.7974565793</v>
      </c>
    </row>
    <row r="174" spans="1:5">
      <c r="A174" t="s">
        <v>34</v>
      </c>
      <c r="B174" s="1">
        <v>2015</v>
      </c>
      <c r="C174" s="1" t="s">
        <v>45</v>
      </c>
      <c r="D174" s="1" t="s">
        <v>49</v>
      </c>
      <c r="E174" s="102">
        <v>9657184.9476442523</v>
      </c>
    </row>
    <row r="175" spans="1:5">
      <c r="A175" t="s">
        <v>34</v>
      </c>
      <c r="B175" s="1">
        <v>2016</v>
      </c>
      <c r="C175" s="1" t="s">
        <v>45</v>
      </c>
      <c r="D175" s="1" t="s">
        <v>49</v>
      </c>
      <c r="E175" s="102">
        <v>10328581.837276584</v>
      </c>
    </row>
    <row r="176" spans="1:5">
      <c r="A176" t="s">
        <v>34</v>
      </c>
      <c r="B176" s="1">
        <v>2017</v>
      </c>
      <c r="C176" s="1" t="s">
        <v>45</v>
      </c>
      <c r="D176" s="1" t="s">
        <v>49</v>
      </c>
      <c r="E176" s="102">
        <v>10841479.023073979</v>
      </c>
    </row>
    <row r="177" spans="1:5">
      <c r="A177" t="s">
        <v>34</v>
      </c>
      <c r="B177" s="1">
        <v>2018</v>
      </c>
      <c r="C177" s="1" t="s">
        <v>45</v>
      </c>
      <c r="D177" s="1" t="s">
        <v>49</v>
      </c>
      <c r="E177" s="102">
        <v>11412188.344317725</v>
      </c>
    </row>
    <row r="178" spans="1:5">
      <c r="A178" t="s">
        <v>34</v>
      </c>
      <c r="B178" s="1">
        <v>2019</v>
      </c>
      <c r="C178" s="1" t="s">
        <v>45</v>
      </c>
      <c r="D178" s="1" t="s">
        <v>49</v>
      </c>
      <c r="E178" s="102">
        <v>11814574.240564663</v>
      </c>
    </row>
    <row r="179" spans="1:5">
      <c r="A179" t="s">
        <v>34</v>
      </c>
      <c r="B179" s="1">
        <v>2020</v>
      </c>
      <c r="C179" s="1" t="s">
        <v>45</v>
      </c>
      <c r="D179" s="1" t="s">
        <v>49</v>
      </c>
      <c r="E179" s="102">
        <v>11826911.727147415</v>
      </c>
    </row>
    <row r="180" spans="1:5">
      <c r="A180" t="s">
        <v>34</v>
      </c>
      <c r="B180" s="1">
        <v>2021</v>
      </c>
      <c r="C180" s="1" t="s">
        <v>45</v>
      </c>
      <c r="D180" s="1" t="s">
        <v>49</v>
      </c>
      <c r="E180" s="102">
        <v>12699596.940468905</v>
      </c>
    </row>
    <row r="181" spans="1:5">
      <c r="A181" t="s">
        <v>34</v>
      </c>
      <c r="B181" s="1">
        <v>2022</v>
      </c>
      <c r="C181" s="1" t="s">
        <v>45</v>
      </c>
      <c r="D181" s="1" t="s">
        <v>49</v>
      </c>
      <c r="E181" s="102">
        <v>13145096.424577188</v>
      </c>
    </row>
    <row r="182" spans="1:5">
      <c r="A182" t="s">
        <v>34</v>
      </c>
      <c r="B182" s="1">
        <v>2023</v>
      </c>
      <c r="C182" s="1" t="s">
        <v>45</v>
      </c>
      <c r="D182" s="1" t="s">
        <v>49</v>
      </c>
      <c r="E182" s="102">
        <v>13515505.724316899</v>
      </c>
    </row>
    <row r="183" spans="1:5">
      <c r="A183" t="s">
        <v>34</v>
      </c>
      <c r="B183" s="1">
        <v>2024</v>
      </c>
      <c r="C183" s="1" t="s">
        <v>45</v>
      </c>
      <c r="D183" s="1" t="s">
        <v>49</v>
      </c>
      <c r="E183" s="102">
        <v>14065179.292174175</v>
      </c>
    </row>
    <row r="184" spans="1:5">
      <c r="A184" t="s">
        <v>34</v>
      </c>
      <c r="B184" s="1">
        <v>2025</v>
      </c>
      <c r="C184" s="1" t="s">
        <v>45</v>
      </c>
      <c r="D184" s="1" t="s">
        <v>49</v>
      </c>
      <c r="E184" s="102">
        <v>14564840.902515035</v>
      </c>
    </row>
    <row r="185" spans="1:5">
      <c r="A185" t="s">
        <v>34</v>
      </c>
      <c r="B185" s="1">
        <v>2026</v>
      </c>
      <c r="C185" s="1" t="s">
        <v>45</v>
      </c>
      <c r="D185" s="1" t="s">
        <v>49</v>
      </c>
      <c r="E185" s="102">
        <v>15130673.904073559</v>
      </c>
    </row>
    <row r="186" spans="1:5">
      <c r="A186" t="s">
        <v>34</v>
      </c>
      <c r="B186" s="1">
        <v>2027</v>
      </c>
      <c r="C186" s="1" t="s">
        <v>45</v>
      </c>
      <c r="D186" s="1" t="s">
        <v>49</v>
      </c>
      <c r="E186" s="102">
        <v>15731530.665519167</v>
      </c>
    </row>
    <row r="187" spans="1:5">
      <c r="A187" t="s">
        <v>34</v>
      </c>
      <c r="B187" s="1">
        <v>2028</v>
      </c>
      <c r="C187" s="1" t="s">
        <v>45</v>
      </c>
      <c r="D187" s="1" t="s">
        <v>49</v>
      </c>
      <c r="E187" s="102">
        <v>16352598.882006496</v>
      </c>
    </row>
    <row r="188" spans="1:5">
      <c r="A188" t="s">
        <v>34</v>
      </c>
      <c r="B188" s="1">
        <v>2029</v>
      </c>
      <c r="C188" s="1" t="s">
        <v>45</v>
      </c>
      <c r="D188" s="1" t="s">
        <v>49</v>
      </c>
      <c r="E188" s="102">
        <v>16977354.920683581</v>
      </c>
    </row>
    <row r="189" spans="1:5">
      <c r="A189" t="s">
        <v>34</v>
      </c>
      <c r="B189" s="1">
        <v>2030</v>
      </c>
      <c r="C189" s="1" t="s">
        <v>45</v>
      </c>
      <c r="D189" s="1" t="s">
        <v>49</v>
      </c>
      <c r="E189" s="102">
        <v>17612422.791046124</v>
      </c>
    </row>
    <row r="190" spans="1:5">
      <c r="A190" t="s">
        <v>34</v>
      </c>
      <c r="B190" s="1">
        <v>2031</v>
      </c>
      <c r="C190" s="1" t="s">
        <v>45</v>
      </c>
      <c r="D190" s="1" t="s">
        <v>49</v>
      </c>
      <c r="E190" s="102">
        <v>18294617.454542037</v>
      </c>
    </row>
    <row r="191" spans="1:5">
      <c r="A191" t="s">
        <v>34</v>
      </c>
      <c r="B191" s="1">
        <v>2032</v>
      </c>
      <c r="C191" s="1" t="s">
        <v>45</v>
      </c>
      <c r="D191" s="1" t="s">
        <v>49</v>
      </c>
      <c r="E191" s="102">
        <v>18993320.335390035</v>
      </c>
    </row>
    <row r="192" spans="1:5">
      <c r="A192" t="s">
        <v>43</v>
      </c>
      <c r="B192" s="1">
        <v>2014</v>
      </c>
      <c r="C192" s="1" t="s">
        <v>42</v>
      </c>
      <c r="D192" s="1" t="s">
        <v>113</v>
      </c>
      <c r="E192" s="102" t="s">
        <v>142</v>
      </c>
    </row>
    <row r="193" spans="1:5">
      <c r="A193" t="s">
        <v>43</v>
      </c>
      <c r="B193" s="1">
        <v>2015</v>
      </c>
      <c r="C193" s="1" t="s">
        <v>42</v>
      </c>
      <c r="D193" s="1" t="s">
        <v>113</v>
      </c>
      <c r="E193" s="102" t="s">
        <v>142</v>
      </c>
    </row>
    <row r="194" spans="1:5">
      <c r="A194" t="s">
        <v>43</v>
      </c>
      <c r="B194" s="1">
        <v>2016</v>
      </c>
      <c r="C194" s="1" t="s">
        <v>42</v>
      </c>
      <c r="D194" s="1" t="s">
        <v>113</v>
      </c>
      <c r="E194" s="102" t="s">
        <v>142</v>
      </c>
    </row>
    <row r="195" spans="1:5">
      <c r="A195" t="s">
        <v>43</v>
      </c>
      <c r="B195" s="1">
        <v>2017</v>
      </c>
      <c r="C195" s="1" t="s">
        <v>42</v>
      </c>
      <c r="D195" s="1" t="s">
        <v>113</v>
      </c>
      <c r="E195" s="102" t="s">
        <v>142</v>
      </c>
    </row>
    <row r="196" spans="1:5">
      <c r="A196" t="s">
        <v>43</v>
      </c>
      <c r="B196" s="1">
        <v>2018</v>
      </c>
      <c r="C196" s="1" t="s">
        <v>42</v>
      </c>
      <c r="D196" s="1" t="s">
        <v>113</v>
      </c>
      <c r="E196" s="102" t="s">
        <v>142</v>
      </c>
    </row>
    <row r="197" spans="1:5">
      <c r="A197" t="s">
        <v>43</v>
      </c>
      <c r="B197" s="1">
        <v>2019</v>
      </c>
      <c r="C197" s="1" t="s">
        <v>42</v>
      </c>
      <c r="D197" s="1" t="s">
        <v>113</v>
      </c>
      <c r="E197" s="102" t="s">
        <v>142</v>
      </c>
    </row>
    <row r="198" spans="1:5">
      <c r="A198" t="s">
        <v>43</v>
      </c>
      <c r="B198" s="1">
        <v>2020</v>
      </c>
      <c r="C198" s="1" t="s">
        <v>42</v>
      </c>
      <c r="D198" s="1" t="s">
        <v>113</v>
      </c>
      <c r="E198" s="102" t="s">
        <v>142</v>
      </c>
    </row>
    <row r="199" spans="1:5">
      <c r="A199" t="s">
        <v>43</v>
      </c>
      <c r="B199" s="1">
        <v>2021</v>
      </c>
      <c r="C199" s="1" t="s">
        <v>42</v>
      </c>
      <c r="D199" s="1" t="s">
        <v>113</v>
      </c>
      <c r="E199" s="102" t="s">
        <v>142</v>
      </c>
    </row>
    <row r="200" spans="1:5">
      <c r="A200" t="s">
        <v>43</v>
      </c>
      <c r="B200" s="1">
        <v>2022</v>
      </c>
      <c r="C200" s="1" t="s">
        <v>42</v>
      </c>
      <c r="D200" s="1" t="s">
        <v>113</v>
      </c>
      <c r="E200" s="102" t="s">
        <v>142</v>
      </c>
    </row>
    <row r="201" spans="1:5">
      <c r="A201" t="s">
        <v>43</v>
      </c>
      <c r="B201" s="1">
        <v>2023</v>
      </c>
      <c r="C201" s="1" t="s">
        <v>42</v>
      </c>
      <c r="D201" s="1" t="s">
        <v>113</v>
      </c>
      <c r="E201" s="102">
        <v>1411.9</v>
      </c>
    </row>
    <row r="202" spans="1:5">
      <c r="A202" t="s">
        <v>43</v>
      </c>
      <c r="B202" s="1">
        <v>2024</v>
      </c>
      <c r="C202" s="1" t="s">
        <v>42</v>
      </c>
      <c r="D202" s="1" t="s">
        <v>113</v>
      </c>
      <c r="E202" s="102">
        <v>1394.9</v>
      </c>
    </row>
    <row r="203" spans="1:5">
      <c r="A203" t="s">
        <v>43</v>
      </c>
      <c r="B203" s="1">
        <v>2025</v>
      </c>
      <c r="C203" s="1" t="s">
        <v>42</v>
      </c>
      <c r="D203" s="1" t="s">
        <v>113</v>
      </c>
      <c r="E203" s="102" t="s">
        <v>142</v>
      </c>
    </row>
    <row r="204" spans="1:5">
      <c r="A204" t="s">
        <v>43</v>
      </c>
      <c r="B204" s="1">
        <v>2026</v>
      </c>
      <c r="C204" s="1" t="s">
        <v>42</v>
      </c>
      <c r="D204" s="1" t="s">
        <v>113</v>
      </c>
      <c r="E204" s="102" t="s">
        <v>142</v>
      </c>
    </row>
    <row r="205" spans="1:5">
      <c r="A205" t="s">
        <v>43</v>
      </c>
      <c r="B205" s="1">
        <v>2027</v>
      </c>
      <c r="C205" s="1" t="s">
        <v>42</v>
      </c>
      <c r="D205" s="1" t="s">
        <v>113</v>
      </c>
      <c r="E205" s="102" t="s">
        <v>142</v>
      </c>
    </row>
    <row r="206" spans="1:5">
      <c r="A206" t="s">
        <v>43</v>
      </c>
      <c r="B206" s="1">
        <v>2028</v>
      </c>
      <c r="C206" s="1" t="s">
        <v>42</v>
      </c>
      <c r="D206" s="1" t="s">
        <v>113</v>
      </c>
      <c r="E206" s="102" t="s">
        <v>142</v>
      </c>
    </row>
    <row r="207" spans="1:5">
      <c r="A207" t="s">
        <v>43</v>
      </c>
      <c r="B207" s="1">
        <v>2029</v>
      </c>
      <c r="C207" s="1" t="s">
        <v>42</v>
      </c>
      <c r="D207" s="1" t="s">
        <v>113</v>
      </c>
      <c r="E207" s="102" t="s">
        <v>142</v>
      </c>
    </row>
    <row r="208" spans="1:5">
      <c r="A208" t="s">
        <v>43</v>
      </c>
      <c r="B208" s="1">
        <v>2030</v>
      </c>
      <c r="C208" s="1" t="s">
        <v>42</v>
      </c>
      <c r="D208" s="1" t="s">
        <v>113</v>
      </c>
      <c r="E208" s="102" t="s">
        <v>142</v>
      </c>
    </row>
    <row r="209" spans="1:5">
      <c r="A209" t="s">
        <v>43</v>
      </c>
      <c r="B209" s="1">
        <v>2031</v>
      </c>
      <c r="C209" s="1" t="s">
        <v>42</v>
      </c>
      <c r="D209" s="1" t="s">
        <v>113</v>
      </c>
      <c r="E209" s="102" t="s">
        <v>142</v>
      </c>
    </row>
    <row r="210" spans="1:5">
      <c r="A210" t="s">
        <v>43</v>
      </c>
      <c r="B210" s="1">
        <v>2032</v>
      </c>
      <c r="C210" s="1" t="s">
        <v>42</v>
      </c>
      <c r="D210" s="1" t="s">
        <v>113</v>
      </c>
      <c r="E210" s="102" t="s">
        <v>142</v>
      </c>
    </row>
    <row r="211" spans="1:5">
      <c r="A211" t="s">
        <v>39</v>
      </c>
      <c r="B211" s="1">
        <v>2014</v>
      </c>
      <c r="C211" s="1" t="s">
        <v>114</v>
      </c>
      <c r="D211" s="1" t="s">
        <v>111</v>
      </c>
      <c r="E211" s="102" t="s">
        <v>142</v>
      </c>
    </row>
    <row r="212" spans="1:5">
      <c r="A212" t="s">
        <v>39</v>
      </c>
      <c r="B212" s="1">
        <v>2015</v>
      </c>
      <c r="C212" s="1" t="s">
        <v>114</v>
      </c>
      <c r="D212" s="1" t="s">
        <v>111</v>
      </c>
      <c r="E212" s="102" t="s">
        <v>142</v>
      </c>
    </row>
    <row r="213" spans="1:5">
      <c r="A213" t="s">
        <v>39</v>
      </c>
      <c r="B213" s="1">
        <v>2016</v>
      </c>
      <c r="C213" s="1" t="s">
        <v>114</v>
      </c>
      <c r="D213" s="1" t="s">
        <v>111</v>
      </c>
      <c r="E213" s="102" t="s">
        <v>142</v>
      </c>
    </row>
    <row r="214" spans="1:5">
      <c r="A214" t="s">
        <v>39</v>
      </c>
      <c r="B214" s="1">
        <v>2017</v>
      </c>
      <c r="C214" s="1" t="s">
        <v>114</v>
      </c>
      <c r="D214" s="1" t="s">
        <v>111</v>
      </c>
      <c r="E214" s="102" t="s">
        <v>142</v>
      </c>
    </row>
    <row r="215" spans="1:5">
      <c r="A215" t="s">
        <v>39</v>
      </c>
      <c r="B215" s="1">
        <v>2018</v>
      </c>
      <c r="C215" s="1" t="s">
        <v>114</v>
      </c>
      <c r="D215" s="1" t="s">
        <v>111</v>
      </c>
      <c r="E215" s="102" t="s">
        <v>142</v>
      </c>
    </row>
    <row r="216" spans="1:5">
      <c r="A216" t="s">
        <v>39</v>
      </c>
      <c r="B216" s="1">
        <v>2019</v>
      </c>
      <c r="C216" s="1" t="s">
        <v>114</v>
      </c>
      <c r="D216" s="1" t="s">
        <v>111</v>
      </c>
      <c r="E216" s="102" t="s">
        <v>142</v>
      </c>
    </row>
    <row r="217" spans="1:5">
      <c r="A217" t="s">
        <v>39</v>
      </c>
      <c r="B217" s="1">
        <v>2020</v>
      </c>
      <c r="C217" s="1" t="s">
        <v>114</v>
      </c>
      <c r="D217" s="1" t="s">
        <v>111</v>
      </c>
      <c r="E217" s="102" t="s">
        <v>142</v>
      </c>
    </row>
    <row r="218" spans="1:5">
      <c r="A218" t="s">
        <v>39</v>
      </c>
      <c r="B218" s="1">
        <v>2021</v>
      </c>
      <c r="C218" s="1" t="s">
        <v>114</v>
      </c>
      <c r="D218" s="1" t="s">
        <v>111</v>
      </c>
      <c r="E218" s="102" t="s">
        <v>142</v>
      </c>
    </row>
    <row r="219" spans="1:5">
      <c r="A219" t="s">
        <v>39</v>
      </c>
      <c r="B219" s="1">
        <v>2022</v>
      </c>
      <c r="C219" s="1" t="s">
        <v>114</v>
      </c>
      <c r="D219" s="1" t="s">
        <v>111</v>
      </c>
      <c r="E219" s="102" t="s">
        <v>142</v>
      </c>
    </row>
    <row r="220" spans="1:5">
      <c r="A220" t="s">
        <v>39</v>
      </c>
      <c r="B220" s="1">
        <v>2023</v>
      </c>
      <c r="C220" s="1" t="s">
        <v>114</v>
      </c>
      <c r="D220" s="1" t="s">
        <v>111</v>
      </c>
      <c r="E220" s="102">
        <v>65446</v>
      </c>
    </row>
    <row r="221" spans="1:5">
      <c r="A221" t="s">
        <v>39</v>
      </c>
      <c r="B221" s="1">
        <v>2024</v>
      </c>
      <c r="C221" s="1" t="s">
        <v>114</v>
      </c>
      <c r="D221" s="1" t="s">
        <v>111</v>
      </c>
      <c r="E221" s="102">
        <v>69230</v>
      </c>
    </row>
    <row r="222" spans="1:5">
      <c r="A222" t="s">
        <v>39</v>
      </c>
      <c r="B222" s="1">
        <v>2025</v>
      </c>
      <c r="C222" s="1" t="s">
        <v>114</v>
      </c>
      <c r="D222" s="1" t="s">
        <v>111</v>
      </c>
      <c r="E222" s="102" t="s">
        <v>142</v>
      </c>
    </row>
    <row r="223" spans="1:5">
      <c r="A223" t="s">
        <v>39</v>
      </c>
      <c r="B223" s="1">
        <v>2026</v>
      </c>
      <c r="C223" s="1" t="s">
        <v>114</v>
      </c>
      <c r="D223" s="1" t="s">
        <v>111</v>
      </c>
      <c r="E223" s="102" t="s">
        <v>142</v>
      </c>
    </row>
    <row r="224" spans="1:5">
      <c r="A224" t="s">
        <v>39</v>
      </c>
      <c r="B224" s="1">
        <v>2027</v>
      </c>
      <c r="C224" s="1" t="s">
        <v>114</v>
      </c>
      <c r="D224" s="1" t="s">
        <v>111</v>
      </c>
      <c r="E224" s="102" t="s">
        <v>142</v>
      </c>
    </row>
    <row r="225" spans="1:5">
      <c r="A225" t="s">
        <v>39</v>
      </c>
      <c r="B225" s="1">
        <v>2028</v>
      </c>
      <c r="C225" s="1" t="s">
        <v>114</v>
      </c>
      <c r="D225" s="1" t="s">
        <v>111</v>
      </c>
      <c r="E225" s="102" t="s">
        <v>142</v>
      </c>
    </row>
    <row r="226" spans="1:5">
      <c r="A226" t="s">
        <v>39</v>
      </c>
      <c r="B226" s="1">
        <v>2029</v>
      </c>
      <c r="C226" s="1" t="s">
        <v>114</v>
      </c>
      <c r="D226" s="1" t="s">
        <v>111</v>
      </c>
      <c r="E226" s="102" t="s">
        <v>142</v>
      </c>
    </row>
    <row r="227" spans="1:5">
      <c r="A227" t="s">
        <v>39</v>
      </c>
      <c r="B227" s="1">
        <v>2030</v>
      </c>
      <c r="C227" s="1" t="s">
        <v>114</v>
      </c>
      <c r="D227" s="1" t="s">
        <v>111</v>
      </c>
      <c r="E227" s="102" t="s">
        <v>142</v>
      </c>
    </row>
    <row r="228" spans="1:5">
      <c r="A228" t="s">
        <v>39</v>
      </c>
      <c r="B228" s="1">
        <v>2031</v>
      </c>
      <c r="C228" s="1" t="s">
        <v>114</v>
      </c>
      <c r="D228" s="1" t="s">
        <v>111</v>
      </c>
      <c r="E228" s="102" t="s">
        <v>142</v>
      </c>
    </row>
    <row r="229" spans="1:5">
      <c r="A229" t="s">
        <v>39</v>
      </c>
      <c r="B229" s="1">
        <v>2032</v>
      </c>
      <c r="C229" s="1" t="s">
        <v>114</v>
      </c>
      <c r="D229" s="1" t="s">
        <v>111</v>
      </c>
      <c r="E229" s="102" t="s">
        <v>142</v>
      </c>
    </row>
    <row r="230" spans="1:5">
      <c r="A230" t="s">
        <v>40</v>
      </c>
      <c r="B230" s="1">
        <v>2014</v>
      </c>
      <c r="C230" s="1" t="s">
        <v>114</v>
      </c>
      <c r="D230" s="1" t="s">
        <v>49</v>
      </c>
      <c r="E230" s="102" t="s">
        <v>142</v>
      </c>
    </row>
    <row r="231" spans="1:5">
      <c r="A231" t="s">
        <v>40</v>
      </c>
      <c r="B231" s="1">
        <v>2015</v>
      </c>
      <c r="C231" s="1" t="s">
        <v>114</v>
      </c>
      <c r="D231" s="1" t="s">
        <v>49</v>
      </c>
      <c r="E231" s="102" t="s">
        <v>142</v>
      </c>
    </row>
    <row r="232" spans="1:5">
      <c r="A232" t="s">
        <v>40</v>
      </c>
      <c r="B232" s="1">
        <v>2016</v>
      </c>
      <c r="C232" s="1" t="s">
        <v>114</v>
      </c>
      <c r="D232" s="1" t="s">
        <v>49</v>
      </c>
      <c r="E232" s="102" t="s">
        <v>142</v>
      </c>
    </row>
    <row r="233" spans="1:5">
      <c r="A233" t="s">
        <v>40</v>
      </c>
      <c r="B233" s="1">
        <v>2017</v>
      </c>
      <c r="C233" s="1" t="s">
        <v>114</v>
      </c>
      <c r="D233" s="1" t="s">
        <v>49</v>
      </c>
      <c r="E233" s="102" t="s">
        <v>142</v>
      </c>
    </row>
    <row r="234" spans="1:5">
      <c r="A234" t="s">
        <v>40</v>
      </c>
      <c r="B234" s="1">
        <v>2018</v>
      </c>
      <c r="C234" s="1" t="s">
        <v>114</v>
      </c>
      <c r="D234" s="1" t="s">
        <v>49</v>
      </c>
      <c r="E234" s="102" t="s">
        <v>142</v>
      </c>
    </row>
    <row r="235" spans="1:5">
      <c r="A235" t="s">
        <v>40</v>
      </c>
      <c r="B235" s="1">
        <v>2019</v>
      </c>
      <c r="C235" s="1" t="s">
        <v>114</v>
      </c>
      <c r="D235" s="1" t="s">
        <v>49</v>
      </c>
      <c r="E235" s="102" t="s">
        <v>142</v>
      </c>
    </row>
    <row r="236" spans="1:5">
      <c r="A236" t="s">
        <v>40</v>
      </c>
      <c r="B236" s="1">
        <v>2020</v>
      </c>
      <c r="C236" s="1" t="s">
        <v>114</v>
      </c>
      <c r="D236" s="1" t="s">
        <v>49</v>
      </c>
      <c r="E236" s="102">
        <v>58158</v>
      </c>
    </row>
    <row r="237" spans="1:5">
      <c r="A237" t="s">
        <v>40</v>
      </c>
      <c r="B237" s="1">
        <v>2021</v>
      </c>
      <c r="C237" s="1" t="s">
        <v>114</v>
      </c>
      <c r="D237" s="1" t="s">
        <v>49</v>
      </c>
      <c r="E237" s="102">
        <v>62286</v>
      </c>
    </row>
    <row r="238" spans="1:5">
      <c r="A238" t="s">
        <v>40</v>
      </c>
      <c r="B238" s="1">
        <v>2022</v>
      </c>
      <c r="C238" s="1" t="s">
        <v>114</v>
      </c>
      <c r="D238" s="1" t="s">
        <v>49</v>
      </c>
      <c r="E238" s="102">
        <v>66608</v>
      </c>
    </row>
    <row r="239" spans="1:5">
      <c r="A239" t="s">
        <v>40</v>
      </c>
      <c r="B239" s="1">
        <v>2023</v>
      </c>
      <c r="C239" s="1" t="s">
        <v>114</v>
      </c>
      <c r="D239" s="1" t="s">
        <v>49</v>
      </c>
      <c r="E239" s="102">
        <v>77794</v>
      </c>
    </row>
    <row r="240" spans="1:5">
      <c r="A240" t="s">
        <v>40</v>
      </c>
      <c r="B240" s="1">
        <v>2024</v>
      </c>
      <c r="C240" s="1" t="s">
        <v>114</v>
      </c>
      <c r="D240" s="1" t="s">
        <v>49</v>
      </c>
      <c r="E240" s="102">
        <v>66517</v>
      </c>
    </row>
    <row r="241" spans="1:5">
      <c r="A241" t="s">
        <v>40</v>
      </c>
      <c r="B241" s="1">
        <v>2025</v>
      </c>
      <c r="C241" s="1" t="s">
        <v>114</v>
      </c>
      <c r="D241" s="1" t="s">
        <v>49</v>
      </c>
      <c r="E241" s="102" t="s">
        <v>142</v>
      </c>
    </row>
    <row r="242" spans="1:5">
      <c r="A242" t="s">
        <v>40</v>
      </c>
      <c r="B242" s="1">
        <v>2026</v>
      </c>
      <c r="C242" s="1" t="s">
        <v>114</v>
      </c>
      <c r="D242" s="1" t="s">
        <v>49</v>
      </c>
      <c r="E242" s="102" t="s">
        <v>142</v>
      </c>
    </row>
    <row r="243" spans="1:5">
      <c r="A243" t="s">
        <v>40</v>
      </c>
      <c r="B243" s="1">
        <v>2027</v>
      </c>
      <c r="C243" s="1" t="s">
        <v>114</v>
      </c>
      <c r="D243" s="1" t="s">
        <v>49</v>
      </c>
      <c r="E243" s="102" t="s">
        <v>142</v>
      </c>
    </row>
    <row r="244" spans="1:5">
      <c r="A244" t="s">
        <v>40</v>
      </c>
      <c r="B244" s="1">
        <v>2028</v>
      </c>
      <c r="C244" s="1" t="s">
        <v>114</v>
      </c>
      <c r="D244" s="1" t="s">
        <v>49</v>
      </c>
      <c r="E244" s="102" t="s">
        <v>142</v>
      </c>
    </row>
    <row r="245" spans="1:5">
      <c r="A245" t="s">
        <v>40</v>
      </c>
      <c r="B245" s="1">
        <v>2029</v>
      </c>
      <c r="C245" s="1" t="s">
        <v>114</v>
      </c>
      <c r="D245" s="1" t="s">
        <v>49</v>
      </c>
      <c r="E245" s="102" t="s">
        <v>142</v>
      </c>
    </row>
    <row r="246" spans="1:5">
      <c r="A246" t="s">
        <v>40</v>
      </c>
      <c r="B246" s="1">
        <v>2030</v>
      </c>
      <c r="C246" s="1" t="s">
        <v>114</v>
      </c>
      <c r="D246" s="1" t="s">
        <v>49</v>
      </c>
      <c r="E246" s="102" t="s">
        <v>142</v>
      </c>
    </row>
    <row r="247" spans="1:5">
      <c r="A247" t="s">
        <v>40</v>
      </c>
      <c r="B247" s="1">
        <v>2031</v>
      </c>
      <c r="C247" s="1" t="s">
        <v>114</v>
      </c>
      <c r="D247" s="1" t="s">
        <v>49</v>
      </c>
      <c r="E247" s="102" t="s">
        <v>142</v>
      </c>
    </row>
    <row r="248" spans="1:5">
      <c r="A248" t="s">
        <v>40</v>
      </c>
      <c r="B248" s="1">
        <v>2032</v>
      </c>
      <c r="C248" s="1" t="s">
        <v>114</v>
      </c>
      <c r="D248" s="1" t="s">
        <v>49</v>
      </c>
      <c r="E248" s="102" t="s">
        <v>142</v>
      </c>
    </row>
    <row r="249" spans="1:5">
      <c r="A249" t="s">
        <v>11</v>
      </c>
      <c r="B249" s="1">
        <v>2014</v>
      </c>
      <c r="C249" s="1" t="s">
        <v>45</v>
      </c>
      <c r="D249" s="1" t="s">
        <v>49</v>
      </c>
      <c r="E249" s="102">
        <v>342107.71916253841</v>
      </c>
    </row>
    <row r="250" spans="1:5">
      <c r="A250" t="s">
        <v>11</v>
      </c>
      <c r="B250" s="1">
        <v>2015</v>
      </c>
      <c r="C250" s="1" t="s">
        <v>45</v>
      </c>
      <c r="D250" s="1" t="s">
        <v>49</v>
      </c>
      <c r="E250" s="102">
        <v>358552.41150796344</v>
      </c>
    </row>
    <row r="251" spans="1:5">
      <c r="A251" t="s">
        <v>11</v>
      </c>
      <c r="B251" s="1">
        <v>2016</v>
      </c>
      <c r="C251" s="1" t="s">
        <v>45</v>
      </c>
      <c r="D251" s="1" t="s">
        <v>49</v>
      </c>
      <c r="E251" s="102">
        <v>379331.34470816527</v>
      </c>
    </row>
    <row r="252" spans="1:5">
      <c r="A252" t="s">
        <v>11</v>
      </c>
      <c r="B252" s="1">
        <v>2017</v>
      </c>
      <c r="C252" s="1" t="s">
        <v>45</v>
      </c>
      <c r="D252" s="1" t="s">
        <v>49</v>
      </c>
      <c r="E252" s="102">
        <v>411597.73591312271</v>
      </c>
    </row>
    <row r="253" spans="1:5">
      <c r="A253" t="s">
        <v>11</v>
      </c>
      <c r="B253" s="1">
        <v>2018</v>
      </c>
      <c r="C253" s="1" t="s">
        <v>45</v>
      </c>
      <c r="D253" s="1" t="s">
        <v>49</v>
      </c>
      <c r="E253" s="102">
        <v>434236.00452531391</v>
      </c>
    </row>
    <row r="254" spans="1:5">
      <c r="A254" t="s">
        <v>11</v>
      </c>
      <c r="B254" s="1">
        <v>2019</v>
      </c>
      <c r="C254" s="1" t="s">
        <v>45</v>
      </c>
      <c r="D254" s="1" t="s">
        <v>49</v>
      </c>
      <c r="E254" s="102">
        <v>463602.67033544532</v>
      </c>
    </row>
    <row r="255" spans="1:5">
      <c r="A255" t="s">
        <v>11</v>
      </c>
      <c r="B255" s="1">
        <v>2020</v>
      </c>
      <c r="C255" s="1" t="s">
        <v>45</v>
      </c>
      <c r="D255" s="1" t="s">
        <v>49</v>
      </c>
      <c r="E255" s="102">
        <v>486220.68097612407</v>
      </c>
    </row>
    <row r="256" spans="1:5">
      <c r="A256" t="s">
        <v>11</v>
      </c>
      <c r="B256" s="1">
        <v>2021</v>
      </c>
      <c r="C256" s="1" t="s">
        <v>45</v>
      </c>
      <c r="D256" s="1" t="s">
        <v>49</v>
      </c>
      <c r="E256" s="102">
        <v>557979.07700000005</v>
      </c>
    </row>
    <row r="257" spans="1:5">
      <c r="A257" t="s">
        <v>11</v>
      </c>
      <c r="B257" s="1">
        <v>2022</v>
      </c>
      <c r="C257" s="1" t="s">
        <v>45</v>
      </c>
      <c r="D257" s="1" t="s">
        <v>49</v>
      </c>
      <c r="E257" s="102">
        <v>610144.50858409493</v>
      </c>
    </row>
    <row r="258" spans="1:5">
      <c r="A258" t="s">
        <v>11</v>
      </c>
      <c r="B258" s="1">
        <v>2023</v>
      </c>
      <c r="C258" s="1" t="s">
        <v>45</v>
      </c>
      <c r="D258" s="1" t="s">
        <v>49</v>
      </c>
      <c r="E258" s="102">
        <v>670492.80283723527</v>
      </c>
    </row>
    <row r="259" spans="1:5">
      <c r="A259" t="s">
        <v>11</v>
      </c>
      <c r="B259" s="1">
        <v>2024</v>
      </c>
      <c r="C259" s="1" t="s">
        <v>45</v>
      </c>
      <c r="D259" s="1" t="s">
        <v>49</v>
      </c>
      <c r="E259" s="102">
        <v>697769.48107759689</v>
      </c>
    </row>
    <row r="260" spans="1:5">
      <c r="A260" t="s">
        <v>11</v>
      </c>
      <c r="B260" s="1">
        <v>2025</v>
      </c>
      <c r="C260" s="1" t="s">
        <v>45</v>
      </c>
      <c r="D260" s="1" t="s">
        <v>49</v>
      </c>
      <c r="E260" s="102">
        <v>731056.21604142734</v>
      </c>
    </row>
    <row r="261" spans="1:5">
      <c r="A261" t="s">
        <v>11</v>
      </c>
      <c r="B261" s="1">
        <v>2026</v>
      </c>
      <c r="C261" s="1" t="s">
        <v>45</v>
      </c>
      <c r="D261" s="1" t="s">
        <v>49</v>
      </c>
      <c r="E261" s="102">
        <v>768912.30595588649</v>
      </c>
    </row>
    <row r="262" spans="1:5">
      <c r="A262" t="s">
        <v>11</v>
      </c>
      <c r="B262" s="1">
        <v>2027</v>
      </c>
      <c r="C262" s="1" t="s">
        <v>45</v>
      </c>
      <c r="D262" s="1" t="s">
        <v>49</v>
      </c>
      <c r="E262" s="102">
        <v>809438.85414581886</v>
      </c>
    </row>
    <row r="263" spans="1:5">
      <c r="A263" t="s">
        <v>11</v>
      </c>
      <c r="B263" s="1">
        <v>2028</v>
      </c>
      <c r="C263" s="1" t="s">
        <v>45</v>
      </c>
      <c r="D263" s="1" t="s">
        <v>49</v>
      </c>
      <c r="E263" s="102">
        <v>852124.2415253158</v>
      </c>
    </row>
    <row r="264" spans="1:5">
      <c r="A264" t="s">
        <v>11</v>
      </c>
      <c r="B264" s="1">
        <v>2029</v>
      </c>
      <c r="C264" s="1" t="s">
        <v>45</v>
      </c>
      <c r="D264" s="1" t="s">
        <v>49</v>
      </c>
      <c r="E264" s="102">
        <v>896362.12647953164</v>
      </c>
    </row>
    <row r="265" spans="1:5">
      <c r="A265" t="s">
        <v>11</v>
      </c>
      <c r="B265" s="1">
        <v>2030</v>
      </c>
      <c r="C265" s="1" t="s">
        <v>45</v>
      </c>
      <c r="D265" s="1" t="s">
        <v>49</v>
      </c>
      <c r="E265" s="102">
        <v>942852.7030861316</v>
      </c>
    </row>
    <row r="266" spans="1:5">
      <c r="A266" t="s">
        <v>11</v>
      </c>
      <c r="B266" s="1">
        <v>2031</v>
      </c>
      <c r="C266" s="1" t="s">
        <v>45</v>
      </c>
      <c r="D266" s="1" t="s">
        <v>49</v>
      </c>
      <c r="E266" s="102">
        <v>991839.83425363002</v>
      </c>
    </row>
    <row r="267" spans="1:5">
      <c r="A267" t="s">
        <v>11</v>
      </c>
      <c r="B267" s="1">
        <v>2032</v>
      </c>
      <c r="C267" s="1" t="s">
        <v>45</v>
      </c>
      <c r="D267" s="1" t="s">
        <v>49</v>
      </c>
      <c r="E267" s="102">
        <v>1043792.4099735507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F520-1D21-4B0D-8463-05ADDB560FC4}">
  <dimension ref="A1:T17"/>
  <sheetViews>
    <sheetView workbookViewId="0">
      <selection activeCell="C14" sqref="C14"/>
    </sheetView>
  </sheetViews>
  <sheetFormatPr defaultRowHeight="14"/>
  <cols>
    <col bestFit="true" customWidth="true" max="1" min="1" width="17.75"/>
    <col bestFit="true" customWidth="true" max="3" min="2" width="10.25"/>
    <col bestFit="true" customWidth="true" max="20" min="4" width="11.33203125"/>
  </cols>
  <sheetData>
    <row r="1" spans="1:20" ht="15.5">
      <c r="B1" s="15">
        <v>2014</v>
      </c>
      <c r="C1" s="15">
        <v>2015</v>
      </c>
      <c r="D1" s="15">
        <v>2016</v>
      </c>
      <c r="E1" s="15">
        <v>2017</v>
      </c>
      <c r="F1" s="15">
        <v>2018</v>
      </c>
      <c r="G1" s="15">
        <v>2019</v>
      </c>
      <c r="H1" s="15">
        <v>2020</v>
      </c>
      <c r="I1" s="15">
        <v>2021</v>
      </c>
      <c r="J1" s="15">
        <v>2022</v>
      </c>
      <c r="K1" s="15">
        <v>2023</v>
      </c>
      <c r="L1" s="15">
        <v>2024</v>
      </c>
      <c r="M1" s="15">
        <v>2025</v>
      </c>
      <c r="N1" s="15">
        <v>2026</v>
      </c>
      <c r="O1" s="15">
        <v>2027</v>
      </c>
      <c r="P1" s="15">
        <v>2028</v>
      </c>
      <c r="Q1" s="15">
        <v>2029</v>
      </c>
      <c r="R1" s="15">
        <v>2030</v>
      </c>
      <c r="S1" s="15">
        <v>2031</v>
      </c>
      <c r="T1" s="15">
        <v>2032</v>
      </c>
    </row>
    <row r="2" spans="1:20" ht="15.5">
      <c r="A2" s="15" t="s">
        <v>16</v>
      </c>
      <c r="B2" s="38">
        <v>1984154.1432880235</v>
      </c>
      <c r="C2" s="38">
        <v>2026880.4548225864</v>
      </c>
      <c r="D2" s="38">
        <v>2089804.4344935615</v>
      </c>
      <c r="E2" s="38">
        <v>2166743.0790580329</v>
      </c>
      <c r="F2" s="38">
        <v>2233855.95615162</v>
      </c>
      <c r="G2" s="38">
        <v>2305703.0323980432</v>
      </c>
      <c r="H2" s="38">
        <v>2354085.69353271</v>
      </c>
      <c r="I2" s="38">
        <v>2485893.4408868095</v>
      </c>
      <c r="J2" s="38">
        <v>2582346.5490111676</v>
      </c>
      <c r="K2" s="38">
        <v>2676632.5358016375</v>
      </c>
      <c r="L2" s="61">
        <v>2747469.2114532986</v>
      </c>
      <c r="M2" s="38">
        <v>2824376.9764862782</v>
      </c>
      <c r="N2" s="38">
        <v>2898928.5943436017</v>
      </c>
      <c r="O2" s="38">
        <v>2973609.9682075335</v>
      </c>
      <c r="P2" s="38">
        <v>3049807.4424175778</v>
      </c>
      <c r="Q2" s="38">
        <v>3127164.0525832549</v>
      </c>
      <c r="R2" s="38">
        <v>3205915.8339353739</v>
      </c>
      <c r="S2" s="38">
        <v>3285856.9138803463</v>
      </c>
      <c r="T2" s="38">
        <v>3367905.8201941005</v>
      </c>
    </row>
    <row r="3" spans="1:20" ht="15.5">
      <c r="A3" s="15" t="s">
        <v>15</v>
      </c>
      <c r="B3" s="38">
        <v>380048.53866562591</v>
      </c>
      <c r="C3" s="38">
        <v>391674.25283228548</v>
      </c>
      <c r="D3" s="38">
        <v>394639.63322090515</v>
      </c>
      <c r="E3" s="38">
        <v>381235.42218366271</v>
      </c>
      <c r="F3" s="38">
        <v>388158.47904924204</v>
      </c>
      <c r="G3" s="38">
        <v>407736.86772479449</v>
      </c>
      <c r="H3" s="38">
        <v>393712.927657469</v>
      </c>
      <c r="I3" s="38">
        <v>387311.46577575</v>
      </c>
      <c r="J3" s="38">
        <v>383017.48008572182</v>
      </c>
      <c r="K3" s="38">
        <v>381280.16804919293</v>
      </c>
      <c r="L3" s="61">
        <v>384460.00510571321</v>
      </c>
      <c r="M3" s="38">
        <v>382710.33902351954</v>
      </c>
      <c r="N3" s="38">
        <v>382544.04185314092</v>
      </c>
      <c r="O3" s="38">
        <v>384009.32540102664</v>
      </c>
      <c r="P3" s="38">
        <v>383715.34923386667</v>
      </c>
      <c r="Q3" s="38">
        <v>382139.4921516719</v>
      </c>
      <c r="R3" s="38">
        <v>378692.30104446533</v>
      </c>
      <c r="S3" s="38">
        <v>374607.93087439035</v>
      </c>
      <c r="T3" s="38">
        <v>375814.65922171006</v>
      </c>
    </row>
    <row r="4" spans="1:20" ht="15.5">
      <c r="A4" s="15" t="s">
        <v>7</v>
      </c>
      <c r="B4" s="38">
        <v>658274.53302526323</v>
      </c>
      <c r="C4" s="38">
        <v>689808.70716579491</v>
      </c>
      <c r="D4" s="38">
        <v>722918.94963520684</v>
      </c>
      <c r="E4" s="38">
        <v>766239.81404323876</v>
      </c>
      <c r="F4" s="38">
        <v>807510.50307132886</v>
      </c>
      <c r="G4" s="38">
        <v>831738.5025018045</v>
      </c>
      <c r="H4" s="38">
        <v>821426.20255405665</v>
      </c>
      <c r="I4" s="38">
        <v>869897.40099999995</v>
      </c>
      <c r="J4" s="38">
        <v>889193.17385539447</v>
      </c>
      <c r="K4" s="38">
        <v>908105.8672110287</v>
      </c>
      <c r="L4" s="61">
        <v>949131.73355387116</v>
      </c>
      <c r="M4" s="38">
        <v>985353.46459168708</v>
      </c>
      <c r="N4" s="38">
        <v>1017422.4048127327</v>
      </c>
      <c r="O4" s="38">
        <v>1047199.6846555453</v>
      </c>
      <c r="P4" s="38">
        <v>1078595.0659925051</v>
      </c>
      <c r="Q4" s="38">
        <v>1111120.2749715559</v>
      </c>
      <c r="R4" s="38">
        <v>1142740.1369228584</v>
      </c>
      <c r="S4" s="38">
        <v>1173978.230189912</v>
      </c>
      <c r="T4" s="38">
        <v>1205434.848719344</v>
      </c>
    </row>
    <row r="5" spans="1:20" ht="15.5">
      <c r="A5" s="15" t="s">
        <v>12</v>
      </c>
      <c r="B5" s="38">
        <v>701911.69747473742</v>
      </c>
      <c r="C5" s="38">
        <v>720141.96866704139</v>
      </c>
      <c r="D5" s="38">
        <v>743995.27098694805</v>
      </c>
      <c r="E5" s="38">
        <v>758745.14457276091</v>
      </c>
      <c r="F5" s="38">
        <v>790716.84099424898</v>
      </c>
      <c r="G5" s="38">
        <v>819738.36532724393</v>
      </c>
      <c r="H5" s="38">
        <v>814985.83673724416</v>
      </c>
      <c r="I5" s="38">
        <v>874859.29400000011</v>
      </c>
      <c r="J5" s="38">
        <v>879048.65144304966</v>
      </c>
      <c r="K5" s="38">
        <v>914431.6126637531</v>
      </c>
      <c r="L5" s="61">
        <v>953398.72503268928</v>
      </c>
      <c r="M5" s="38">
        <v>990651.6522927417</v>
      </c>
      <c r="N5" s="38">
        <v>1027964.9123054704</v>
      </c>
      <c r="O5" s="38">
        <v>1072044.2394371158</v>
      </c>
      <c r="P5" s="38">
        <v>1119974.7455428315</v>
      </c>
      <c r="Q5" s="38">
        <v>1168172.7961700931</v>
      </c>
      <c r="R5" s="38">
        <v>1218055.7272334341</v>
      </c>
      <c r="S5" s="38">
        <v>1269381.1828453972</v>
      </c>
      <c r="T5" s="38">
        <v>1319930.6375584111</v>
      </c>
    </row>
    <row r="6" spans="1:20" ht="15.5">
      <c r="A6" s="15" t="s">
        <v>17</v>
      </c>
      <c r="B6" s="38">
        <v>541984.72796708508</v>
      </c>
      <c r="C6" s="38">
        <v>571188.77672527148</v>
      </c>
      <c r="D6" s="38">
        <v>603941.09917692223</v>
      </c>
      <c r="E6" s="38">
        <v>665276.09077746829</v>
      </c>
      <c r="F6" s="38">
        <v>729824.7001797969</v>
      </c>
      <c r="G6" s="38">
        <v>769849.72529347462</v>
      </c>
      <c r="H6" s="38">
        <v>823571.81309801491</v>
      </c>
      <c r="I6" s="38">
        <v>937674.17800000007</v>
      </c>
      <c r="J6" s="38">
        <v>985647.6284598012</v>
      </c>
      <c r="K6" s="38">
        <v>988867.40290018206</v>
      </c>
      <c r="L6" s="61">
        <v>1093829.1264144757</v>
      </c>
      <c r="M6" s="38">
        <v>1151861.1776350122</v>
      </c>
      <c r="N6" s="38">
        <v>1210647.7365457446</v>
      </c>
      <c r="O6" s="38">
        <v>1272792.0935690321</v>
      </c>
      <c r="P6" s="38">
        <v>1338398.1072615632</v>
      </c>
      <c r="Q6" s="38">
        <v>1406330.8947332879</v>
      </c>
      <c r="R6" s="38">
        <v>1475405.372583468</v>
      </c>
      <c r="S6" s="38">
        <v>1546304.4341546427</v>
      </c>
      <c r="T6" s="38">
        <v>1619052.8518912625</v>
      </c>
    </row>
    <row r="7" spans="1:20" ht="15.5">
      <c r="A7" s="15" t="s">
        <v>11</v>
      </c>
      <c r="B7" s="38">
        <v>342107.71916253841</v>
      </c>
      <c r="C7" s="38">
        <v>358552.41150796344</v>
      </c>
      <c r="D7" s="38">
        <v>379331.34470816527</v>
      </c>
      <c r="E7" s="38">
        <v>411597.73591312271</v>
      </c>
      <c r="F7" s="38">
        <v>434236.00452531391</v>
      </c>
      <c r="G7" s="38">
        <v>463602.67033544532</v>
      </c>
      <c r="H7" s="38">
        <v>486220.68097612407</v>
      </c>
      <c r="I7" s="38">
        <v>557979.07700000005</v>
      </c>
      <c r="J7" s="38">
        <v>610144.50858409493</v>
      </c>
      <c r="K7" s="38">
        <v>670492.80283723527</v>
      </c>
      <c r="L7" s="61">
        <v>697769.48107759689</v>
      </c>
      <c r="M7" s="38">
        <v>731056.21604142734</v>
      </c>
      <c r="N7" s="38">
        <v>768912.30595588649</v>
      </c>
      <c r="O7" s="38">
        <v>809438.85414581886</v>
      </c>
      <c r="P7" s="38">
        <v>852124.2415253158</v>
      </c>
      <c r="Q7" s="38">
        <v>896362.12647953164</v>
      </c>
      <c r="R7" s="38">
        <v>942852.7030861316</v>
      </c>
      <c r="S7" s="38">
        <v>991839.83425363002</v>
      </c>
      <c r="T7" s="38">
        <v>1043792.4099735507</v>
      </c>
    </row>
    <row r="8" spans="1:20" ht="15.5">
      <c r="A8" s="15" t="s">
        <v>44</v>
      </c>
      <c r="B8" s="38"/>
      <c r="C8" s="38"/>
      <c r="D8" s="38"/>
      <c r="E8" s="38"/>
      <c r="F8" s="38"/>
      <c r="G8" s="38"/>
      <c r="H8" s="38">
        <v>40975578</v>
      </c>
      <c r="I8" s="38">
        <v>43597702</v>
      </c>
      <c r="J8" s="38">
        <v>47155228</v>
      </c>
      <c r="K8" s="38">
        <v>51622792</v>
      </c>
      <c r="L8" s="61">
        <v>51653821</v>
      </c>
      <c r="M8" s="38">
        <v>52539419</v>
      </c>
      <c r="N8" s="38">
        <v>53292737</v>
      </c>
      <c r="O8" s="38">
        <v>54393919</v>
      </c>
      <c r="P8" s="38">
        <v>54620819</v>
      </c>
      <c r="Q8" s="38">
        <v>55337424</v>
      </c>
      <c r="R8" s="38">
        <v>56054027</v>
      </c>
      <c r="S8" s="38">
        <v>57056158</v>
      </c>
      <c r="T8" s="38">
        <v>57886710</v>
      </c>
    </row>
    <row r="9" spans="1:20" ht="15.5">
      <c r="A9" s="15" t="s">
        <v>14</v>
      </c>
      <c r="B9" s="38">
        <v>683355.62986038742</v>
      </c>
      <c r="C9" s="38">
        <v>694993.86170964071</v>
      </c>
      <c r="D9" s="38">
        <v>741953.2574761943</v>
      </c>
      <c r="E9" s="38">
        <v>762796.10968758608</v>
      </c>
      <c r="F9" s="38">
        <v>756662.26977057185</v>
      </c>
      <c r="G9" s="38">
        <v>730886.93185971922</v>
      </c>
      <c r="H9" s="38">
        <v>667277.88541088544</v>
      </c>
      <c r="I9" s="38">
        <v>710434.51909469999</v>
      </c>
      <c r="J9" s="38">
        <v>747027.82508485019</v>
      </c>
      <c r="K9" s="38">
        <v>816808.79762235726</v>
      </c>
      <c r="L9" s="61">
        <v>827180.80167273257</v>
      </c>
      <c r="M9" s="38">
        <v>842486.10336680664</v>
      </c>
      <c r="N9" s="38">
        <v>858738.16386467963</v>
      </c>
      <c r="O9" s="38">
        <v>882398.45130926953</v>
      </c>
      <c r="P9" s="38">
        <v>892041.72834053531</v>
      </c>
      <c r="Q9" s="38">
        <v>907399.47729847324</v>
      </c>
      <c r="R9" s="38">
        <v>921657.27822662925</v>
      </c>
      <c r="S9" s="38">
        <v>940694.44479148858</v>
      </c>
      <c r="T9" s="38">
        <v>959255.74249926559</v>
      </c>
    </row>
    <row r="10" spans="1:20" ht="15.5">
      <c r="A10" s="15" t="s">
        <v>13</v>
      </c>
      <c r="B10" s="38">
        <v>42050.906588215003</v>
      </c>
      <c r="C10" s="38">
        <v>44111.780300222541</v>
      </c>
      <c r="D10" s="38">
        <v>46420.701662578394</v>
      </c>
      <c r="E10" s="38">
        <v>49469.57275245701</v>
      </c>
      <c r="F10" s="38">
        <v>51479.91710742547</v>
      </c>
      <c r="G10" s="38">
        <v>52813.741775301038</v>
      </c>
      <c r="H10" s="38">
        <v>50442.651944753401</v>
      </c>
      <c r="I10" s="38">
        <v>55034.405999999995</v>
      </c>
      <c r="J10" s="38">
        <v>52525.924627890534</v>
      </c>
      <c r="K10" s="38">
        <v>49611.855905827848</v>
      </c>
      <c r="L10" s="61">
        <v>51261.286177829003</v>
      </c>
      <c r="M10" s="38">
        <v>52189.600575852557</v>
      </c>
      <c r="N10" s="38">
        <v>53113.534848133946</v>
      </c>
      <c r="O10" s="38">
        <v>54059.708029955596</v>
      </c>
      <c r="P10" s="38">
        <v>55125.679030860032</v>
      </c>
      <c r="Q10" s="38">
        <v>56254.93192363136</v>
      </c>
      <c r="R10" s="38">
        <v>57347.63350540321</v>
      </c>
      <c r="S10" s="38">
        <v>58597.95340614477</v>
      </c>
      <c r="T10" s="38">
        <v>59959.011492764446</v>
      </c>
    </row>
    <row r="11" spans="1:20" ht="15.5">
      <c r="A11" s="15" t="s">
        <v>10</v>
      </c>
      <c r="B11" s="38">
        <v>8349.4034341819679</v>
      </c>
      <c r="C11" s="38">
        <v>8422.7290027268391</v>
      </c>
      <c r="D11" s="38">
        <v>8580.1379845366773</v>
      </c>
      <c r="E11" s="38">
        <v>9145.4242052524241</v>
      </c>
      <c r="F11" s="38">
        <v>9625.3572060485494</v>
      </c>
      <c r="G11" s="38">
        <v>9583.2669088439961</v>
      </c>
      <c r="H11" s="38">
        <v>9175.3508039397857</v>
      </c>
      <c r="I11" s="38">
        <v>10563.952069133191</v>
      </c>
      <c r="J11" s="38">
        <v>11209.377816126929</v>
      </c>
      <c r="K11" s="38">
        <v>11453.009935037253</v>
      </c>
      <c r="L11" s="61">
        <v>12048.00962646168</v>
      </c>
      <c r="M11" s="38">
        <v>12572.963453808075</v>
      </c>
      <c r="N11" s="38">
        <v>12834.96806401771</v>
      </c>
      <c r="O11" s="38">
        <v>13388.485809806882</v>
      </c>
      <c r="P11" s="38">
        <v>13875.668998806452</v>
      </c>
      <c r="Q11" s="38">
        <v>14401.444562852023</v>
      </c>
      <c r="R11" s="38">
        <v>14941.241384889045</v>
      </c>
      <c r="S11" s="38">
        <v>15493.042374412018</v>
      </c>
      <c r="T11" s="38">
        <v>16053.682950929329</v>
      </c>
    </row>
    <row r="12" spans="1:20" ht="15.5">
      <c r="A12" s="15" t="s">
        <v>9</v>
      </c>
      <c r="B12" s="38">
        <v>5319.836457699379</v>
      </c>
      <c r="C12" s="38">
        <v>5592.5721435003525</v>
      </c>
      <c r="D12" s="38">
        <v>5921.5187592072552</v>
      </c>
      <c r="E12" s="38">
        <v>6166.4465829625833</v>
      </c>
      <c r="F12" s="38">
        <v>6423.2783904301568</v>
      </c>
      <c r="G12" s="38">
        <v>6654.4812821573196</v>
      </c>
      <c r="H12" s="38">
        <v>6788.0581727187691</v>
      </c>
      <c r="I12" s="38">
        <v>6847.5339069797856</v>
      </c>
      <c r="J12" s="38">
        <v>7095.3349347478843</v>
      </c>
      <c r="K12" s="38">
        <v>7319.2101947827332</v>
      </c>
      <c r="L12" s="61">
        <v>7434.2869313568717</v>
      </c>
      <c r="M12" s="38">
        <v>7625.7826860429295</v>
      </c>
      <c r="N12" s="38">
        <v>7895.5227199228266</v>
      </c>
      <c r="O12" s="38">
        <v>8194.4994675390808</v>
      </c>
      <c r="P12" s="38">
        <v>8500.326473000172</v>
      </c>
      <c r="Q12" s="38">
        <v>8807.5922585775734</v>
      </c>
      <c r="R12" s="38">
        <v>9125.1141756814213</v>
      </c>
      <c r="S12" s="38">
        <v>9450.3946335854598</v>
      </c>
      <c r="T12" s="38">
        <v>9786.8946394579434</v>
      </c>
    </row>
    <row r="13" spans="1:20" ht="15.5">
      <c r="A13" s="15" t="s">
        <v>34</v>
      </c>
      <c r="B13" s="38">
        <v>9257156.7974565793</v>
      </c>
      <c r="C13" s="38">
        <v>9657184.9476442523</v>
      </c>
      <c r="D13" s="38">
        <v>10328581.837276584</v>
      </c>
      <c r="E13" s="38">
        <v>10841479.023073979</v>
      </c>
      <c r="F13" s="38">
        <v>11412188.344317725</v>
      </c>
      <c r="G13" s="38">
        <v>11814574.240564663</v>
      </c>
      <c r="H13" s="38">
        <v>11826911.727147415</v>
      </c>
      <c r="I13" s="38">
        <v>12699596.940468905</v>
      </c>
      <c r="J13" s="38">
        <v>13145096.424577188</v>
      </c>
      <c r="K13" s="38">
        <v>13515505.724316899</v>
      </c>
      <c r="L13" s="61">
        <v>14065179.292174175</v>
      </c>
      <c r="M13" s="38">
        <v>14564840.902515035</v>
      </c>
      <c r="N13" s="38">
        <v>15130673.904073559</v>
      </c>
      <c r="O13" s="38">
        <v>15731530.665519167</v>
      </c>
      <c r="P13" s="38">
        <v>16352598.882006496</v>
      </c>
      <c r="Q13" s="38">
        <v>16977354.920683581</v>
      </c>
      <c r="R13" s="38">
        <v>17612422.791046124</v>
      </c>
      <c r="S13" s="38">
        <v>18294617.454542037</v>
      </c>
      <c r="T13" s="38">
        <v>18993320.335390035</v>
      </c>
    </row>
    <row r="14" spans="1:20" ht="15.5">
      <c r="A14" s="15" t="s">
        <v>39</v>
      </c>
      <c r="K14" s="38">
        <v>65446</v>
      </c>
      <c r="L14" s="61">
        <v>69230</v>
      </c>
    </row>
    <row r="15" spans="1:20" ht="15.5">
      <c r="A15" s="15" t="s">
        <v>40</v>
      </c>
      <c r="H15" s="61">
        <v>58158</v>
      </c>
      <c r="I15" s="61">
        <v>62286</v>
      </c>
      <c r="J15" s="61">
        <v>66608</v>
      </c>
      <c r="K15" s="61">
        <v>77794</v>
      </c>
      <c r="L15" s="61">
        <v>66517</v>
      </c>
    </row>
    <row r="16" spans="1:20" ht="15.5">
      <c r="A16" s="15" t="s">
        <v>41</v>
      </c>
    </row>
    <row r="17" spans="1:12" ht="15.5">
      <c r="A17" s="15" t="s">
        <v>43</v>
      </c>
      <c r="K17">
        <v>1411.9</v>
      </c>
      <c r="L17">
        <v>1394.9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8E45B-3B33-4D79-A1E6-B8152504C9FA}">
  <dimension ref="A1:E57"/>
  <sheetViews>
    <sheetView topLeftCell="A42" workbookViewId="0">
      <selection activeCell="C57" sqref="C57"/>
    </sheetView>
  </sheetViews>
  <sheetFormatPr defaultColWidth="9" defaultRowHeight="14"/>
  <cols>
    <col customWidth="true" max="1" min="1" style="43" width="13"/>
    <col max="16384" min="2" style="43" width="9"/>
  </cols>
  <sheetData>
    <row r="1" spans="1:5">
      <c r="A1" s="43" t="s">
        <v>53</v>
      </c>
    </row>
    <row r="2" spans="1:5" ht="17.5" thickBot="true">
      <c r="A2" s="44" t="s">
        <v>112</v>
      </c>
    </row>
    <row r="3" spans="1:5" ht="14.5" thickBot="true">
      <c r="A3" s="92" t="s">
        <v>54</v>
      </c>
      <c r="B3" s="94">
        <v>2024</v>
      </c>
      <c r="C3" s="95"/>
      <c r="D3" s="94">
        <v>2023</v>
      </c>
      <c r="E3" s="95"/>
    </row>
    <row r="4" spans="1:5" ht="14.5" thickBot="true">
      <c r="A4" s="93"/>
      <c r="B4" s="45" t="s">
        <v>55</v>
      </c>
      <c r="C4" s="45" t="s">
        <v>56</v>
      </c>
      <c r="D4" s="45" t="s">
        <v>55</v>
      </c>
      <c r="E4" s="45" t="s">
        <v>56</v>
      </c>
    </row>
    <row r="5" spans="1:5" ht="14.5" thickBot="true">
      <c r="A5" s="46" t="s">
        <v>57</v>
      </c>
      <c r="B5" s="47">
        <v>1</v>
      </c>
      <c r="C5" s="48">
        <v>1005.1</v>
      </c>
      <c r="D5" s="47">
        <v>1</v>
      </c>
      <c r="E5" s="48">
        <v>1028.9000000000001</v>
      </c>
    </row>
    <row r="6" spans="1:5" ht="14.5" thickBot="true">
      <c r="A6" s="46" t="s">
        <v>110</v>
      </c>
      <c r="B6" s="47">
        <v>2</v>
      </c>
      <c r="C6" s="48">
        <v>149.4</v>
      </c>
      <c r="D6" s="47">
        <v>2</v>
      </c>
      <c r="E6" s="48">
        <v>140.80000000000001</v>
      </c>
    </row>
    <row r="7" spans="1:5" ht="14.5" thickBot="true">
      <c r="A7" s="46" t="s">
        <v>58</v>
      </c>
      <c r="B7" s="47">
        <v>3</v>
      </c>
      <c r="C7" s="48">
        <v>84</v>
      </c>
      <c r="D7" s="47">
        <v>3</v>
      </c>
      <c r="E7" s="48">
        <v>87</v>
      </c>
    </row>
    <row r="8" spans="1:5" ht="14.5" thickBot="true">
      <c r="A8" s="49" t="s">
        <v>59</v>
      </c>
      <c r="B8" s="47">
        <v>4</v>
      </c>
      <c r="C8" s="48">
        <v>79.5</v>
      </c>
      <c r="D8" s="47">
        <v>4</v>
      </c>
      <c r="E8" s="48">
        <v>81.400000000000006</v>
      </c>
    </row>
    <row r="9" spans="1:5" ht="14.5" thickBot="true">
      <c r="A9" s="49" t="s">
        <v>60</v>
      </c>
      <c r="B9" s="47">
        <v>5</v>
      </c>
      <c r="C9" s="48">
        <v>71</v>
      </c>
      <c r="D9" s="47">
        <v>5</v>
      </c>
      <c r="E9" s="48">
        <v>76</v>
      </c>
    </row>
    <row r="10" spans="1:5" ht="14.5" thickBot="true">
      <c r="A10" s="46" t="s">
        <v>61</v>
      </c>
      <c r="B10" s="47">
        <v>6</v>
      </c>
      <c r="C10" s="48">
        <v>63.6</v>
      </c>
      <c r="D10" s="47">
        <v>6</v>
      </c>
      <c r="E10" s="48">
        <v>66.7</v>
      </c>
    </row>
    <row r="11" spans="1:5" ht="14.5" thickBot="true">
      <c r="A11" s="49" t="s">
        <v>62</v>
      </c>
      <c r="B11" s="47">
        <v>7</v>
      </c>
      <c r="C11" s="48">
        <v>37.200000000000003</v>
      </c>
      <c r="D11" s="47">
        <v>7</v>
      </c>
      <c r="E11" s="48">
        <v>35.4</v>
      </c>
    </row>
    <row r="12" spans="1:5" ht="14.5" thickBot="true">
      <c r="A12" s="49" t="s">
        <v>63</v>
      </c>
      <c r="B12" s="47">
        <v>8</v>
      </c>
      <c r="C12" s="48">
        <v>36.9</v>
      </c>
      <c r="D12" s="47">
        <v>8</v>
      </c>
      <c r="E12" s="48">
        <v>33.700000000000003</v>
      </c>
    </row>
    <row r="13" spans="1:5" ht="14.5" thickBot="true">
      <c r="A13" s="49" t="s">
        <v>64</v>
      </c>
      <c r="B13" s="47">
        <v>9</v>
      </c>
      <c r="C13" s="48">
        <v>33.799999999999997</v>
      </c>
      <c r="D13" s="47">
        <v>9</v>
      </c>
      <c r="E13" s="48">
        <v>32</v>
      </c>
    </row>
    <row r="14" spans="1:5" ht="14.5" thickBot="true">
      <c r="A14" s="49" t="s">
        <v>65</v>
      </c>
      <c r="B14" s="47">
        <v>10</v>
      </c>
      <c r="C14" s="48">
        <v>31.4</v>
      </c>
      <c r="D14" s="47">
        <v>10</v>
      </c>
      <c r="E14" s="48">
        <v>30.7</v>
      </c>
    </row>
    <row r="15" spans="1:5" ht="14.5" thickBot="true">
      <c r="A15" s="46" t="s">
        <v>66</v>
      </c>
      <c r="B15" s="47">
        <v>11</v>
      </c>
      <c r="C15" s="48">
        <v>22</v>
      </c>
      <c r="D15" s="47">
        <v>12</v>
      </c>
      <c r="E15" s="48">
        <v>19.2</v>
      </c>
    </row>
    <row r="16" spans="1:5" ht="14.5" thickBot="true">
      <c r="A16" s="49" t="s">
        <v>67</v>
      </c>
      <c r="B16" s="47">
        <v>12</v>
      </c>
      <c r="C16" s="48">
        <v>20</v>
      </c>
      <c r="D16" s="47">
        <v>11</v>
      </c>
      <c r="E16" s="48">
        <v>21.1</v>
      </c>
    </row>
    <row r="17" spans="1:5" ht="14.5" thickBot="true">
      <c r="A17" s="46" t="s">
        <v>68</v>
      </c>
      <c r="B17" s="47">
        <v>13</v>
      </c>
      <c r="C17" s="48">
        <v>19.2</v>
      </c>
      <c r="D17" s="47">
        <v>13</v>
      </c>
      <c r="E17" s="48">
        <v>19.100000000000001</v>
      </c>
    </row>
    <row r="18" spans="1:5" ht="14.5" thickBot="true">
      <c r="A18" s="46" t="s">
        <v>69</v>
      </c>
      <c r="B18" s="47">
        <v>14</v>
      </c>
      <c r="C18" s="48">
        <v>18</v>
      </c>
      <c r="D18" s="47">
        <v>14</v>
      </c>
      <c r="E18" s="48">
        <v>16.8</v>
      </c>
    </row>
    <row r="19" spans="1:5" ht="14.5" thickBot="true">
      <c r="A19" s="49" t="s">
        <v>70</v>
      </c>
      <c r="B19" s="47">
        <v>15</v>
      </c>
      <c r="C19" s="48">
        <v>13.8</v>
      </c>
      <c r="D19" s="47">
        <v>15</v>
      </c>
      <c r="E19" s="48">
        <v>16.399999999999999</v>
      </c>
    </row>
    <row r="20" spans="1:5" ht="14.5" thickBot="true">
      <c r="A20" s="49" t="s">
        <v>71</v>
      </c>
      <c r="B20" s="47">
        <v>16</v>
      </c>
      <c r="C20" s="48">
        <v>12.3</v>
      </c>
      <c r="D20" s="47">
        <v>16</v>
      </c>
      <c r="E20" s="48">
        <v>12.2</v>
      </c>
    </row>
    <row r="21" spans="1:5" ht="14.5" thickBot="true">
      <c r="A21" s="49" t="s">
        <v>72</v>
      </c>
      <c r="B21" s="47">
        <v>17</v>
      </c>
      <c r="C21" s="48">
        <v>11.9</v>
      </c>
      <c r="D21" s="47">
        <v>17</v>
      </c>
      <c r="E21" s="48">
        <v>11.4</v>
      </c>
    </row>
    <row r="22" spans="1:5" ht="14.5" thickBot="true">
      <c r="A22" s="49" t="s">
        <v>73</v>
      </c>
      <c r="B22" s="47">
        <v>18</v>
      </c>
      <c r="C22" s="48">
        <v>10.8</v>
      </c>
      <c r="D22" s="47">
        <v>19</v>
      </c>
      <c r="E22" s="48">
        <v>10</v>
      </c>
    </row>
    <row r="23" spans="1:5" ht="14.5" thickBot="true">
      <c r="A23" s="49" t="s">
        <v>74</v>
      </c>
      <c r="B23" s="47">
        <v>19</v>
      </c>
      <c r="C23" s="48">
        <v>10.7</v>
      </c>
      <c r="D23" s="47">
        <v>18</v>
      </c>
      <c r="E23" s="48">
        <v>10.4</v>
      </c>
    </row>
    <row r="24" spans="1:5" ht="14.5" thickBot="true">
      <c r="A24" s="46" t="s">
        <v>75</v>
      </c>
      <c r="B24" s="47">
        <v>20</v>
      </c>
      <c r="C24" s="48">
        <v>9.6</v>
      </c>
      <c r="D24" s="47">
        <v>20</v>
      </c>
      <c r="E24" s="48">
        <v>9.9</v>
      </c>
    </row>
    <row r="25" spans="1:5" ht="14.5" thickBot="true">
      <c r="A25" s="46" t="s">
        <v>76</v>
      </c>
      <c r="B25" s="47">
        <v>21</v>
      </c>
      <c r="C25" s="48">
        <v>8.8000000000000007</v>
      </c>
      <c r="D25" s="47">
        <v>21</v>
      </c>
      <c r="E25" s="48">
        <v>7.5</v>
      </c>
    </row>
    <row r="26" spans="1:5" ht="14.5" thickBot="true">
      <c r="A26" s="49" t="s">
        <v>77</v>
      </c>
      <c r="B26" s="47">
        <v>22</v>
      </c>
      <c r="C26" s="48">
        <v>7.6</v>
      </c>
      <c r="D26" s="47">
        <v>24</v>
      </c>
      <c r="E26" s="48">
        <v>6.2</v>
      </c>
    </row>
    <row r="27" spans="1:5" ht="14.5" thickBot="true">
      <c r="A27" s="49" t="s">
        <v>78</v>
      </c>
      <c r="B27" s="47">
        <v>23</v>
      </c>
      <c r="C27" s="48">
        <v>7.1</v>
      </c>
      <c r="D27" s="47">
        <v>25</v>
      </c>
      <c r="E27" s="48">
        <v>5.9</v>
      </c>
    </row>
    <row r="28" spans="1:5" ht="14.5" thickBot="true">
      <c r="A28" s="49" t="s">
        <v>79</v>
      </c>
      <c r="B28" s="47">
        <v>24</v>
      </c>
      <c r="C28" s="48">
        <v>7.1</v>
      </c>
      <c r="D28" s="47">
        <v>22</v>
      </c>
      <c r="E28" s="48">
        <v>7.1</v>
      </c>
    </row>
    <row r="29" spans="1:5" ht="14.5" thickBot="true">
      <c r="A29" s="49" t="s">
        <v>80</v>
      </c>
      <c r="B29" s="47">
        <v>25</v>
      </c>
      <c r="C29" s="48">
        <v>7.1</v>
      </c>
      <c r="D29" s="47">
        <v>23</v>
      </c>
      <c r="E29" s="48">
        <v>6.4</v>
      </c>
    </row>
    <row r="30" spans="1:5" ht="14.5" thickBot="true">
      <c r="A30" s="49" t="s">
        <v>81</v>
      </c>
      <c r="B30" s="47">
        <v>26</v>
      </c>
      <c r="C30" s="48">
        <v>6.4</v>
      </c>
      <c r="D30" s="47">
        <v>33</v>
      </c>
      <c r="E30" s="48">
        <v>4.7</v>
      </c>
    </row>
    <row r="31" spans="1:5" ht="14.5" thickBot="true">
      <c r="A31" s="46" t="s">
        <v>82</v>
      </c>
      <c r="B31" s="47">
        <v>27</v>
      </c>
      <c r="C31" s="48">
        <v>4.9000000000000004</v>
      </c>
      <c r="D31" s="47">
        <v>30</v>
      </c>
      <c r="E31" s="48">
        <v>5</v>
      </c>
    </row>
    <row r="32" spans="1:5" ht="14.5" thickBot="true">
      <c r="A32" s="49" t="s">
        <v>83</v>
      </c>
      <c r="B32" s="47">
        <v>28</v>
      </c>
      <c r="C32" s="48">
        <v>4.7</v>
      </c>
      <c r="D32" s="47">
        <v>31</v>
      </c>
      <c r="E32" s="48">
        <v>5</v>
      </c>
    </row>
    <row r="33" spans="1:5" ht="14.5" thickBot="true">
      <c r="A33" s="46" t="s">
        <v>84</v>
      </c>
      <c r="B33" s="47">
        <v>29</v>
      </c>
      <c r="C33" s="48">
        <v>4.7</v>
      </c>
      <c r="D33" s="47">
        <v>28</v>
      </c>
      <c r="E33" s="48">
        <v>5.3</v>
      </c>
    </row>
    <row r="34" spans="1:5" ht="14.5" thickBot="true">
      <c r="A34" s="49" t="s">
        <v>85</v>
      </c>
      <c r="B34" s="47">
        <v>30</v>
      </c>
      <c r="C34" s="48">
        <v>4.5</v>
      </c>
      <c r="D34" s="47">
        <v>34</v>
      </c>
      <c r="E34" s="48">
        <v>4.4000000000000004</v>
      </c>
    </row>
    <row r="35" spans="1:5" ht="14.5" thickBot="true">
      <c r="A35" s="49" t="s">
        <v>86</v>
      </c>
      <c r="B35" s="47">
        <v>31</v>
      </c>
      <c r="C35" s="48">
        <v>4.5</v>
      </c>
      <c r="D35" s="47">
        <v>29</v>
      </c>
      <c r="E35" s="48">
        <v>5</v>
      </c>
    </row>
    <row r="36" spans="1:5" ht="14.5" thickBot="true">
      <c r="A36" s="49" t="s">
        <v>87</v>
      </c>
      <c r="B36" s="47">
        <v>32</v>
      </c>
      <c r="C36" s="48">
        <v>4.2</v>
      </c>
      <c r="D36" s="47">
        <v>37</v>
      </c>
      <c r="E36" s="48">
        <v>3.9</v>
      </c>
    </row>
    <row r="37" spans="1:5" ht="14.5" thickBot="true">
      <c r="A37" s="49" t="s">
        <v>88</v>
      </c>
      <c r="B37" s="47">
        <v>33</v>
      </c>
      <c r="C37" s="48">
        <v>4.0999999999999996</v>
      </c>
      <c r="D37" s="47">
        <v>27</v>
      </c>
      <c r="E37" s="48">
        <v>5.3</v>
      </c>
    </row>
    <row r="38" spans="1:5" ht="14.5" thickBot="true">
      <c r="A38" s="49" t="s">
        <v>89</v>
      </c>
      <c r="B38" s="47">
        <v>34</v>
      </c>
      <c r="C38" s="48">
        <v>4</v>
      </c>
      <c r="D38" s="47">
        <v>36</v>
      </c>
      <c r="E38" s="48">
        <v>4.3</v>
      </c>
    </row>
    <row r="39" spans="1:5" ht="28.5" thickBot="true">
      <c r="A39" s="49" t="s">
        <v>90</v>
      </c>
      <c r="B39" s="47">
        <v>35</v>
      </c>
      <c r="C39" s="48">
        <v>4</v>
      </c>
      <c r="D39" s="47">
        <v>26</v>
      </c>
      <c r="E39" s="48">
        <v>5.6</v>
      </c>
    </row>
    <row r="40" spans="1:5" ht="14.5" thickBot="true">
      <c r="A40" s="49" t="s">
        <v>91</v>
      </c>
      <c r="B40" s="47">
        <v>36</v>
      </c>
      <c r="C40" s="48">
        <v>3.9</v>
      </c>
      <c r="D40" s="47">
        <v>35</v>
      </c>
      <c r="E40" s="48">
        <v>4.4000000000000004</v>
      </c>
    </row>
    <row r="41" spans="1:5" ht="14.5" thickBot="true">
      <c r="A41" s="49" t="s">
        <v>92</v>
      </c>
      <c r="B41" s="47">
        <v>37</v>
      </c>
      <c r="C41" s="48">
        <v>3.9</v>
      </c>
      <c r="D41" s="47">
        <v>32</v>
      </c>
      <c r="E41" s="48">
        <v>4.9000000000000004</v>
      </c>
    </row>
    <row r="42" spans="1:5" ht="28.5" thickBot="true">
      <c r="A42" s="46" t="s">
        <v>93</v>
      </c>
      <c r="B42" s="47">
        <v>38</v>
      </c>
      <c r="C42" s="48">
        <v>3.7</v>
      </c>
      <c r="D42" s="47">
        <v>39</v>
      </c>
      <c r="E42" s="48">
        <v>3.8</v>
      </c>
    </row>
    <row r="43" spans="1:5" ht="14.5" thickBot="true">
      <c r="A43" s="49" t="s">
        <v>94</v>
      </c>
      <c r="B43" s="47">
        <v>39</v>
      </c>
      <c r="C43" s="48">
        <v>3.7</v>
      </c>
      <c r="D43" s="47">
        <v>38</v>
      </c>
      <c r="E43" s="48">
        <v>3.8</v>
      </c>
    </row>
    <row r="44" spans="1:5" ht="14.5" thickBot="true">
      <c r="A44" s="49" t="s">
        <v>95</v>
      </c>
      <c r="B44" s="47">
        <v>40</v>
      </c>
      <c r="C44" s="48">
        <v>3</v>
      </c>
      <c r="D44" s="47">
        <v>41</v>
      </c>
      <c r="E44" s="48">
        <v>2.9</v>
      </c>
    </row>
    <row r="45" spans="1:5" ht="14.5" thickBot="true">
      <c r="A45" s="49" t="s">
        <v>96</v>
      </c>
      <c r="B45" s="47">
        <v>41</v>
      </c>
      <c r="C45" s="48">
        <v>3</v>
      </c>
      <c r="D45" s="47">
        <v>42</v>
      </c>
      <c r="E45" s="48">
        <v>2.8</v>
      </c>
    </row>
    <row r="46" spans="1:5" ht="14.5" thickBot="true">
      <c r="A46" s="49" t="s">
        <v>97</v>
      </c>
      <c r="B46" s="47">
        <v>42</v>
      </c>
      <c r="C46" s="48">
        <v>2.5</v>
      </c>
      <c r="D46" s="47">
        <v>40</v>
      </c>
      <c r="E46" s="48">
        <v>3.4</v>
      </c>
    </row>
    <row r="47" spans="1:5" ht="14.5" thickBot="true">
      <c r="A47" s="49" t="s">
        <v>98</v>
      </c>
      <c r="B47" s="47">
        <v>43</v>
      </c>
      <c r="C47" s="48">
        <v>2.2999999999999998</v>
      </c>
      <c r="D47" s="47">
        <v>43</v>
      </c>
      <c r="E47" s="48">
        <v>2.2999999999999998</v>
      </c>
    </row>
    <row r="48" spans="1:5" ht="14.5" thickBot="true">
      <c r="A48" s="49" t="s">
        <v>99</v>
      </c>
      <c r="B48" s="47">
        <v>44</v>
      </c>
      <c r="C48" s="48">
        <v>1.9</v>
      </c>
      <c r="D48" s="47">
        <v>44</v>
      </c>
      <c r="E48" s="48">
        <v>2</v>
      </c>
    </row>
    <row r="49" spans="1:5" ht="14.5" thickBot="true">
      <c r="A49" s="46" t="s">
        <v>100</v>
      </c>
      <c r="B49" s="47">
        <v>45</v>
      </c>
      <c r="C49" s="48">
        <v>1.9</v>
      </c>
      <c r="D49" s="47">
        <v>46</v>
      </c>
      <c r="E49" s="48">
        <v>1.9</v>
      </c>
    </row>
    <row r="50" spans="1:5" ht="14.5" thickBot="true">
      <c r="A50" s="49" t="s">
        <v>101</v>
      </c>
      <c r="B50" s="47">
        <v>46</v>
      </c>
      <c r="C50" s="48">
        <v>1.8</v>
      </c>
      <c r="D50" s="47">
        <v>45</v>
      </c>
      <c r="E50" s="48">
        <v>1.9</v>
      </c>
    </row>
    <row r="51" spans="1:5" ht="14.5" thickBot="true">
      <c r="A51" s="49" t="s">
        <v>102</v>
      </c>
      <c r="B51" s="47">
        <v>47</v>
      </c>
      <c r="C51" s="48">
        <v>1.6</v>
      </c>
      <c r="D51" s="47">
        <v>48</v>
      </c>
      <c r="E51" s="48">
        <v>1.6</v>
      </c>
    </row>
    <row r="52" spans="1:5" ht="14.5" thickBot="true">
      <c r="A52" s="49" t="s">
        <v>103</v>
      </c>
      <c r="B52" s="47">
        <v>48</v>
      </c>
      <c r="C52" s="48">
        <v>1.6</v>
      </c>
      <c r="D52" s="47">
        <v>52</v>
      </c>
      <c r="E52" s="48">
        <v>1.4</v>
      </c>
    </row>
    <row r="53" spans="1:5" ht="14.5" thickBot="true">
      <c r="A53" s="49" t="s">
        <v>104</v>
      </c>
      <c r="B53" s="47">
        <v>49</v>
      </c>
      <c r="C53" s="48">
        <v>1.4</v>
      </c>
      <c r="D53" s="47">
        <v>50</v>
      </c>
      <c r="E53" s="48">
        <v>1.4</v>
      </c>
    </row>
    <row r="54" spans="1:5" ht="14.5" thickBot="true">
      <c r="A54" s="49" t="s">
        <v>105</v>
      </c>
      <c r="B54" s="47">
        <v>50</v>
      </c>
      <c r="C54" s="48">
        <v>1.4</v>
      </c>
      <c r="D54" s="47">
        <v>49</v>
      </c>
      <c r="E54" s="48">
        <v>1.5</v>
      </c>
    </row>
    <row r="55" spans="1:5" ht="14.5" thickBot="true">
      <c r="A55" s="49" t="s">
        <v>106</v>
      </c>
      <c r="B55" s="47"/>
      <c r="C55" s="48">
        <v>23</v>
      </c>
      <c r="D55" s="47"/>
      <c r="E55" s="48">
        <v>23.6</v>
      </c>
    </row>
    <row r="56" spans="1:5" ht="14.5" thickBot="true">
      <c r="A56" s="50" t="s">
        <v>107</v>
      </c>
      <c r="B56" s="45"/>
      <c r="C56" s="51" t="s">
        <v>108</v>
      </c>
      <c r="D56" s="45"/>
      <c r="E56" s="51" t="s">
        <v>109</v>
      </c>
    </row>
    <row r="57" spans="1:5">
      <c r="C57" s="43">
        <f>C49+C42+C33+C31+C25+C24+C18+C17+C15+C10+C7+C6+C5</f>
        <v>1394.9</v>
      </c>
      <c r="D57" s="43">
        <f t="shared" ref="D57:E57" si="0">D49+D42+D33+D31+D25+D24+D18+D17+D15+D10+D7+D6+D5</f>
        <v>235</v>
      </c>
      <c r="E57" s="43">
        <f t="shared" si="0"/>
        <v>1411.9</v>
      </c>
    </row>
  </sheetData>
  <mergeCells count="3">
    <mergeCell ref="A3:A4"/>
    <mergeCell ref="B3:C3"/>
    <mergeCell ref="D3:E3"/>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3263-7F62-40F9-93BA-F00043B0072B}">
  <dimension ref="A1:I20"/>
  <sheetViews>
    <sheetView workbookViewId="0">
      <selection activeCell="B28" sqref="B28"/>
    </sheetView>
  </sheetViews>
  <sheetFormatPr defaultRowHeight="14"/>
  <cols>
    <col customWidth="true" max="1" min="1" width="15"/>
    <col bestFit="true" customWidth="true" max="2" min="2" width="14.83203125"/>
    <col bestFit="true" customWidth="true" max="3" min="3" width="85.58203125"/>
    <col bestFit="true" customWidth="true" max="5" min="5" width="10.5"/>
    <col customWidth="true" max="7" min="7" width="14.33203125"/>
    <col bestFit="true" customWidth="true" max="8" min="8" width="14.33203125"/>
    <col bestFit="true" customWidth="true" max="9" min="9" width="35.5"/>
  </cols>
  <sheetData>
    <row r="1" spans="1:9" s="1" customFormat="true">
      <c r="A1" s="8"/>
      <c r="B1" s="96" t="s">
        <v>19</v>
      </c>
      <c r="C1" s="97"/>
      <c r="D1" s="97"/>
      <c r="E1" s="98"/>
      <c r="F1" s="99" t="s">
        <v>23</v>
      </c>
      <c r="G1" s="100"/>
      <c r="H1" s="100"/>
      <c r="I1" s="101"/>
    </row>
    <row r="2" spans="1:9" s="1" customFormat="true">
      <c r="A2" s="8"/>
      <c r="B2" s="96" t="s">
        <v>21</v>
      </c>
      <c r="C2" s="98"/>
      <c r="D2" s="96" t="s">
        <v>22</v>
      </c>
      <c r="E2" s="98"/>
      <c r="F2" s="5" t="s">
        <v>21</v>
      </c>
      <c r="G2" s="96" t="s">
        <v>22</v>
      </c>
      <c r="H2" s="97"/>
      <c r="I2" s="98"/>
    </row>
    <row r="3" spans="1:9" s="1" customFormat="true">
      <c r="A3" s="8"/>
      <c r="B3" s="5" t="s">
        <v>20</v>
      </c>
      <c r="C3" s="5" t="s">
        <v>25</v>
      </c>
      <c r="D3" s="5" t="s">
        <v>20</v>
      </c>
      <c r="E3" s="5" t="s">
        <v>25</v>
      </c>
      <c r="F3" s="5" t="s">
        <v>25</v>
      </c>
      <c r="G3" s="5" t="s">
        <v>25</v>
      </c>
      <c r="H3" s="5" t="s">
        <v>24</v>
      </c>
      <c r="I3" s="5" t="s">
        <v>26</v>
      </c>
    </row>
    <row r="4" spans="1:9">
      <c r="A4" s="2" t="s">
        <v>0</v>
      </c>
      <c r="B4" s="3">
        <v>1.5187495979533727E-2</v>
      </c>
      <c r="C4" s="3">
        <v>1.7000000000000001E-2</v>
      </c>
      <c r="D4" s="3">
        <v>1.8568944134039755E-2</v>
      </c>
      <c r="E4" s="3">
        <v>2.1000000000000001E-2</v>
      </c>
      <c r="F4" s="7">
        <v>5.0999999999999997E-2</v>
      </c>
      <c r="G4" s="3">
        <v>7.9000000000000001E-2</v>
      </c>
      <c r="H4" s="3">
        <v>0.14499999999999999</v>
      </c>
      <c r="I4" s="3">
        <v>7.9000000000000001E-2</v>
      </c>
    </row>
    <row r="5" spans="1:9">
      <c r="A5" s="2" t="s">
        <v>1</v>
      </c>
      <c r="B5" s="3">
        <v>2.3909429024441729E-2</v>
      </c>
      <c r="C5" s="4"/>
      <c r="D5" s="3">
        <v>2.7748260893827779E-2</v>
      </c>
      <c r="E5" s="4"/>
      <c r="F5" s="7">
        <v>5.0999999999999997E-2</v>
      </c>
      <c r="G5" s="4"/>
      <c r="H5" s="3">
        <v>0.11359000000000001</v>
      </c>
      <c r="I5" s="3">
        <v>6.7390000000000005E-2</v>
      </c>
    </row>
    <row r="6" spans="1:9">
      <c r="A6" s="2" t="s">
        <v>2</v>
      </c>
      <c r="B6" s="3">
        <v>2.2483643905149578E-2</v>
      </c>
      <c r="C6" s="4"/>
      <c r="D6" s="3">
        <v>2.4138546747013857E-2</v>
      </c>
      <c r="E6" s="4"/>
      <c r="F6" s="3">
        <v>5.0000000000000001E-3</v>
      </c>
      <c r="G6" s="4"/>
      <c r="H6" s="3">
        <v>5.3449999999999991E-2</v>
      </c>
      <c r="I6" s="3">
        <v>2.3749999999999997E-2</v>
      </c>
    </row>
    <row r="7" spans="1:9">
      <c r="A7" s="2" t="s">
        <v>3</v>
      </c>
      <c r="B7" s="3">
        <v>1.9402407829830232E-2</v>
      </c>
      <c r="C7" s="4"/>
      <c r="D7" s="3">
        <v>2.110841767260957E-2</v>
      </c>
      <c r="E7" s="4"/>
      <c r="F7" s="3">
        <v>3.1E-2</v>
      </c>
      <c r="G7" s="4"/>
      <c r="H7" s="3">
        <v>7.3050000000000004E-2</v>
      </c>
      <c r="I7" s="3">
        <v>4.6650000000000004E-2</v>
      </c>
    </row>
    <row r="8" spans="1:9">
      <c r="A8" s="2" t="s">
        <v>4</v>
      </c>
      <c r="B8" s="3">
        <v>3.1705445823340742E-2</v>
      </c>
      <c r="C8" s="4"/>
      <c r="D8" s="3">
        <v>2.8455003172448739E-2</v>
      </c>
      <c r="E8" s="4"/>
      <c r="F8" s="10"/>
      <c r="G8" s="4"/>
      <c r="H8" s="3">
        <v>1.6870000000000003E-2</v>
      </c>
      <c r="I8" s="3">
        <v>1.6870000000000003E-2</v>
      </c>
    </row>
    <row r="9" spans="1:9">
      <c r="A9" s="2" t="s">
        <v>5</v>
      </c>
      <c r="B9" s="3">
        <v>3.2379201000434107E-2</v>
      </c>
      <c r="C9" s="4"/>
      <c r="D9" s="3">
        <v>3.0663705287444772E-2</v>
      </c>
      <c r="E9" s="4"/>
      <c r="F9" s="10"/>
      <c r="G9" s="4"/>
      <c r="H9" s="3">
        <v>2.4250000000000001E-2</v>
      </c>
      <c r="I9" s="3">
        <v>2.4250000000000001E-2</v>
      </c>
    </row>
    <row r="10" spans="1:9">
      <c r="A10" s="2" t="s">
        <v>6</v>
      </c>
      <c r="B10" s="3">
        <v>2.8746806682613247E-2</v>
      </c>
      <c r="C10" s="4"/>
      <c r="D10" s="3">
        <v>3.3940353388559982E-2</v>
      </c>
      <c r="E10" s="4"/>
      <c r="F10" s="3">
        <v>0.16</v>
      </c>
      <c r="G10" s="4"/>
      <c r="H10" s="9" t="e">
        <v>#REF!</v>
      </c>
      <c r="I10" s="9" t="e">
        <v>#REF!</v>
      </c>
    </row>
    <row r="11" spans="1:9">
      <c r="A11" s="2" t="s">
        <v>7</v>
      </c>
      <c r="B11" s="3">
        <v>3.7145937914413923E-2</v>
      </c>
      <c r="C11" s="4"/>
      <c r="D11" s="3">
        <v>4.4283779999999842E-2</v>
      </c>
      <c r="E11" s="4"/>
      <c r="F11" s="3">
        <v>1.4E-2</v>
      </c>
      <c r="G11" s="4"/>
      <c r="H11" s="6">
        <v>1.4E-2</v>
      </c>
      <c r="I11" s="3">
        <v>1.4E-2</v>
      </c>
    </row>
    <row r="12"/>
    <row r="13"/>
    <row r="14" spans="1:9">
      <c r="A14" s="96" t="s">
        <v>28</v>
      </c>
      <c r="B14" s="97"/>
      <c r="C14" s="97"/>
    </row>
    <row r="15" spans="1:9">
      <c r="A15" s="4"/>
      <c r="B15" s="11" t="s">
        <v>18</v>
      </c>
      <c r="C15" s="11" t="s">
        <v>27</v>
      </c>
    </row>
    <row r="16" spans="1:9">
      <c r="A16" s="2" t="s">
        <v>8</v>
      </c>
      <c r="B16" s="3">
        <v>5.0999999999999997E-2</v>
      </c>
      <c r="C16" s="4" t="s">
        <v>29</v>
      </c>
    </row>
    <row r="17" spans="1:3">
      <c r="A17" s="2" t="s">
        <v>2</v>
      </c>
      <c r="B17" s="3">
        <v>5.0000000000000001E-3</v>
      </c>
      <c r="C17" s="4" t="s">
        <v>30</v>
      </c>
    </row>
    <row r="18" spans="1:3">
      <c r="A18" s="2" t="s">
        <v>3</v>
      </c>
      <c r="B18" s="3">
        <v>3.1E-2</v>
      </c>
      <c r="C18" s="4" t="s">
        <v>31</v>
      </c>
    </row>
    <row r="19" spans="1:3">
      <c r="A19" s="2" t="s">
        <v>6</v>
      </c>
      <c r="B19" s="3">
        <v>0.16</v>
      </c>
      <c r="C19" s="4" t="s">
        <v>33</v>
      </c>
    </row>
    <row r="20" spans="1:3">
      <c r="A20" s="2" t="s">
        <v>7</v>
      </c>
      <c r="B20" s="3">
        <v>1.4E-2</v>
      </c>
      <c r="C20" s="4" t="s">
        <v>32</v>
      </c>
    </row>
  </sheetData>
  <mergeCells count="6">
    <mergeCell ref="A14:C14"/>
    <mergeCell ref="B1:E1"/>
    <mergeCell ref="B2:C2"/>
    <mergeCell ref="D2:E2"/>
    <mergeCell ref="F1:I1"/>
    <mergeCell ref="G2:I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E00E-2E7E-4FF4-92A5-138DF14EEF0C}">
  <dimension ref="A1:P25"/>
  <sheetViews>
    <sheetView zoomScale="70" zoomScaleNormal="70" workbookViewId="0">
      <selection activeCell="G5" sqref="G5:G23"/>
    </sheetView>
  </sheetViews>
  <sheetFormatPr defaultRowHeight="14"/>
  <cols>
    <col bestFit="true" customWidth="true" max="1" min="1" width="7.33203125"/>
    <col bestFit="true" customWidth="true" max="2" min="2" width="12.08203125"/>
    <col bestFit="true" customWidth="true" max="3" min="3" width="10.08203125"/>
    <col bestFit="true" customWidth="true" max="5" min="4" width="10.25"/>
    <col bestFit="true" customWidth="true" max="6" min="6" width="10.75"/>
    <col bestFit="true" customWidth="true" max="7" min="7" width="10.25"/>
    <col bestFit="true" customWidth="true" max="8" min="8" width="18"/>
    <col bestFit="true" customWidth="true" max="9" min="9" width="15.75"/>
    <col bestFit="true" customWidth="true" max="10" min="10" width="10"/>
    <col bestFit="true" customWidth="true" max="11" min="11" width="13.83203125"/>
    <col bestFit="true" customWidth="true" max="12" min="12" width="11.33203125"/>
    <col bestFit="true" customWidth="true" max="13" min="13" width="17.75"/>
    <col bestFit="true" customWidth="true" max="16" min="14" width="12.08203125"/>
  </cols>
  <sheetData>
    <row r="1" spans="1:16" ht="15.5">
      <c r="A1" s="36" t="s">
        <v>21</v>
      </c>
    </row>
    <row r="2" spans="1:16" ht="15.5">
      <c r="A2" s="15"/>
      <c r="B2" s="14" t="s">
        <v>45</v>
      </c>
      <c r="C2" s="14" t="s">
        <v>45</v>
      </c>
      <c r="D2" s="14" t="s">
        <v>45</v>
      </c>
      <c r="E2" s="14" t="s">
        <v>45</v>
      </c>
      <c r="F2" s="14" t="s">
        <v>45</v>
      </c>
      <c r="G2" s="14" t="s">
        <v>45</v>
      </c>
      <c r="H2" s="14" t="s">
        <v>25</v>
      </c>
      <c r="I2" s="14" t="s">
        <v>45</v>
      </c>
      <c r="J2" s="14" t="s">
        <v>45</v>
      </c>
      <c r="K2" s="14" t="s">
        <v>45</v>
      </c>
      <c r="L2" s="14" t="s">
        <v>45</v>
      </c>
      <c r="M2" s="14" t="s">
        <v>42</v>
      </c>
      <c r="N2" s="14" t="s">
        <v>114</v>
      </c>
      <c r="O2" s="14" t="s">
        <v>114</v>
      </c>
      <c r="P2" s="14" t="s">
        <v>46</v>
      </c>
    </row>
    <row r="3" spans="1:16" ht="15.5">
      <c r="A3" s="15"/>
      <c r="B3" s="37" t="s">
        <v>49</v>
      </c>
      <c r="C3" s="37" t="s">
        <v>49</v>
      </c>
      <c r="D3" s="37" t="s">
        <v>49</v>
      </c>
      <c r="E3" s="37" t="s">
        <v>49</v>
      </c>
      <c r="F3" s="37" t="s">
        <v>49</v>
      </c>
      <c r="G3" s="37" t="s">
        <v>49</v>
      </c>
      <c r="H3" s="14" t="s">
        <v>50</v>
      </c>
      <c r="I3" s="37" t="s">
        <v>49</v>
      </c>
      <c r="J3" s="37" t="s">
        <v>49</v>
      </c>
      <c r="K3" s="37" t="s">
        <v>51</v>
      </c>
      <c r="L3" s="37" t="s">
        <v>49</v>
      </c>
      <c r="M3" s="37" t="s">
        <v>113</v>
      </c>
      <c r="N3" s="37" t="s">
        <v>111</v>
      </c>
      <c r="O3" s="37" t="s">
        <v>49</v>
      </c>
      <c r="P3" s="37"/>
    </row>
    <row r="4" spans="1:16" ht="15.5">
      <c r="A4" t="s">
        <v>136</v>
      </c>
      <c r="B4" s="15" t="s">
        <v>16</v>
      </c>
      <c r="C4" s="15" t="s">
        <v>15</v>
      </c>
      <c r="D4" s="15" t="s">
        <v>7</v>
      </c>
      <c r="E4" s="15" t="s">
        <v>12</v>
      </c>
      <c r="F4" s="15" t="s">
        <v>17</v>
      </c>
      <c r="G4" s="15" t="s">
        <v>11</v>
      </c>
      <c r="H4" s="15" t="s">
        <v>44</v>
      </c>
      <c r="I4" s="15" t="s">
        <v>14</v>
      </c>
      <c r="J4" s="15" t="s">
        <v>13</v>
      </c>
      <c r="K4" s="15" t="s">
        <v>9</v>
      </c>
      <c r="L4" s="15" t="s">
        <v>34</v>
      </c>
      <c r="M4" s="15" t="s">
        <v>43</v>
      </c>
      <c r="N4" s="15" t="s">
        <v>39</v>
      </c>
      <c r="O4" s="15" t="s">
        <v>40</v>
      </c>
      <c r="P4" s="15" t="s">
        <v>41</v>
      </c>
    </row>
    <row r="5" spans="1:16" ht="15.5">
      <c r="A5" s="15">
        <v>2014</v>
      </c>
      <c r="B5" s="38">
        <v>1984154.1432880235</v>
      </c>
      <c r="C5" s="38">
        <v>380048.53866562591</v>
      </c>
      <c r="D5" s="38">
        <v>658274.53302526323</v>
      </c>
      <c r="E5" s="38">
        <v>701911.69747473742</v>
      </c>
      <c r="F5" s="38">
        <v>541984.72796708508</v>
      </c>
      <c r="G5" s="38">
        <v>342107.71916253841</v>
      </c>
      <c r="H5" s="38"/>
      <c r="I5" s="38">
        <v>683355.62986038742</v>
      </c>
      <c r="J5" s="38">
        <v>42050.906588215003</v>
      </c>
      <c r="K5" s="38">
        <v>5319.836457699379</v>
      </c>
      <c r="L5" s="38">
        <v>9257156.7974565793</v>
      </c>
    </row>
    <row r="6" spans="1:16" ht="15.5">
      <c r="A6" s="15">
        <v>2015</v>
      </c>
      <c r="B6" s="38">
        <v>2026880.4548225864</v>
      </c>
      <c r="C6" s="38">
        <v>391674.25283228548</v>
      </c>
      <c r="D6" s="38">
        <v>689808.70716579491</v>
      </c>
      <c r="E6" s="38">
        <v>720141.96866704139</v>
      </c>
      <c r="F6" s="38">
        <v>571188.77672527148</v>
      </c>
      <c r="G6" s="38">
        <v>358552.41150796344</v>
      </c>
      <c r="H6" s="38"/>
      <c r="I6" s="38">
        <v>694993.86170964071</v>
      </c>
      <c r="J6" s="38">
        <v>44111.780300222541</v>
      </c>
      <c r="K6" s="38">
        <v>5592.5721435003525</v>
      </c>
      <c r="L6" s="38">
        <v>9657184.9476442523</v>
      </c>
    </row>
    <row r="7" spans="1:16" ht="15.5">
      <c r="A7" s="15">
        <v>2016</v>
      </c>
      <c r="B7" s="38">
        <v>2089804.4344935615</v>
      </c>
      <c r="C7" s="38">
        <v>394639.63322090515</v>
      </c>
      <c r="D7" s="38">
        <v>722918.94963520684</v>
      </c>
      <c r="E7" s="38">
        <v>743995.27098694805</v>
      </c>
      <c r="F7" s="38">
        <v>603941.09917692223</v>
      </c>
      <c r="G7" s="38">
        <v>379331.34470816527</v>
      </c>
      <c r="H7" s="38"/>
      <c r="I7" s="38">
        <v>741953.2574761943</v>
      </c>
      <c r="J7" s="38">
        <v>46420.701662578394</v>
      </c>
      <c r="K7" s="38">
        <v>5921.5187592072552</v>
      </c>
      <c r="L7" s="38">
        <v>10328581.837276584</v>
      </c>
    </row>
    <row r="8" spans="1:16" ht="15.5">
      <c r="A8" s="15">
        <v>2017</v>
      </c>
      <c r="B8" s="38">
        <v>2166743.0790580329</v>
      </c>
      <c r="C8" s="38">
        <v>381235.42218366271</v>
      </c>
      <c r="D8" s="38">
        <v>766239.81404323876</v>
      </c>
      <c r="E8" s="38">
        <v>758745.14457276091</v>
      </c>
      <c r="F8" s="38">
        <v>665276.09077746829</v>
      </c>
      <c r="G8" s="38">
        <v>411597.73591312271</v>
      </c>
      <c r="H8" s="38"/>
      <c r="I8" s="38">
        <v>762796.10968758608</v>
      </c>
      <c r="J8" s="38">
        <v>49469.57275245701</v>
      </c>
      <c r="K8" s="38">
        <v>6166.4465829625833</v>
      </c>
      <c r="L8" s="38">
        <v>10841479.023073979</v>
      </c>
    </row>
    <row r="9" spans="1:16" ht="15.5">
      <c r="A9" s="15">
        <v>2018</v>
      </c>
      <c r="B9" s="38">
        <v>2233855.95615162</v>
      </c>
      <c r="C9" s="38">
        <v>388158.47904924204</v>
      </c>
      <c r="D9" s="38">
        <v>807510.50307132886</v>
      </c>
      <c r="E9" s="38">
        <v>790716.84099424898</v>
      </c>
      <c r="F9" s="38">
        <v>729824.7001797969</v>
      </c>
      <c r="G9" s="38">
        <v>434236.00452531391</v>
      </c>
      <c r="H9" s="38"/>
      <c r="I9" s="38">
        <v>756662.26977057185</v>
      </c>
      <c r="J9" s="38">
        <v>51479.91710742547</v>
      </c>
      <c r="K9" s="38">
        <v>6423.2783904301568</v>
      </c>
      <c r="L9" s="38">
        <v>11412188.344317725</v>
      </c>
    </row>
    <row r="10" spans="1:16" ht="15.5">
      <c r="A10" s="15">
        <v>2019</v>
      </c>
      <c r="B10" s="38">
        <v>2305703.0323980432</v>
      </c>
      <c r="C10" s="38">
        <v>407736.86772479449</v>
      </c>
      <c r="D10" s="38">
        <v>831738.5025018045</v>
      </c>
      <c r="E10" s="38">
        <v>819738.36532724393</v>
      </c>
      <c r="F10" s="38">
        <v>769849.72529347462</v>
      </c>
      <c r="G10" s="38">
        <v>463602.67033544532</v>
      </c>
      <c r="H10" s="38"/>
      <c r="I10" s="38">
        <v>730886.93185971922</v>
      </c>
      <c r="J10" s="38">
        <v>52813.741775301038</v>
      </c>
      <c r="K10" s="38">
        <v>6654.4812821573196</v>
      </c>
      <c r="L10" s="38">
        <v>11814574.240564663</v>
      </c>
    </row>
    <row r="11" spans="1:16" ht="15.5">
      <c r="A11" s="15">
        <v>2020</v>
      </c>
      <c r="B11" s="38">
        <v>2354085.69353271</v>
      </c>
      <c r="C11" s="38">
        <v>393712.927657469</v>
      </c>
      <c r="D11" s="38">
        <v>821426.20255405665</v>
      </c>
      <c r="E11" s="38">
        <v>814985.83673724416</v>
      </c>
      <c r="F11" s="38">
        <v>823571.81309801491</v>
      </c>
      <c r="G11" s="38">
        <v>486220.68097612407</v>
      </c>
      <c r="H11" s="38">
        <v>40975578</v>
      </c>
      <c r="I11" s="38">
        <v>667277.88541088544</v>
      </c>
      <c r="J11" s="38">
        <v>50442.651944753401</v>
      </c>
      <c r="K11" s="38">
        <v>6788.0581727187691</v>
      </c>
      <c r="L11" s="38">
        <v>11826911.727147415</v>
      </c>
      <c r="O11" s="61">
        <v>58158</v>
      </c>
    </row>
    <row r="12" spans="1:16" ht="15.5">
      <c r="A12" s="15">
        <v>2021</v>
      </c>
      <c r="B12" s="38">
        <v>2485893.4408868095</v>
      </c>
      <c r="C12" s="38">
        <v>387311.46577575</v>
      </c>
      <c r="D12" s="38">
        <v>869897.40099999995</v>
      </c>
      <c r="E12" s="38">
        <v>874859.29400000011</v>
      </c>
      <c r="F12" s="38">
        <v>937674.17800000007</v>
      </c>
      <c r="G12" s="38">
        <v>557979.07700000005</v>
      </c>
      <c r="H12" s="38">
        <v>43597702</v>
      </c>
      <c r="I12" s="38">
        <v>710434.51909469999</v>
      </c>
      <c r="J12" s="38">
        <v>55034.405999999995</v>
      </c>
      <c r="K12" s="38">
        <v>6847.5339069797856</v>
      </c>
      <c r="L12" s="38">
        <v>12699596.940468905</v>
      </c>
      <c r="O12" s="61">
        <v>62286</v>
      </c>
    </row>
    <row r="13" spans="1:16" ht="15.5">
      <c r="A13" s="15">
        <v>2022</v>
      </c>
      <c r="B13" s="38">
        <v>2582346.5490111676</v>
      </c>
      <c r="C13" s="38">
        <v>383017.48008572182</v>
      </c>
      <c r="D13" s="38">
        <v>889193.17385539447</v>
      </c>
      <c r="E13" s="38">
        <v>879048.65144304966</v>
      </c>
      <c r="F13" s="38">
        <v>985647.6284598012</v>
      </c>
      <c r="G13" s="38">
        <v>610144.50858409493</v>
      </c>
      <c r="H13" s="38">
        <v>47155228</v>
      </c>
      <c r="I13" s="38">
        <v>747027.82508485019</v>
      </c>
      <c r="J13" s="38">
        <v>52525.924627890534</v>
      </c>
      <c r="K13" s="38">
        <v>7095.3349347478843</v>
      </c>
      <c r="L13" s="38">
        <v>13145096.424577188</v>
      </c>
      <c r="O13" s="61">
        <v>66608</v>
      </c>
    </row>
    <row r="14" spans="1:16" ht="15.5">
      <c r="A14" s="15">
        <v>2023</v>
      </c>
      <c r="B14" s="38">
        <v>2676632.5358016375</v>
      </c>
      <c r="C14" s="38">
        <v>381280.16804919293</v>
      </c>
      <c r="D14" s="38">
        <v>908105.8672110287</v>
      </c>
      <c r="E14" s="38">
        <v>914431.6126637531</v>
      </c>
      <c r="F14" s="38">
        <v>988867.40290018206</v>
      </c>
      <c r="G14" s="38">
        <v>670492.80283723527</v>
      </c>
      <c r="H14" s="38">
        <v>51622792</v>
      </c>
      <c r="I14" s="38">
        <v>816808.79762235726</v>
      </c>
      <c r="J14" s="38">
        <v>49611.855905827848</v>
      </c>
      <c r="K14" s="38">
        <v>7319.2101947827332</v>
      </c>
      <c r="L14" s="38">
        <v>13515505.724316899</v>
      </c>
      <c r="M14">
        <v>1411.9</v>
      </c>
      <c r="N14" s="38">
        <v>65446</v>
      </c>
      <c r="O14" s="61">
        <v>77794</v>
      </c>
    </row>
    <row r="15" spans="1:16" s="39" customFormat="true" ht="15.5">
      <c r="A15" s="41">
        <v>2024</v>
      </c>
      <c r="B15" s="42">
        <v>2747469.2114532986</v>
      </c>
      <c r="C15" s="42">
        <v>384460.00510571321</v>
      </c>
      <c r="D15" s="42">
        <v>949131.73355387116</v>
      </c>
      <c r="E15" s="42">
        <v>953398.72503268928</v>
      </c>
      <c r="F15" s="42">
        <v>1093829.1264144757</v>
      </c>
      <c r="G15" s="42">
        <v>697769.48107759689</v>
      </c>
      <c r="H15" s="42">
        <v>51653821</v>
      </c>
      <c r="I15" s="42">
        <v>827180.80167273257</v>
      </c>
      <c r="J15" s="42">
        <v>51261.286177829003</v>
      </c>
      <c r="K15" s="42">
        <v>7434.2869313568717</v>
      </c>
      <c r="L15" s="42">
        <v>14065179.292174175</v>
      </c>
      <c r="M15" s="39">
        <f>'crude steel production'!C5+'crude steel production'!C6+'crude steel production'!C7+'crude steel production'!C10+'crude steel production'!C15+'crude steel production'!C17+'crude steel production'!C18+'crude steel production'!C24+'crude steel production'!C25+'crude steel production'!C31+'crude steel production'!C33+'crude steel production'!C42+'crude steel production'!C49</f>
        <v>1394.9</v>
      </c>
      <c r="N15" s="42">
        <v>69230</v>
      </c>
      <c r="O15" s="42">
        <v>66517</v>
      </c>
    </row>
    <row r="16" spans="1:16" ht="15.5">
      <c r="A16" s="15">
        <v>2025</v>
      </c>
      <c r="B16" s="38">
        <v>2824376.9764862782</v>
      </c>
      <c r="C16" s="38">
        <v>382710.33902351954</v>
      </c>
      <c r="D16" s="38">
        <v>985353.46459168708</v>
      </c>
      <c r="E16" s="38">
        <v>990651.6522927417</v>
      </c>
      <c r="F16" s="38">
        <v>1151861.1776350122</v>
      </c>
      <c r="G16" s="38">
        <v>731056.21604142734</v>
      </c>
      <c r="H16" s="38">
        <v>52539419</v>
      </c>
      <c r="I16" s="38">
        <v>842486.10336680664</v>
      </c>
      <c r="J16" s="38">
        <v>52189.600575852557</v>
      </c>
      <c r="K16" s="38">
        <v>7625.7826860429295</v>
      </c>
      <c r="L16" s="38">
        <v>14564840.902515035</v>
      </c>
    </row>
    <row r="17" spans="1:12" ht="15.5">
      <c r="A17" s="15">
        <v>2026</v>
      </c>
      <c r="B17" s="38">
        <v>2898928.5943436017</v>
      </c>
      <c r="C17" s="38">
        <v>382544.04185314092</v>
      </c>
      <c r="D17" s="38">
        <v>1017422.4048127327</v>
      </c>
      <c r="E17" s="38">
        <v>1027964.9123054704</v>
      </c>
      <c r="F17" s="38">
        <v>1210647.7365457446</v>
      </c>
      <c r="G17" s="38">
        <v>768912.30595588649</v>
      </c>
      <c r="H17" s="38">
        <v>53292737</v>
      </c>
      <c r="I17" s="38">
        <v>858738.16386467963</v>
      </c>
      <c r="J17" s="38">
        <v>53113.534848133946</v>
      </c>
      <c r="K17" s="38">
        <v>7895.5227199228266</v>
      </c>
      <c r="L17" s="38">
        <v>15130673.904073559</v>
      </c>
    </row>
    <row r="18" spans="1:12" ht="15.5">
      <c r="A18" s="15">
        <v>2027</v>
      </c>
      <c r="B18" s="38">
        <v>2973609.9682075335</v>
      </c>
      <c r="C18" s="38">
        <v>384009.32540102664</v>
      </c>
      <c r="D18" s="38">
        <v>1047199.6846555453</v>
      </c>
      <c r="E18" s="38">
        <v>1072044.2394371158</v>
      </c>
      <c r="F18" s="38">
        <v>1272792.0935690321</v>
      </c>
      <c r="G18" s="38">
        <v>809438.85414581886</v>
      </c>
      <c r="H18" s="38">
        <v>54393919</v>
      </c>
      <c r="I18" s="38">
        <v>882398.45130926953</v>
      </c>
      <c r="J18" s="38">
        <v>54059.708029955596</v>
      </c>
      <c r="K18" s="38">
        <v>8194.4994675390808</v>
      </c>
      <c r="L18" s="38">
        <v>15731530.665519167</v>
      </c>
    </row>
    <row r="19" spans="1:12" ht="15.5">
      <c r="A19" s="15">
        <v>2028</v>
      </c>
      <c r="B19" s="38">
        <v>3049807.4424175778</v>
      </c>
      <c r="C19" s="38">
        <v>383715.34923386667</v>
      </c>
      <c r="D19" s="38">
        <v>1078595.0659925051</v>
      </c>
      <c r="E19" s="38">
        <v>1119974.7455428315</v>
      </c>
      <c r="F19" s="38">
        <v>1338398.1072615632</v>
      </c>
      <c r="G19" s="38">
        <v>852124.2415253158</v>
      </c>
      <c r="H19" s="38">
        <v>54620819</v>
      </c>
      <c r="I19" s="38">
        <v>892041.72834053531</v>
      </c>
      <c r="J19" s="38">
        <v>55125.679030860032</v>
      </c>
      <c r="K19" s="38">
        <v>8500.326473000172</v>
      </c>
      <c r="L19" s="38">
        <v>16352598.882006496</v>
      </c>
    </row>
    <row r="20" spans="1:12" ht="15.5">
      <c r="A20" s="15">
        <v>2029</v>
      </c>
      <c r="B20" s="38">
        <v>3127164.0525832549</v>
      </c>
      <c r="C20" s="38">
        <v>382139.4921516719</v>
      </c>
      <c r="D20" s="38">
        <v>1111120.2749715559</v>
      </c>
      <c r="E20" s="38">
        <v>1168172.7961700931</v>
      </c>
      <c r="F20" s="38">
        <v>1406330.8947332879</v>
      </c>
      <c r="G20" s="38">
        <v>896362.12647953164</v>
      </c>
      <c r="H20" s="38">
        <v>55337424</v>
      </c>
      <c r="I20" s="38">
        <v>907399.47729847324</v>
      </c>
      <c r="J20" s="38">
        <v>56254.93192363136</v>
      </c>
      <c r="K20" s="38">
        <v>8807.5922585775734</v>
      </c>
      <c r="L20" s="38">
        <v>16977354.920683581</v>
      </c>
    </row>
    <row r="21" spans="1:12" ht="15.5">
      <c r="A21" s="15">
        <v>2030</v>
      </c>
      <c r="B21" s="38">
        <v>3205915.8339353739</v>
      </c>
      <c r="C21" s="38">
        <v>378692.30104446533</v>
      </c>
      <c r="D21" s="38">
        <v>1142740.1369228584</v>
      </c>
      <c r="E21" s="38">
        <v>1218055.7272334341</v>
      </c>
      <c r="F21" s="38">
        <v>1475405.372583468</v>
      </c>
      <c r="G21" s="38">
        <v>942852.7030861316</v>
      </c>
      <c r="H21" s="38">
        <v>56054027</v>
      </c>
      <c r="I21" s="38">
        <v>921657.27822662925</v>
      </c>
      <c r="J21" s="38">
        <v>57347.63350540321</v>
      </c>
      <c r="K21" s="38">
        <v>9125.1141756814213</v>
      </c>
      <c r="L21" s="38">
        <v>17612422.791046124</v>
      </c>
    </row>
    <row r="22" spans="1:12" ht="15.5">
      <c r="A22" s="15">
        <v>2031</v>
      </c>
      <c r="B22" s="38">
        <v>3285856.9138803463</v>
      </c>
      <c r="C22" s="38">
        <v>374607.93087439035</v>
      </c>
      <c r="D22" s="38">
        <v>1173978.230189912</v>
      </c>
      <c r="E22" s="38">
        <v>1269381.1828453972</v>
      </c>
      <c r="F22" s="38">
        <v>1546304.4341546427</v>
      </c>
      <c r="G22" s="38">
        <v>991839.83425363002</v>
      </c>
      <c r="H22" s="38">
        <v>57056158</v>
      </c>
      <c r="I22" s="38">
        <v>940694.44479148858</v>
      </c>
      <c r="J22" s="38">
        <v>58597.95340614477</v>
      </c>
      <c r="K22" s="38">
        <v>9450.3946335854598</v>
      </c>
      <c r="L22" s="38">
        <v>18294617.454542037</v>
      </c>
    </row>
    <row r="23" spans="1:12" ht="15.5">
      <c r="A23" s="15">
        <v>2032</v>
      </c>
      <c r="B23" s="38">
        <v>3367905.8201941005</v>
      </c>
      <c r="C23" s="38">
        <v>375814.65922171006</v>
      </c>
      <c r="D23" s="38">
        <v>1205434.848719344</v>
      </c>
      <c r="E23" s="38">
        <v>1319930.6375584111</v>
      </c>
      <c r="F23" s="38">
        <v>1619052.8518912625</v>
      </c>
      <c r="G23" s="38">
        <v>1043792.4099735507</v>
      </c>
      <c r="H23" s="38">
        <v>57886710</v>
      </c>
      <c r="I23" s="38">
        <v>959255.74249926559</v>
      </c>
      <c r="J23" s="38">
        <v>59959.011492764446</v>
      </c>
      <c r="K23" s="38">
        <v>9786.8946394579434</v>
      </c>
      <c r="L23" s="38">
        <v>18993320.335390035</v>
      </c>
    </row>
    <row r="24" spans="1:12" ht="15.5">
      <c r="A24" s="15"/>
    </row>
    <row r="25" spans="1:12" ht="15.5">
      <c r="A25" s="15"/>
    </row>
  </sheetData>
  <phoneticPr fontId="1" type="noConversion"/>
  <pageMargins left="0.7" right="0.7" top="0.75" bottom="0.75" header="0.3" footer="0.3"/>
</worksheet>
</file>

<file path=docMetadata/LabelInfo.xml><?xml version="1.0" encoding="utf-8"?>
<clbl:labelList xmlns:clbl="http://schemas.microsoft.com/office/2020/mipLabelMetadata">
  <clbl:label id="{06530cf4-8573-4c29-a912-bbcdac835909}" enabled="1" method="Standard" siteId="{ecaa386b-c8df-4ce0-ad01-740cbdb5ba55}"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Methodology</vt:lpstr>
      <vt:lpstr>Definition</vt:lpstr>
      <vt:lpstr>Raw Data</vt:lpstr>
      <vt:lpstr>Sheet4</vt:lpstr>
      <vt:lpstr>crude steel production</vt:lpstr>
      <vt:lpstr>Sheet1</vt:lpstr>
      <vt:lpstr>Raw Data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WANG</dc:creator>
  <cp:lastModifiedBy>ellen.a.wang@basf.com</cp:lastModifiedBy>
  <dcterms:created xsi:type="dcterms:W3CDTF">2015-06-05T18:17:20Z</dcterms:created>
  <dcterms:modified xsi:type="dcterms:W3CDTF">2025-06-07T09:13:56Z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6530cf4-8573-4c29-a912-bbcdac835909_Enabled">
    <vt:lpwstr>true</vt:lpwstr>
  </property>
  <property fmtid="{D5CDD505-2E9C-101B-9397-08002B2CF9AE}" pid="3" name="MSIP_Label_06530cf4-8573-4c29-a912-bbcdac835909_SetDate">
    <vt:lpwstr>2023-12-13T02:55:41Z</vt:lpwstr>
  </property>
  <property fmtid="{D5CDD505-2E9C-101B-9397-08002B2CF9AE}" pid="4" name="MSIP_Label_06530cf4-8573-4c29-a912-bbcdac835909_Method">
    <vt:lpwstr>Standard</vt:lpwstr>
  </property>
  <property fmtid="{D5CDD505-2E9C-101B-9397-08002B2CF9AE}" pid="5" name="MSIP_Label_06530cf4-8573-4c29-a912-bbcdac835909_Name">
    <vt:lpwstr>06530cf4-8573-4c29-a912-bbcdac835909</vt:lpwstr>
  </property>
  <property fmtid="{D5CDD505-2E9C-101B-9397-08002B2CF9AE}" pid="6" name="MSIP_Label_06530cf4-8573-4c29-a912-bbcdac835909_SiteId">
    <vt:lpwstr>ecaa386b-c8df-4ce0-ad01-740cbdb5ba55</vt:lpwstr>
  </property>
  <property fmtid="{D5CDD505-2E9C-101B-9397-08002B2CF9AE}" pid="7" name="MSIP_Label_06530cf4-8573-4c29-a912-bbcdac835909_ActionId">
    <vt:lpwstr>eacedb3b-8665-46b4-b7e1-6a151cdd1e09</vt:lpwstr>
  </property>
  <property fmtid="{D5CDD505-2E9C-101B-9397-08002B2CF9AE}" pid="8" name="MSIP_Label_06530cf4-8573-4c29-a912-bbcdac835909_ContentBits">
    <vt:lpwstr>2</vt:lpwstr>
  </property>
</Properties>
</file>