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9600" yWindow="-15" windowWidth="9645" windowHeight="8385" tabRatio="778" activeTab="4"/>
  </bookViews>
  <sheets>
    <sheet name="Overview" sheetId="4" r:id="rId1"/>
    <sheet name="TW CMS" sheetId="1" r:id="rId2"/>
    <sheet name="TWCMS Formulae" sheetId="2" r:id="rId3"/>
    <sheet name="TWO" sheetId="6" r:id="rId4"/>
    <sheet name="TWO Formulae" sheetId="7" r:id="rId5"/>
    <sheet name="Sheet1" sheetId="8" r:id="rId6"/>
  </sheets>
  <definedNames>
    <definedName name="TWCMS_Clients_volume">'TWCMS Formulae'!$G$42:$G$52</definedName>
    <definedName name="TWCMS_Current_clients_volume">'TW CMS'!$B$44</definedName>
    <definedName name="TWCMS_Current_ITC">'TW CMS'!$B$46</definedName>
    <definedName name="TWCMS_ITC_Price_per_5">'TWCMS Formulae'!$H$61:$H$71</definedName>
    <definedName name="TWCMS_ITC_Total_price">'TWCMS Formulae'!$I$60:$I$71</definedName>
    <definedName name="TWCMS_ITC_Volume">'TWCMS Formulae'!$G$60:$G$70</definedName>
    <definedName name="TWCMS_New_clients_volume">'TW CMS'!$B$45</definedName>
    <definedName name="TWCMS_New_ITC">'TW CMS'!$B$47</definedName>
    <definedName name="TWCMS_Price_per_10K_clients">'TWCMS Formulae'!$H$43:$H$53</definedName>
    <definedName name="TWCMS_Total_Price_clients">'TWCMS Formulae'!$I$42:$I$53</definedName>
    <definedName name="TWO_Additional_POS">TWO!$B$121</definedName>
    <definedName name="TWO_Additional_transactions_per_month">TWO!$B$123</definedName>
    <definedName name="TWO_ATM_Volume">'TWO Formulae'!$F$197:$F$207</definedName>
    <definedName name="TWO_Current_ATM">TWO!$B$118</definedName>
    <definedName name="TWO_Current_Number_of_POS">TWO!$B$120</definedName>
    <definedName name="TWO_Current_Number_of_transactions_per_month">TWO!$B$122</definedName>
    <definedName name="TWO_New_ATM">TWO!$B$119</definedName>
    <definedName name="TWO_POS_Total_Price">'TWO Formulae'!$H$215:$H$227</definedName>
    <definedName name="TWO_POS_volume">'TWO Formulae'!$F$215:$F$226</definedName>
    <definedName name="TWO_Price_per_ATM">'TWO Formulae'!$G$198:$G$208</definedName>
    <definedName name="TWO_price_per_POS">'TWO Formulae'!$G$216:$G$227</definedName>
    <definedName name="TWO_price_per_trx">'TWO Formulae'!$G$235:$G$248</definedName>
    <definedName name="TWO_Total_Price_ATM">'TWO Formulae'!$H$197:$H$208</definedName>
    <definedName name="TWO_trx_Total_Price">'TWO Formulae'!$H$234:$H$248</definedName>
    <definedName name="TWO_trx_volume">'TWO Formulae'!$F$234:$F$247</definedName>
  </definedNames>
  <calcPr calcId="125725"/>
</workbook>
</file>

<file path=xl/calcChain.xml><?xml version="1.0" encoding="utf-8"?>
<calcChain xmlns="http://schemas.openxmlformats.org/spreadsheetml/2006/main">
  <c r="B270" i="7"/>
  <c r="B269"/>
  <c r="B283"/>
  <c r="B284"/>
  <c r="B282"/>
  <c r="B281"/>
  <c r="B280"/>
  <c r="B279"/>
  <c r="B278"/>
  <c r="A94" i="6"/>
  <c r="A90"/>
  <c r="A91"/>
  <c r="A92"/>
  <c r="A93"/>
  <c r="A87"/>
  <c r="A88"/>
  <c r="A89"/>
  <c r="A81"/>
  <c r="A80"/>
  <c r="A82"/>
  <c r="A83"/>
  <c r="A84"/>
  <c r="A85"/>
  <c r="A86"/>
  <c r="A79"/>
  <c r="A78"/>
  <c r="A69"/>
  <c r="A70"/>
  <c r="A71"/>
  <c r="A72"/>
  <c r="A73"/>
  <c r="A74"/>
  <c r="A75"/>
  <c r="A76"/>
  <c r="A77"/>
  <c r="A68"/>
  <c r="A58"/>
  <c r="A59"/>
  <c r="A60"/>
  <c r="A61"/>
  <c r="A62"/>
  <c r="A63"/>
  <c r="A64"/>
  <c r="A65"/>
  <c r="A66"/>
  <c r="A67"/>
  <c r="A57"/>
  <c r="A56"/>
  <c r="A50"/>
  <c r="A51"/>
  <c r="A52"/>
  <c r="A53"/>
  <c r="A54"/>
  <c r="A55"/>
  <c r="A49"/>
  <c r="A40"/>
  <c r="A41"/>
  <c r="A42"/>
  <c r="A43"/>
  <c r="A44"/>
  <c r="A45"/>
  <c r="A46"/>
  <c r="A47"/>
  <c r="A48"/>
  <c r="A36"/>
  <c r="A30"/>
  <c r="A21"/>
  <c r="C117" i="7"/>
  <c r="C116"/>
  <c r="C115"/>
  <c r="C113"/>
  <c r="C112"/>
  <c r="C111"/>
  <c r="C102"/>
  <c r="C100"/>
  <c r="C98"/>
  <c r="C50"/>
  <c r="C49"/>
  <c r="C48"/>
  <c r="C18"/>
  <c r="C17"/>
  <c r="C15"/>
  <c r="C14"/>
  <c r="C10"/>
  <c r="C9"/>
  <c r="D117"/>
  <c r="D116"/>
  <c r="D115"/>
  <c r="D113"/>
  <c r="D111"/>
  <c r="D102"/>
  <c r="D100"/>
  <c r="D98"/>
  <c r="J26"/>
  <c r="J25"/>
  <c r="B4"/>
  <c r="C109" s="1"/>
  <c r="C11" i="1"/>
  <c r="D33" i="2"/>
  <c r="C33"/>
  <c r="D32"/>
  <c r="C32"/>
  <c r="B4"/>
  <c r="C31" s="1"/>
  <c r="C34"/>
  <c r="C29"/>
  <c r="C28"/>
  <c r="C27"/>
  <c r="C26"/>
  <c r="C25"/>
  <c r="C24"/>
  <c r="C22"/>
  <c r="C21"/>
  <c r="C20"/>
  <c r="C19"/>
  <c r="C18"/>
  <c r="C16"/>
  <c r="C15"/>
  <c r="C12"/>
  <c r="C11"/>
  <c r="C10"/>
  <c r="C9"/>
  <c r="C8"/>
  <c r="D34"/>
  <c r="D29"/>
  <c r="D28"/>
  <c r="D27"/>
  <c r="D26"/>
  <c r="D25"/>
  <c r="D23"/>
  <c r="D20"/>
  <c r="D17"/>
  <c r="D9"/>
  <c r="D60"/>
  <c r="I61"/>
  <c r="I62" s="1"/>
  <c r="I63" s="1"/>
  <c r="I64" s="1"/>
  <c r="I65" s="1"/>
  <c r="I66" s="1"/>
  <c r="I67" s="1"/>
  <c r="I68" s="1"/>
  <c r="I69" s="1"/>
  <c r="I70" s="1"/>
  <c r="N71"/>
  <c r="N62"/>
  <c r="N63"/>
  <c r="N64"/>
  <c r="N65"/>
  <c r="N66"/>
  <c r="N67"/>
  <c r="N68"/>
  <c r="N69"/>
  <c r="N70"/>
  <c r="N61"/>
  <c r="I43"/>
  <c r="I44" s="1"/>
  <c r="I45" s="1"/>
  <c r="I46" s="1"/>
  <c r="I47" s="1"/>
  <c r="I48" s="1"/>
  <c r="I49" s="1"/>
  <c r="I50" s="1"/>
  <c r="D42"/>
  <c r="C197" i="7"/>
  <c r="E200" s="1"/>
  <c r="C215"/>
  <c r="E222" s="1"/>
  <c r="B234"/>
  <c r="C234"/>
  <c r="D236"/>
  <c r="D189"/>
  <c r="C190" s="1"/>
  <c r="C191" s="1"/>
  <c r="B192" s="1"/>
  <c r="C124" i="6" s="1"/>
  <c r="A124"/>
  <c r="D122"/>
  <c r="A123"/>
  <c r="A122"/>
  <c r="P244" i="7"/>
  <c r="P243"/>
  <c r="P242"/>
  <c r="P241"/>
  <c r="P240"/>
  <c r="P239"/>
  <c r="P238"/>
  <c r="P237"/>
  <c r="P236"/>
  <c r="P235"/>
  <c r="P234"/>
  <c r="P233"/>
  <c r="P232"/>
  <c r="H235"/>
  <c r="H236" s="1"/>
  <c r="H237" s="1"/>
  <c r="H238" s="1"/>
  <c r="H239" s="1"/>
  <c r="H240" s="1"/>
  <c r="H241" s="1"/>
  <c r="H242" s="1"/>
  <c r="H243" s="1"/>
  <c r="H244" s="1"/>
  <c r="H246" s="1"/>
  <c r="D120" i="6"/>
  <c r="D118"/>
  <c r="H216" i="7"/>
  <c r="H217" s="1"/>
  <c r="H218" s="1"/>
  <c r="H219" s="1"/>
  <c r="H220" s="1"/>
  <c r="H221" s="1"/>
  <c r="H222" s="1"/>
  <c r="H223" s="1"/>
  <c r="H224" s="1"/>
  <c r="H225" s="1"/>
  <c r="H226" s="1"/>
  <c r="P213"/>
  <c r="P225"/>
  <c r="P223"/>
  <c r="P221"/>
  <c r="P219"/>
  <c r="P217"/>
  <c r="P215"/>
  <c r="B215"/>
  <c r="D218" s="1"/>
  <c r="A121" i="6"/>
  <c r="A120"/>
  <c r="P200" i="7"/>
  <c r="P201"/>
  <c r="P202"/>
  <c r="P203"/>
  <c r="P204"/>
  <c r="P205"/>
  <c r="P206"/>
  <c r="P207"/>
  <c r="P208"/>
  <c r="P209"/>
  <c r="P210"/>
  <c r="P199"/>
  <c r="H198"/>
  <c r="H199" s="1"/>
  <c r="H200" s="1"/>
  <c r="H201" s="1"/>
  <c r="H202" s="1"/>
  <c r="H203" s="1"/>
  <c r="H204" s="1"/>
  <c r="H205" s="1"/>
  <c r="H206" s="1"/>
  <c r="H207" s="1"/>
  <c r="B197"/>
  <c r="D197" s="1"/>
  <c r="A119" i="6"/>
  <c r="A118"/>
  <c r="D117"/>
  <c r="D174" i="7"/>
  <c r="C175" s="1"/>
  <c r="B176"/>
  <c r="B175"/>
  <c r="B174"/>
  <c r="B173"/>
  <c r="B172"/>
  <c r="B171"/>
  <c r="B170"/>
  <c r="B169"/>
  <c r="B168"/>
  <c r="B167"/>
  <c r="B166"/>
  <c r="A117" i="6"/>
  <c r="D116"/>
  <c r="D159" i="7"/>
  <c r="C160" s="1"/>
  <c r="B161"/>
  <c r="B160"/>
  <c r="B159"/>
  <c r="B158"/>
  <c r="B157"/>
  <c r="B156"/>
  <c r="B155"/>
  <c r="B154"/>
  <c r="B153"/>
  <c r="B152"/>
  <c r="B151"/>
  <c r="A116" i="6"/>
  <c r="A115"/>
  <c r="A114"/>
  <c r="D144" i="7"/>
  <c r="C145" s="1"/>
  <c r="C146" s="1"/>
  <c r="B146"/>
  <c r="B145"/>
  <c r="B144"/>
  <c r="B143"/>
  <c r="B142"/>
  <c r="B141"/>
  <c r="B140"/>
  <c r="B139"/>
  <c r="B138"/>
  <c r="B137"/>
  <c r="B136"/>
  <c r="D114" i="6"/>
  <c r="D129" i="7"/>
  <c r="C130" s="1"/>
  <c r="B131"/>
  <c r="B130"/>
  <c r="B129"/>
  <c r="B128"/>
  <c r="B127"/>
  <c r="B126"/>
  <c r="D9" l="1"/>
  <c r="D14"/>
  <c r="D17"/>
  <c r="D48"/>
  <c r="D50"/>
  <c r="E50" s="1"/>
  <c r="C45" i="6" s="1"/>
  <c r="D10" i="7"/>
  <c r="D15"/>
  <c r="D18"/>
  <c r="D49"/>
  <c r="D112"/>
  <c r="D8"/>
  <c r="D12"/>
  <c r="D16"/>
  <c r="D21"/>
  <c r="D23"/>
  <c r="D25"/>
  <c r="D27"/>
  <c r="D30"/>
  <c r="D33"/>
  <c r="D35"/>
  <c r="D37"/>
  <c r="D39"/>
  <c r="D41"/>
  <c r="D46"/>
  <c r="D53"/>
  <c r="E53" s="1"/>
  <c r="C48" i="6" s="1"/>
  <c r="D57" i="7"/>
  <c r="D59"/>
  <c r="D62"/>
  <c r="D66"/>
  <c r="D68"/>
  <c r="D71"/>
  <c r="D73"/>
  <c r="D77"/>
  <c r="E77" s="1"/>
  <c r="C69" i="6" s="1"/>
  <c r="D80" i="7"/>
  <c r="D84"/>
  <c r="D87"/>
  <c r="D91"/>
  <c r="E91" s="1"/>
  <c r="C81" i="6" s="1"/>
  <c r="D94" i="7"/>
  <c r="D96"/>
  <c r="D104"/>
  <c r="D107"/>
  <c r="D110"/>
  <c r="D114"/>
  <c r="D11"/>
  <c r="D13"/>
  <c r="D20"/>
  <c r="D22"/>
  <c r="D24"/>
  <c r="D26"/>
  <c r="D28"/>
  <c r="D29"/>
  <c r="D32"/>
  <c r="D34"/>
  <c r="D36"/>
  <c r="D38"/>
  <c r="D40"/>
  <c r="D42"/>
  <c r="D47"/>
  <c r="D52"/>
  <c r="D56"/>
  <c r="D58"/>
  <c r="D60"/>
  <c r="D63"/>
  <c r="D67"/>
  <c r="D70"/>
  <c r="D72"/>
  <c r="D76"/>
  <c r="D79"/>
  <c r="D83"/>
  <c r="D86"/>
  <c r="D90"/>
  <c r="D93"/>
  <c r="D95"/>
  <c r="D97"/>
  <c r="D99"/>
  <c r="D101"/>
  <c r="D103"/>
  <c r="D106"/>
  <c r="D109"/>
  <c r="C8"/>
  <c r="C12"/>
  <c r="C16"/>
  <c r="C21"/>
  <c r="C23"/>
  <c r="C25"/>
  <c r="C27"/>
  <c r="C30"/>
  <c r="C33"/>
  <c r="C35"/>
  <c r="C37"/>
  <c r="C39"/>
  <c r="C41"/>
  <c r="C46"/>
  <c r="E46" s="1"/>
  <c r="C41" i="6" s="1"/>
  <c r="C53" i="7"/>
  <c r="C57"/>
  <c r="C59"/>
  <c r="C62"/>
  <c r="C66"/>
  <c r="C68"/>
  <c r="E68" s="1"/>
  <c r="C61" i="6" s="1"/>
  <c r="C71" i="7"/>
  <c r="C73"/>
  <c r="C77"/>
  <c r="C80"/>
  <c r="E80" s="1"/>
  <c r="C72" i="6" s="1"/>
  <c r="C84" i="7"/>
  <c r="C87"/>
  <c r="E87" s="1"/>
  <c r="C78" i="6" s="1"/>
  <c r="C91" i="7"/>
  <c r="C94"/>
  <c r="E94" s="1"/>
  <c r="C84" i="6" s="1"/>
  <c r="C96" i="7"/>
  <c r="C104"/>
  <c r="E104" s="1"/>
  <c r="C94" i="6" s="1"/>
  <c r="C107" i="7"/>
  <c r="C110"/>
  <c r="C114"/>
  <c r="C11"/>
  <c r="C13"/>
  <c r="C20"/>
  <c r="C22"/>
  <c r="C24"/>
  <c r="C26"/>
  <c r="C28"/>
  <c r="C29"/>
  <c r="C32"/>
  <c r="E32" s="1"/>
  <c r="C30" i="6" s="1"/>
  <c r="C34" i="7"/>
  <c r="C36"/>
  <c r="C38"/>
  <c r="C40"/>
  <c r="E40" s="1"/>
  <c r="C36" i="6" s="1"/>
  <c r="C42" i="7"/>
  <c r="C47"/>
  <c r="E47" s="1"/>
  <c r="C42" i="6" s="1"/>
  <c r="C52" i="7"/>
  <c r="C56"/>
  <c r="E56" s="1"/>
  <c r="C50" i="6" s="1"/>
  <c r="C58" i="7"/>
  <c r="C60"/>
  <c r="E60" s="1"/>
  <c r="C54" i="6" s="1"/>
  <c r="C63" i="7"/>
  <c r="C67"/>
  <c r="E67" s="1"/>
  <c r="C60" i="6" s="1"/>
  <c r="C70" i="7"/>
  <c r="C72"/>
  <c r="E72" s="1"/>
  <c r="C65" i="6" s="1"/>
  <c r="C76" i="7"/>
  <c r="C79"/>
  <c r="C83"/>
  <c r="C86"/>
  <c r="E86" s="1"/>
  <c r="C77" i="6" s="1"/>
  <c r="C90" i="7"/>
  <c r="C93"/>
  <c r="C95"/>
  <c r="C97"/>
  <c r="E97" s="1"/>
  <c r="C87" i="6" s="1"/>
  <c r="C99" i="7"/>
  <c r="C101"/>
  <c r="C103"/>
  <c r="C106"/>
  <c r="E49"/>
  <c r="C44" i="6" s="1"/>
  <c r="E57" i="7"/>
  <c r="C51" i="6" s="1"/>
  <c r="E73" i="7"/>
  <c r="C66" i="6" s="1"/>
  <c r="E79" i="7"/>
  <c r="C71" i="6" s="1"/>
  <c r="E93" i="7"/>
  <c r="C83" i="6" s="1"/>
  <c r="E100" i="7"/>
  <c r="C90" i="6" s="1"/>
  <c r="E48" i="7"/>
  <c r="C43" i="6" s="1"/>
  <c r="E98" i="7"/>
  <c r="C88" i="6" s="1"/>
  <c r="E102" i="7"/>
  <c r="C92" i="6" s="1"/>
  <c r="E37" i="7"/>
  <c r="E234"/>
  <c r="D232" s="1"/>
  <c r="D13" i="2"/>
  <c r="D11"/>
  <c r="D15"/>
  <c r="D19"/>
  <c r="D21"/>
  <c r="D8"/>
  <c r="D10"/>
  <c r="D12"/>
  <c r="D14"/>
  <c r="D16"/>
  <c r="D18"/>
  <c r="D22"/>
  <c r="D24"/>
  <c r="D30"/>
  <c r="D31"/>
  <c r="C14"/>
  <c r="C30"/>
  <c r="C13"/>
  <c r="C17"/>
  <c r="C23"/>
  <c r="E32"/>
  <c r="C32" i="1" s="1"/>
  <c r="E33" i="2"/>
  <c r="C33" i="1" s="1"/>
  <c r="F60" i="2"/>
  <c r="E58" s="1"/>
  <c r="E215" i="7"/>
  <c r="D213" s="1"/>
  <c r="E197"/>
  <c r="D195" s="1"/>
  <c r="I51" i="2"/>
  <c r="I52"/>
  <c r="H245" i="7"/>
  <c r="H247" s="1"/>
  <c r="D234"/>
  <c r="D237"/>
  <c r="E238"/>
  <c r="E219"/>
  <c r="D217"/>
  <c r="D215"/>
  <c r="P214"/>
  <c r="P216"/>
  <c r="P218"/>
  <c r="P220"/>
  <c r="P222"/>
  <c r="P224"/>
  <c r="E218"/>
  <c r="D200"/>
  <c r="D199"/>
  <c r="E201"/>
  <c r="E204"/>
  <c r="C176"/>
  <c r="B177" s="1"/>
  <c r="C117" i="6" s="1"/>
  <c r="C161" i="7"/>
  <c r="B162" s="1"/>
  <c r="C116" i="6" s="1"/>
  <c r="B147" i="7"/>
  <c r="C115" i="6" s="1"/>
  <c r="E101" i="7" l="1"/>
  <c r="C91" i="6" s="1"/>
  <c r="E66" i="7"/>
  <c r="C59" i="6" s="1"/>
  <c r="E59" i="7"/>
  <c r="C53" i="6" s="1"/>
  <c r="E103" i="7"/>
  <c r="C93" i="6" s="1"/>
  <c r="E99" i="7"/>
  <c r="C89" i="6" s="1"/>
  <c r="E95" i="7"/>
  <c r="C85" i="6" s="1"/>
  <c r="E90" i="7"/>
  <c r="C80" i="6" s="1"/>
  <c r="E83" i="7"/>
  <c r="C74" i="6" s="1"/>
  <c r="E76" i="7"/>
  <c r="C68" i="6" s="1"/>
  <c r="E70" i="7"/>
  <c r="C63" i="6" s="1"/>
  <c r="E63" i="7"/>
  <c r="C57" i="6" s="1"/>
  <c r="E58" i="7"/>
  <c r="C52" i="6" s="1"/>
  <c r="E52" i="7"/>
  <c r="C47" i="6" s="1"/>
  <c r="E38" i="7"/>
  <c r="E96"/>
  <c r="C86" i="6" s="1"/>
  <c r="E84" i="7"/>
  <c r="C75" i="6" s="1"/>
  <c r="E71" i="7"/>
  <c r="C64" i="6" s="1"/>
  <c r="E62" i="7"/>
  <c r="C56" i="6" s="1"/>
  <c r="E241" i="7"/>
  <c r="E237"/>
  <c r="E236"/>
  <c r="B125"/>
  <c r="B124"/>
  <c r="B123"/>
  <c r="B122"/>
  <c r="B121"/>
  <c r="D9" i="6"/>
  <c r="A96"/>
  <c r="A20"/>
  <c r="A35"/>
  <c r="A34"/>
  <c r="A26"/>
  <c r="A25"/>
  <c r="F9" i="7"/>
  <c r="F10"/>
  <c r="F8"/>
  <c r="F15"/>
  <c r="F16"/>
  <c r="F17"/>
  <c r="F18"/>
  <c r="F14"/>
  <c r="A7" i="6"/>
  <c r="A8"/>
  <c r="A9"/>
  <c r="A10"/>
  <c r="A11"/>
  <c r="A12"/>
  <c r="A13"/>
  <c r="A14"/>
  <c r="A15"/>
  <c r="A16"/>
  <c r="A6"/>
  <c r="B287" i="7"/>
  <c r="B286"/>
  <c r="C123" i="6" l="1"/>
  <c r="C131" i="7"/>
  <c r="B132" s="1"/>
  <c r="C114" i="6" s="1"/>
  <c r="E36" i="7"/>
  <c r="C34" i="6" s="1"/>
  <c r="E28" i="7"/>
  <c r="C26" i="6" s="1"/>
  <c r="E106" i="7"/>
  <c r="C96" i="6" s="1"/>
  <c r="E39" i="7"/>
  <c r="C35" i="6" s="1"/>
  <c r="E27" i="7"/>
  <c r="C25" i="6" s="1"/>
  <c r="E23" i="7"/>
  <c r="C21" i="6" s="1"/>
  <c r="E17" i="7"/>
  <c r="E16"/>
  <c r="C14" i="6" s="1"/>
  <c r="G8" i="7"/>
  <c r="G14"/>
  <c r="D12" i="6" s="1"/>
  <c r="E15" i="7"/>
  <c r="C13" i="6" s="1"/>
  <c r="E18" i="7"/>
  <c r="E9"/>
  <c r="C7" i="6" s="1"/>
  <c r="E8" i="7"/>
  <c r="C6" i="6" s="1"/>
  <c r="C15"/>
  <c r="E10" i="7"/>
  <c r="C8" i="6" s="1"/>
  <c r="E13" i="7"/>
  <c r="C11" i="6" s="1"/>
  <c r="C16"/>
  <c r="E11" i="7"/>
  <c r="C9" i="6" s="1"/>
  <c r="E14" i="7"/>
  <c r="C12" i="6" s="1"/>
  <c r="E12" i="7"/>
  <c r="C10" i="6" s="1"/>
  <c r="B285" i="7"/>
  <c r="B257"/>
  <c r="B265"/>
  <c r="B264"/>
  <c r="B263"/>
  <c r="B262"/>
  <c r="B261"/>
  <c r="B260"/>
  <c r="B259"/>
  <c r="B258"/>
  <c r="B256"/>
  <c r="B255"/>
  <c r="B271"/>
  <c r="B272"/>
  <c r="B273"/>
  <c r="B274"/>
  <c r="B275"/>
  <c r="B276"/>
  <c r="B277"/>
  <c r="D191" i="6"/>
  <c r="A107"/>
  <c r="A104"/>
  <c r="A105"/>
  <c r="A106"/>
  <c r="A98"/>
  <c r="A99"/>
  <c r="A100"/>
  <c r="A101"/>
  <c r="A102"/>
  <c r="A103"/>
  <c r="A95"/>
  <c r="A97"/>
  <c r="A19"/>
  <c r="A22"/>
  <c r="A23"/>
  <c r="A24"/>
  <c r="A27"/>
  <c r="A28"/>
  <c r="A29"/>
  <c r="A31"/>
  <c r="A32"/>
  <c r="A33"/>
  <c r="A37"/>
  <c r="A38"/>
  <c r="A39"/>
  <c r="A18"/>
  <c r="A38" i="1"/>
  <c r="A37"/>
  <c r="A31"/>
  <c r="A27"/>
  <c r="A26"/>
  <c r="A25"/>
  <c r="A24"/>
  <c r="A23"/>
  <c r="A22"/>
  <c r="A21"/>
  <c r="A20"/>
  <c r="A19"/>
  <c r="A18"/>
  <c r="A17"/>
  <c r="A16"/>
  <c r="A15"/>
  <c r="A14"/>
  <c r="A13"/>
  <c r="A12"/>
  <c r="A11"/>
  <c r="A10"/>
  <c r="A9"/>
  <c r="A8"/>
  <c r="A7"/>
  <c r="A6"/>
  <c r="A5"/>
  <c r="F67" i="2"/>
  <c r="M63"/>
  <c r="M64"/>
  <c r="M65"/>
  <c r="M66"/>
  <c r="M67"/>
  <c r="M68"/>
  <c r="M69"/>
  <c r="M70"/>
  <c r="M62"/>
  <c r="M61"/>
  <c r="C60"/>
  <c r="F42"/>
  <c r="E40" s="1"/>
  <c r="C42"/>
  <c r="E45" s="1"/>
  <c r="E9"/>
  <c r="E34"/>
  <c r="E31"/>
  <c r="E30"/>
  <c r="E24"/>
  <c r="E23"/>
  <c r="E21"/>
  <c r="E20"/>
  <c r="E19"/>
  <c r="E14"/>
  <c r="E13"/>
  <c r="E12"/>
  <c r="E11"/>
  <c r="E10"/>
  <c r="E63" l="1"/>
  <c r="E60"/>
  <c r="C45" i="1"/>
  <c r="E18" i="2"/>
  <c r="E217" i="7"/>
  <c r="D6" i="6"/>
  <c r="D7"/>
  <c r="E107" i="7"/>
  <c r="C97" i="6" s="1"/>
  <c r="E117" i="7"/>
  <c r="C107" i="6" s="1"/>
  <c r="E26" i="7"/>
  <c r="C24" i="6" s="1"/>
  <c r="E113" i="7"/>
  <c r="C103" i="6" s="1"/>
  <c r="E41" i="7"/>
  <c r="C37" i="6" s="1"/>
  <c r="E35" i="7"/>
  <c r="C33" i="6" s="1"/>
  <c r="E111" i="7"/>
  <c r="C101" i="6" s="1"/>
  <c r="E115" i="7"/>
  <c r="C105" i="6" s="1"/>
  <c r="E34" i="7"/>
  <c r="C32" i="6" s="1"/>
  <c r="E116" i="7"/>
  <c r="C106" i="6" s="1"/>
  <c r="E112" i="7"/>
  <c r="C102" i="6" s="1"/>
  <c r="B268" i="7"/>
  <c r="D263" s="1"/>
  <c r="C264" s="1"/>
  <c r="C265" s="1"/>
  <c r="B266" s="1"/>
  <c r="C185" i="6" s="1"/>
  <c r="E114" i="7"/>
  <c r="C104" i="6" s="1"/>
  <c r="E42" i="7"/>
  <c r="C38" i="6" s="1"/>
  <c r="E22" i="7"/>
  <c r="C20" i="6" s="1"/>
  <c r="E110" i="7"/>
  <c r="C100" i="6" s="1"/>
  <c r="E24" i="7"/>
  <c r="C22" i="6" s="1"/>
  <c r="E30" i="7"/>
  <c r="C28" i="6" s="1"/>
  <c r="E29" i="7"/>
  <c r="C27" i="6" s="1"/>
  <c r="E25" i="7"/>
  <c r="C23" i="6" s="1"/>
  <c r="E33" i="7"/>
  <c r="C31" i="6" s="1"/>
  <c r="E109" i="7"/>
  <c r="C99" i="6" s="1"/>
  <c r="E21" i="7"/>
  <c r="C19" i="6" s="1"/>
  <c r="E20" i="7"/>
  <c r="C18" i="6" s="1"/>
  <c r="E199" i="7"/>
  <c r="F44" i="2"/>
  <c r="F64"/>
  <c r="E62"/>
  <c r="F62"/>
  <c r="F63"/>
  <c r="E44"/>
  <c r="F45"/>
  <c r="F46"/>
  <c r="F49"/>
  <c r="E42"/>
  <c r="E29"/>
  <c r="D13" i="1"/>
  <c r="D5"/>
  <c r="J19" i="4"/>
  <c r="C109" i="6" l="1"/>
  <c r="E15" i="2"/>
  <c r="E22"/>
  <c r="E16"/>
  <c r="E25"/>
  <c r="E27"/>
  <c r="E17"/>
  <c r="E26"/>
  <c r="E28"/>
  <c r="E8"/>
  <c r="C119" i="6"/>
  <c r="C27" i="1"/>
  <c r="C121" i="6"/>
  <c r="D125" s="1"/>
  <c r="E125" s="1"/>
  <c r="C47" i="1"/>
  <c r="C186" i="6" l="1"/>
  <c r="C189" s="1"/>
  <c r="C25" i="1"/>
  <c r="C26"/>
  <c r="C5"/>
  <c r="C6"/>
  <c r="D11" s="1"/>
  <c r="C31"/>
  <c r="C8" l="1"/>
  <c r="C16"/>
  <c r="C17"/>
  <c r="C10"/>
  <c r="C9"/>
  <c r="C18"/>
  <c r="C21"/>
  <c r="C7"/>
  <c r="C37"/>
  <c r="C15"/>
  <c r="C38"/>
  <c r="C13"/>
  <c r="C12"/>
  <c r="C22"/>
  <c r="C23"/>
  <c r="C24"/>
  <c r="C20"/>
  <c r="C14"/>
  <c r="C191" i="6"/>
  <c r="C19" i="1"/>
  <c r="C40" l="1"/>
  <c r="D50" s="1"/>
  <c r="C50" l="1"/>
  <c r="C52" s="1"/>
  <c r="B15" i="4" s="1"/>
  <c r="B18" s="1"/>
  <c r="B24" l="1"/>
  <c r="J9"/>
  <c r="J10" s="1"/>
  <c r="J18"/>
  <c r="J11" l="1"/>
  <c r="J20" s="1"/>
  <c r="J22" s="1"/>
</calcChain>
</file>

<file path=xl/comments1.xml><?xml version="1.0" encoding="utf-8"?>
<comments xmlns="http://schemas.openxmlformats.org/spreadsheetml/2006/main">
  <authors>
    <author>Author</author>
  </authors>
  <commentList>
    <comment ref="B7" authorId="0">
      <text>
        <r>
          <rPr>
            <sz val="8"/>
            <color indexed="81"/>
            <rFont val="Tahoma"/>
            <family val="2"/>
            <charset val="204"/>
          </rPr>
          <t>Default price currency is USD. Put the conversion rate in case you need to see prices in different currency</t>
        </r>
      </text>
    </comment>
    <comment ref="J7" authorId="0">
      <text>
        <r>
          <rPr>
            <sz val="8"/>
            <color indexed="81"/>
            <rFont val="Tahoma"/>
            <family val="2"/>
            <charset val="204"/>
          </rPr>
          <t>Enter rate according to the proposed support plan.</t>
        </r>
      </text>
    </comment>
    <comment ref="B8" authorId="0">
      <text>
        <r>
          <rPr>
            <sz val="8"/>
            <color indexed="81"/>
            <rFont val="Tahoma"/>
            <family val="2"/>
            <charset val="204"/>
          </rPr>
          <t>Additional overall license price modifier. Used to decrease/increase license price according to the value set.</t>
        </r>
      </text>
    </comment>
    <comment ref="I16" authorId="0">
      <text>
        <r>
          <rPr>
            <sz val="8"/>
            <color indexed="81"/>
            <rFont val="Tahoma"/>
            <family val="2"/>
            <charset val="204"/>
          </rPr>
          <t xml:space="preserve">Set the number of years to calculate TCO for.
</t>
        </r>
      </text>
    </comment>
  </commentList>
</comments>
</file>

<file path=xl/comments2.xml><?xml version="1.0" encoding="utf-8"?>
<comments xmlns="http://schemas.openxmlformats.org/spreadsheetml/2006/main">
  <authors>
    <author>Author</author>
  </authors>
  <commentList>
    <comment ref="B1" authorId="0">
      <text>
        <r>
          <rPr>
            <sz val="8"/>
            <color indexed="81"/>
            <rFont val="Tahoma"/>
            <family val="2"/>
            <charset val="204"/>
          </rPr>
          <t>Check this box if this is a primary (new) sale of TWCMS. Don't check for secondary sales (sales to existing clients with TWCMS running)</t>
        </r>
      </text>
    </comment>
    <comment ref="B45" authorId="0">
      <text>
        <r>
          <rPr>
            <sz val="8"/>
            <color indexed="81"/>
            <rFont val="Tahoma"/>
            <family val="2"/>
            <charset val="204"/>
          </rPr>
          <t>Please enter the new amount of TWCMS clients to be obtained by the customer. The amount should be a multiple of 10,000</t>
        </r>
      </text>
    </comment>
    <comment ref="B47" authorId="0">
      <text>
        <r>
          <rPr>
            <sz val="8"/>
            <color indexed="81"/>
            <rFont val="Tahoma"/>
            <family val="2"/>
            <charset val="204"/>
          </rPr>
          <t>Please enter the new amount of ITC workplaces to be obtained by the customer. The amount should be a multiple of 5</t>
        </r>
      </text>
    </comment>
  </commentList>
</comments>
</file>

<file path=xl/comments3.xml><?xml version="1.0" encoding="utf-8"?>
<comments xmlns="http://schemas.openxmlformats.org/spreadsheetml/2006/main">
  <authors>
    <author>Author</author>
  </authors>
  <commentList>
    <comment ref="B1" authorId="0">
      <text>
        <r>
          <rPr>
            <sz val="8"/>
            <color indexed="81"/>
            <rFont val="Tahoma"/>
            <family val="2"/>
            <charset val="204"/>
          </rPr>
          <t>Check this box if this is a primary (new) sale of TWO. Don't check for secondary sales (sales to existing clients with TWO running)</t>
        </r>
      </text>
    </comment>
    <comment ref="B118" authorId="0">
      <text>
        <r>
          <rPr>
            <sz val="8"/>
            <color indexed="81"/>
            <rFont val="Tahoma"/>
            <family val="2"/>
            <charset val="204"/>
          </rPr>
          <t>Optional item for secondary sales, usually set to 0. Used in case progressive pricing is applied (i.e. previously obtained clients are taken into account and influence the additionally bought license pack price). If used, please enter the amount of ATM in TWO already obtained by the customer.</t>
        </r>
      </text>
    </comment>
    <comment ref="B119" authorId="0">
      <text>
        <r>
          <rPr>
            <sz val="8"/>
            <color indexed="81"/>
            <rFont val="Tahoma"/>
            <family val="2"/>
            <charset val="204"/>
          </rPr>
          <t>Please enter the new amount of ATM in TWO to be obtained by the customer.</t>
        </r>
      </text>
    </comment>
    <comment ref="B120" authorId="0">
      <text>
        <r>
          <rPr>
            <sz val="8"/>
            <color indexed="81"/>
            <rFont val="Tahoma"/>
            <family val="2"/>
            <charset val="204"/>
          </rPr>
          <t>Optional item for secondary sales, usually set to 0. Used in case progressive pricing is applied (i.e. previously obtained clients are taken into account and influence the additionally bought license pack price). If used, please enter the amount of POS in TWO already obtained by the customer.</t>
        </r>
      </text>
    </comment>
    <comment ref="B121" authorId="0">
      <text>
        <r>
          <rPr>
            <sz val="8"/>
            <color indexed="81"/>
            <rFont val="Tahoma"/>
            <family val="2"/>
            <charset val="204"/>
          </rPr>
          <t>Please enter the new amount of ATM in TWO to be obtained by the customer.</t>
        </r>
      </text>
    </comment>
    <comment ref="B122" authorId="0">
      <text>
        <r>
          <rPr>
            <sz val="8"/>
            <color indexed="81"/>
            <rFont val="Tahoma"/>
            <family val="2"/>
            <charset val="204"/>
          </rPr>
          <t>Optional item for secondary sales, usually set to 0. Used in case progressive pricing is applied (i.e. previously obtained clients are taken into account and influence the additionally bought license pack price). If used, please enter the amount of transactions per month in TWO already obtained by the customer.</t>
        </r>
      </text>
    </comment>
    <comment ref="B123" authorId="0">
      <text>
        <r>
          <rPr>
            <sz val="8"/>
            <color indexed="81"/>
            <rFont val="Tahoma"/>
            <family val="2"/>
            <charset val="204"/>
          </rPr>
          <t>Please enter the new amount of transactions per month in TWO to be obtained by the customer.</t>
        </r>
        <r>
          <rPr>
            <sz val="8"/>
            <color indexed="81"/>
            <rFont val="Tahoma"/>
            <family val="2"/>
            <charset val="204"/>
          </rPr>
          <t xml:space="preserve">
</t>
        </r>
      </text>
    </comment>
  </commentList>
</comments>
</file>

<file path=xl/sharedStrings.xml><?xml version="1.0" encoding="utf-8"?>
<sst xmlns="http://schemas.openxmlformats.org/spreadsheetml/2006/main" count="481" uniqueCount="283">
  <si>
    <t>Item</t>
  </si>
  <si>
    <t>Amount</t>
  </si>
  <si>
    <t>Price</t>
  </si>
  <si>
    <t>Capacities</t>
  </si>
  <si>
    <t>Modules</t>
  </si>
  <si>
    <t>Batch Processor</t>
  </si>
  <si>
    <t>Macro Processor</t>
  </si>
  <si>
    <t>EMV support</t>
  </si>
  <si>
    <t>Loyalty support</t>
  </si>
  <si>
    <t>Specifications</t>
  </si>
  <si>
    <t>Data Dictionary specification</t>
  </si>
  <si>
    <t>Workflow</t>
  </si>
  <si>
    <t>Peer-to-Peer payments</t>
  </si>
  <si>
    <t>Visa</t>
  </si>
  <si>
    <t>MC</t>
  </si>
  <si>
    <t>Diners</t>
  </si>
  <si>
    <t>AmEx</t>
  </si>
  <si>
    <t>JCB</t>
  </si>
  <si>
    <t>Union Card (Russia)</t>
  </si>
  <si>
    <t>Dina Card (Serbia)</t>
  </si>
  <si>
    <t>Bank Messaging System (core, BMS operator's workplaces)</t>
  </si>
  <si>
    <t>Interfaces</t>
  </si>
  <si>
    <t>FIMI to TranzWare Online</t>
  </si>
  <si>
    <t>Volume</t>
  </si>
  <si>
    <t>Current index</t>
  </si>
  <si>
    <t>New Index</t>
  </si>
  <si>
    <t>Current total</t>
  </si>
  <si>
    <t>New total</t>
  </si>
  <si>
    <t>More</t>
  </si>
  <si>
    <t xml:space="preserve"> </t>
  </si>
  <si>
    <t>Clients volume</t>
  </si>
  <si>
    <t>Total Price</t>
  </si>
  <si>
    <t>pack price</t>
  </si>
  <si>
    <t>Check</t>
  </si>
  <si>
    <t>rounding</t>
  </si>
  <si>
    <t>Currency conversion</t>
  </si>
  <si>
    <t>Client's name</t>
  </si>
  <si>
    <t>Sales person</t>
  </si>
  <si>
    <t>Project name</t>
  </si>
  <si>
    <t>License price</t>
  </si>
  <si>
    <t>TranzWare CMS</t>
  </si>
  <si>
    <t>TranzWare Online</t>
  </si>
  <si>
    <t>License price modifier</t>
  </si>
  <si>
    <t>Sub-total</t>
  </si>
  <si>
    <t>Training</t>
  </si>
  <si>
    <t>Support rate</t>
  </si>
  <si>
    <t>Support delay in months (warranty period)</t>
  </si>
  <si>
    <t>Annual support</t>
  </si>
  <si>
    <t>Additional cients in TW CMS</t>
  </si>
  <si>
    <t>N/A</t>
  </si>
  <si>
    <t>Total TWCMS license amount:</t>
  </si>
  <si>
    <t>Quarterly support</t>
  </si>
  <si>
    <t>Monthly support</t>
  </si>
  <si>
    <t>years</t>
  </si>
  <si>
    <t>One-time license fees</t>
  </si>
  <si>
    <t>Support fees</t>
  </si>
  <si>
    <t>Other fees (HW, Oracle, etc.)</t>
  </si>
  <si>
    <t>Total:</t>
  </si>
  <si>
    <t>Services</t>
  </si>
  <si>
    <t>Professional services cost</t>
  </si>
  <si>
    <t>One-time services fees</t>
  </si>
  <si>
    <t>Total Cost of Ownership for</t>
  </si>
  <si>
    <t>Sub-Total Amount</t>
  </si>
  <si>
    <t>Undiscouted TW CMS modules price</t>
  </si>
  <si>
    <t>Totals</t>
  </si>
  <si>
    <t>PRIMARY SALE</t>
  </si>
  <si>
    <t>Primary check</t>
  </si>
  <si>
    <t>Issuer's Functions (Shadow Account)</t>
  </si>
  <si>
    <t>Issuer's Functions (Retail Configuration)</t>
  </si>
  <si>
    <t>RCM Installments</t>
  </si>
  <si>
    <t>RCM Corporate Cards</t>
  </si>
  <si>
    <t>Revolving Credit module (RCM)</t>
  </si>
  <si>
    <t>Acquirer's Functions - Cash Management</t>
  </si>
  <si>
    <t>Acquirer's functions - Merchant Management</t>
  </si>
  <si>
    <t>Customer Letter Processing</t>
  </si>
  <si>
    <t>Clients in TW CMS</t>
  </si>
  <si>
    <t>ITC workplaces in TW CMS</t>
  </si>
  <si>
    <t>Current number of clients in TW CMS</t>
  </si>
  <si>
    <t>Current number of ITC workplaces</t>
  </si>
  <si>
    <t>Additional ITC workplaces</t>
  </si>
  <si>
    <t>sum</t>
  </si>
  <si>
    <t>volume</t>
  </si>
  <si>
    <t>per 5</t>
  </si>
  <si>
    <t>Extract &amp; refresh specification</t>
  </si>
  <si>
    <t>Total TWO license amount:</t>
  </si>
  <si>
    <t>Core Functions</t>
  </si>
  <si>
    <t>Stand-In Authorizer</t>
  </si>
  <si>
    <t>Algorithmix</t>
  </si>
  <si>
    <t>NDC Support</t>
  </si>
  <si>
    <t>DDC Support</t>
  </si>
  <si>
    <t>Cash-In support</t>
  </si>
  <si>
    <t>Terminal Management</t>
  </si>
  <si>
    <t>TPTP Support</t>
  </si>
  <si>
    <t>TITP Support</t>
  </si>
  <si>
    <t>VISA Acquiring</t>
  </si>
  <si>
    <t>MC Acquiring</t>
  </si>
  <si>
    <t>JCB Acquiring</t>
  </si>
  <si>
    <t>AmEx Acquiring</t>
  </si>
  <si>
    <t>Payment Schemes</t>
  </si>
  <si>
    <t>EMV Support</t>
  </si>
  <si>
    <t>FIMI Engine</t>
  </si>
  <si>
    <t>SMS-Notification</t>
  </si>
  <si>
    <t>SMS-Banking</t>
  </si>
  <si>
    <t>Bank Messaging System</t>
  </si>
  <si>
    <t>Loyalty Support (Merchant)</t>
  </si>
  <si>
    <t>Payment Options</t>
  </si>
  <si>
    <t>Cash-Based (cardless) support</t>
  </si>
  <si>
    <t>Peer-to-Peer payments support</t>
  </si>
  <si>
    <t>Currency Exchange (cardless) support</t>
  </si>
  <si>
    <t>TCI SDK</t>
  </si>
  <si>
    <t>TIP Specification</t>
  </si>
  <si>
    <t>TWO Refresh Specification</t>
  </si>
  <si>
    <t>UAMP Specification</t>
  </si>
  <si>
    <t>FIMI Specification</t>
  </si>
  <si>
    <t>VTBI Specification</t>
  </si>
  <si>
    <t>TIC/TCI Specification</t>
  </si>
  <si>
    <t>TPTP Specification</t>
  </si>
  <si>
    <t>TITP Specification</t>
  </si>
  <si>
    <t>Specifications &amp; SDK</t>
  </si>
  <si>
    <t>H2H Interfaces</t>
  </si>
  <si>
    <t>Additional Discount (up to 20% for sales manager, higher to be agreed with Regional Sales Director)</t>
  </si>
  <si>
    <t>Dina</t>
  </si>
  <si>
    <t>BankNet</t>
  </si>
  <si>
    <t>Elecsnet</t>
  </si>
  <si>
    <t>Cyberplat</t>
  </si>
  <si>
    <t>E-Port</t>
  </si>
  <si>
    <t>Union Card</t>
  </si>
  <si>
    <t>Burokrat</t>
  </si>
  <si>
    <t>EBPP Gorod</t>
  </si>
  <si>
    <t>China Union Pay</t>
  </si>
  <si>
    <t>BankNet VN</t>
  </si>
  <si>
    <t>SberCard ATM</t>
  </si>
  <si>
    <t>1-2-3 ATM-NET</t>
  </si>
  <si>
    <t>UAE Switch</t>
  </si>
  <si>
    <t>GetNet</t>
  </si>
  <si>
    <t>TecBan</t>
  </si>
  <si>
    <t>Pulse EFT</t>
  </si>
  <si>
    <t>TIC</t>
  </si>
  <si>
    <t>CTL Online</t>
  </si>
  <si>
    <t>TransMaster</t>
  </si>
  <si>
    <t>Trans24 (ACI)</t>
  </si>
  <si>
    <t>Base24 (ACI)</t>
  </si>
  <si>
    <t>W4</t>
  </si>
  <si>
    <t>STEPS-II (Logica)</t>
  </si>
  <si>
    <t>Magix Funchip</t>
  </si>
  <si>
    <t>Postilion Sw.</t>
  </si>
  <si>
    <t>BankWorks</t>
  </si>
  <si>
    <t>ARKSYS</t>
  </si>
  <si>
    <t>TP-II (IFS)</t>
  </si>
  <si>
    <t>CBS Interfaces</t>
  </si>
  <si>
    <t>Systematics</t>
  </si>
  <si>
    <t>FlexCube (iFLEX)</t>
  </si>
  <si>
    <t>Equation (D8)</t>
  </si>
  <si>
    <t>GLOBUS (Temenos)</t>
  </si>
  <si>
    <t>TCI</t>
  </si>
  <si>
    <t>Postilion CBS</t>
  </si>
  <si>
    <t>Finacle (Infosys)</t>
  </si>
  <si>
    <t>OTHA (Pexim)</t>
  </si>
  <si>
    <t>EQUATION (ABK)</t>
  </si>
  <si>
    <t>ABCS  (INCAS)</t>
  </si>
  <si>
    <t>OST24</t>
  </si>
  <si>
    <t>OASIS (eFunds)</t>
  </si>
  <si>
    <t>Electra Prepaid</t>
  </si>
  <si>
    <t>HSBC-TCB-VN</t>
  </si>
  <si>
    <t>SmartVista</t>
  </si>
  <si>
    <t>EVN (Vietnam)</t>
  </si>
  <si>
    <t>NEO (Vietnam)</t>
  </si>
  <si>
    <t>VTU (Nigeria)</t>
  </si>
  <si>
    <t>Nigerial Sport Lottery</t>
  </si>
  <si>
    <t>MEGAFON</t>
  </si>
  <si>
    <t>Payment Schemes interfaces</t>
  </si>
  <si>
    <t>Payment Gateways interfaces</t>
  </si>
  <si>
    <t>H2H interfaces cost:</t>
  </si>
  <si>
    <t>Price:</t>
  </si>
  <si>
    <t>FOC interfaces</t>
  </si>
  <si>
    <t>CUP</t>
  </si>
  <si>
    <t>TWCMS</t>
  </si>
  <si>
    <t>Undiscouted TWO modules price</t>
  </si>
  <si>
    <t>Price per POS</t>
  </si>
  <si>
    <t>System-level Properties</t>
  </si>
  <si>
    <t>Windows OS</t>
  </si>
  <si>
    <t>Linux OS</t>
  </si>
  <si>
    <t>AIX OS</t>
  </si>
  <si>
    <t>Fault tolerant configuration</t>
  </si>
  <si>
    <t>X.25 Support</t>
  </si>
  <si>
    <t>Advanced ATM monitoring subsystem</t>
  </si>
  <si>
    <t>Wincor Nixdorf Procashin NDC+ support</t>
  </si>
  <si>
    <t>TW PostPay</t>
  </si>
  <si>
    <t>Multi-stream extract and refresh</t>
  </si>
  <si>
    <t xml:space="preserve">Thales HSM </t>
  </si>
  <si>
    <t>SafeNet ProtectHost</t>
  </si>
  <si>
    <t>SafeNet Luna SP</t>
  </si>
  <si>
    <t>HP Atalla</t>
  </si>
  <si>
    <t>SMS/e-mail second factor authentication</t>
  </si>
  <si>
    <t>Card-based payments on all supported channels</t>
  </si>
  <si>
    <t>TW Post Pay</t>
  </si>
  <si>
    <t>System-level properties</t>
  </si>
  <si>
    <t>SafeNet ProtectServer (int. and ext.)</t>
  </si>
  <si>
    <t>Total Capacities price</t>
  </si>
  <si>
    <t>Number of Multi-Purpose Instances</t>
  </si>
  <si>
    <t>Number of Dedicated Instances</t>
  </si>
  <si>
    <t>Number of Client License Keys</t>
  </si>
  <si>
    <t>Number of Financial Institutions</t>
  </si>
  <si>
    <t>Number of FIMI users</t>
  </si>
  <si>
    <t>Main Metrics</t>
  </si>
  <si>
    <t>Current Number of ATM/Kiosks</t>
  </si>
  <si>
    <t>Additional ATM/Kiosks</t>
  </si>
  <si>
    <t>ATM volume</t>
  </si>
  <si>
    <t xml:space="preserve">Price per ATM </t>
  </si>
  <si>
    <t>Checks</t>
  </si>
  <si>
    <t>Current Number of POS</t>
  </si>
  <si>
    <t>Additional POS</t>
  </si>
  <si>
    <t>POS volume</t>
  </si>
  <si>
    <t>trx volume</t>
  </si>
  <si>
    <t>Price per trx</t>
  </si>
  <si>
    <t>Additional transactions per month</t>
  </si>
  <si>
    <t>Current Number of transactions per month</t>
  </si>
  <si>
    <t>Selected Price</t>
  </si>
  <si>
    <t>Price per client</t>
  </si>
  <si>
    <t>per 1</t>
  </si>
  <si>
    <t>Price per ITC client</t>
  </si>
  <si>
    <t>Minimum Price</t>
  </si>
  <si>
    <t>Maximum Functionality Price</t>
  </si>
  <si>
    <t>Total Weights</t>
  </si>
  <si>
    <t>Initial Sales Weight</t>
  </si>
  <si>
    <t>INITIAL SALE</t>
  </si>
  <si>
    <t>Initial check</t>
  </si>
  <si>
    <t>Secondary Price</t>
  </si>
  <si>
    <t>Initial Price</t>
  </si>
  <si>
    <t>Secondary Sales Price</t>
  </si>
  <si>
    <t>Batch interface to Way4</t>
  </si>
  <si>
    <t>Batch interface to TransMaster</t>
  </si>
  <si>
    <t>Price per financial scheme:</t>
  </si>
  <si>
    <t>VISA</t>
  </si>
  <si>
    <t>ATMeye integration</t>
  </si>
  <si>
    <t>VISA Issuing</t>
  </si>
  <si>
    <t>VISA DPA Support</t>
  </si>
  <si>
    <t>VISA PayWave Support</t>
  </si>
  <si>
    <t>VbV Issuing Support (ACS interface)</t>
  </si>
  <si>
    <t>MC Issuing</t>
  </si>
  <si>
    <t>MC CAP Support</t>
  </si>
  <si>
    <t>MC PayPass Support</t>
  </si>
  <si>
    <t>MC SecureCode Issuing Support (ACS interface)</t>
  </si>
  <si>
    <t>DCI Issuing</t>
  </si>
  <si>
    <t>MasterCard (MC)</t>
  </si>
  <si>
    <t>DCI Acquiring</t>
  </si>
  <si>
    <t>ATM Acquiring (implies PULSE interface)</t>
  </si>
  <si>
    <t>American Express (AmEx)</t>
  </si>
  <si>
    <t>Diners Club International (DCI)</t>
  </si>
  <si>
    <t>AmEx Issuing</t>
  </si>
  <si>
    <t>AmEx GNS ISO Interface</t>
  </si>
  <si>
    <t>Japan Credit Bureau (JCB)</t>
  </si>
  <si>
    <t>JCB Issuing</t>
  </si>
  <si>
    <t>China Union Pay (CUP)</t>
  </si>
  <si>
    <t>CUP Issuing</t>
  </si>
  <si>
    <t>CUP Acquiring</t>
  </si>
  <si>
    <t>JCB Direct Acquiring Interface</t>
  </si>
  <si>
    <t>JCB Direct Issuing Interface</t>
  </si>
  <si>
    <t>CUP Direct Issuing Interface</t>
  </si>
  <si>
    <t>CUP Direct Acquiring Interface</t>
  </si>
  <si>
    <t>BancNet (Philippines)</t>
  </si>
  <si>
    <t>BankNet VN (Vietnam)</t>
  </si>
  <si>
    <t>UAE Switch (UAE)</t>
  </si>
  <si>
    <t>SAMA (KSA)</t>
  </si>
  <si>
    <t>PULSE (USA)</t>
  </si>
  <si>
    <t>GetNet (Brazil)</t>
  </si>
  <si>
    <t>Tecban (Brazil)</t>
  </si>
  <si>
    <t>1-2-3 ATM Network (Egypt)</t>
  </si>
  <si>
    <t>SberCard ATM (Russia)</t>
  </si>
  <si>
    <t>Short text for Proposal Calculation</t>
  </si>
  <si>
    <t>High Availability Configuration</t>
  </si>
  <si>
    <t>X.25</t>
  </si>
  <si>
    <t>Stand-in Auth</t>
  </si>
  <si>
    <t>FIMI</t>
  </si>
  <si>
    <t>FIMI ATMeye integration</t>
  </si>
  <si>
    <t>Prepaid Products Distribution</t>
  </si>
  <si>
    <t>ATM Management</t>
  </si>
  <si>
    <t>POS-terminal Management</t>
  </si>
  <si>
    <t>DCI Asia Pacific Interface</t>
  </si>
  <si>
    <t>DCI Global Interface</t>
  </si>
  <si>
    <t>DCI Russia Interface</t>
  </si>
  <si>
    <t>Direct Interface</t>
  </si>
  <si>
    <t>Versatile Telebanking Interface (VTBI) for Internet and Mobile banking</t>
  </si>
</sst>
</file>

<file path=xl/styles.xml><?xml version="1.0" encoding="utf-8"?>
<styleSheet xmlns="http://schemas.openxmlformats.org/spreadsheetml/2006/main">
  <numFmts count="12">
    <numFmt numFmtId="164" formatCode="_-* #,##0.00&quot;р.&quot;_-;\-* #,##0.00&quot;р.&quot;_-;_-* &quot;-&quot;??&quot;р.&quot;_-;_-@_-"/>
    <numFmt numFmtId="165" formatCode="_-* #,##0.00_р_._-;\-* #,##0.00_р_._-;_-* &quot;-&quot;??_р_._-;_-@_-"/>
    <numFmt numFmtId="166" formatCode="[$$-C09]#,##0"/>
    <numFmt numFmtId="167" formatCode="&quot;$&quot;#,##0"/>
    <numFmt numFmtId="169" formatCode="_(* #,##0_);_(* \(#,##0\);_(* &quot;-&quot;??_);_(@_)"/>
    <numFmt numFmtId="170" formatCode="_(&quot;$&quot;* #,##0_);_(&quot;$&quot;* \(#,##0\);_(&quot;$&quot;* &quot;-&quot;??_);_(@_)"/>
    <numFmt numFmtId="171" formatCode="[$$-C09]#,##0.00"/>
    <numFmt numFmtId="172" formatCode="[$$-1009]#,##0"/>
    <numFmt numFmtId="174" formatCode="#,##0.0"/>
    <numFmt numFmtId="175" formatCode="&quot;$&quot;#,##0.000000"/>
    <numFmt numFmtId="176" formatCode="#,##0.0000"/>
    <numFmt numFmtId="177" formatCode="#,##0.000"/>
  </numFmts>
  <fonts count="2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i/>
      <sz val="11"/>
      <color theme="1"/>
      <name val="Calibri"/>
      <family val="2"/>
      <charset val="204"/>
      <scheme val="minor"/>
    </font>
    <font>
      <sz val="10"/>
      <color theme="1"/>
      <name val="Arial Black"/>
      <family val="2"/>
      <charset val="204"/>
    </font>
    <font>
      <sz val="11"/>
      <color rgb="FFFF0000"/>
      <name val="Calibri"/>
      <family val="2"/>
      <scheme val="minor"/>
    </font>
    <font>
      <sz val="11"/>
      <color theme="1"/>
      <name val="Calibri"/>
      <family val="2"/>
      <scheme val="minor"/>
    </font>
    <font>
      <b/>
      <sz val="10"/>
      <name val="Arial"/>
      <family val="2"/>
    </font>
    <font>
      <b/>
      <sz val="8"/>
      <name val="Arial"/>
      <family val="2"/>
    </font>
    <font>
      <b/>
      <sz val="11"/>
      <name val="Calibri"/>
      <family val="2"/>
      <charset val="204"/>
      <scheme val="minor"/>
    </font>
    <font>
      <sz val="8"/>
      <color indexed="81"/>
      <name val="Tahoma"/>
      <family val="2"/>
      <charset val="204"/>
    </font>
    <font>
      <sz val="11"/>
      <name val="Calibri"/>
      <family val="2"/>
      <scheme val="minor"/>
    </font>
    <font>
      <b/>
      <sz val="10"/>
      <color theme="1"/>
      <name val="Arial Black"/>
      <family val="2"/>
      <charset val="204"/>
    </font>
    <font>
      <sz val="11"/>
      <color theme="4" tint="-0.249977111117893"/>
      <name val="Calibri"/>
      <family val="2"/>
      <scheme val="minor"/>
    </font>
    <font>
      <sz val="11"/>
      <color rgb="FFFF0000"/>
      <name val="Calibri"/>
      <family val="2"/>
      <charset val="204"/>
      <scheme val="minor"/>
    </font>
    <font>
      <sz val="11"/>
      <name val="Calibri"/>
      <family val="2"/>
      <charset val="204"/>
      <scheme val="minor"/>
    </font>
    <font>
      <sz val="11"/>
      <color rgb="FF0070C0"/>
      <name val="Calibri"/>
      <family val="2"/>
      <scheme val="minor"/>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s>
  <borders count="4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165" fontId="10" fillId="0" borderId="0" applyFont="0" applyFill="0" applyBorder="0" applyAlignment="0" applyProtection="0"/>
    <xf numFmtId="164" fontId="10" fillId="0" borderId="0" applyFont="0" applyFill="0" applyBorder="0" applyAlignment="0" applyProtection="0"/>
  </cellStyleXfs>
  <cellXfs count="27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6" fillId="0" borderId="0" xfId="0" applyFont="1"/>
    <xf numFmtId="0" fontId="0" fillId="0" borderId="0" xfId="0" applyAlignment="1">
      <alignment wrapText="1"/>
    </xf>
    <xf numFmtId="167" fontId="0" fillId="0" borderId="0" xfId="0" applyNumberFormat="1"/>
    <xf numFmtId="3" fontId="0" fillId="0" borderId="0" xfId="0" applyNumberFormat="1"/>
    <xf numFmtId="0" fontId="0" fillId="0" borderId="9" xfId="0" applyBorder="1" applyProtection="1">
      <protection locked="0" hidden="1"/>
    </xf>
    <xf numFmtId="3" fontId="0" fillId="2" borderId="0" xfId="0" applyNumberFormat="1" applyFill="1" applyBorder="1" applyProtection="1">
      <protection locked="0" hidden="1"/>
    </xf>
    <xf numFmtId="0" fontId="0" fillId="0" borderId="10" xfId="0" applyBorder="1" applyProtection="1">
      <protection locked="0" hidden="1"/>
    </xf>
    <xf numFmtId="169" fontId="0" fillId="0" borderId="12" xfId="1" applyNumberFormat="1" applyFont="1" applyBorder="1" applyProtection="1">
      <protection locked="0" hidden="1"/>
    </xf>
    <xf numFmtId="3" fontId="0" fillId="2" borderId="13" xfId="0" applyNumberFormat="1" applyFill="1" applyBorder="1" applyProtection="1">
      <protection locked="0" hidden="1"/>
    </xf>
    <xf numFmtId="0" fontId="0" fillId="0" borderId="11" xfId="0" applyBorder="1"/>
    <xf numFmtId="3" fontId="0" fillId="0" borderId="14" xfId="0" applyNumberFormat="1" applyBorder="1" applyProtection="1">
      <protection locked="0" hidden="1"/>
    </xf>
    <xf numFmtId="3" fontId="0" fillId="2" borderId="0" xfId="2" applyNumberFormat="1" applyFont="1" applyFill="1" applyBorder="1" applyProtection="1">
      <protection locked="0" hidden="1"/>
    </xf>
    <xf numFmtId="3" fontId="0" fillId="0" borderId="14" xfId="2" applyNumberFormat="1" applyFont="1" applyBorder="1" applyProtection="1">
      <protection locked="0" hidden="1"/>
    </xf>
    <xf numFmtId="3" fontId="0" fillId="0" borderId="15" xfId="2" applyNumberFormat="1" applyFont="1" applyBorder="1" applyProtection="1">
      <protection locked="0" hidden="1"/>
    </xf>
    <xf numFmtId="3" fontId="0" fillId="0" borderId="16" xfId="2" applyNumberFormat="1" applyFont="1" applyBorder="1" applyProtection="1">
      <protection locked="0" hidden="1"/>
    </xf>
    <xf numFmtId="169" fontId="0" fillId="0" borderId="11" xfId="1" applyNumberFormat="1" applyFont="1" applyBorder="1" applyAlignment="1" applyProtection="1">
      <alignment horizontal="right"/>
      <protection locked="0" hidden="1"/>
    </xf>
    <xf numFmtId="0" fontId="0" fillId="0" borderId="17" xfId="0" applyBorder="1"/>
    <xf numFmtId="0" fontId="0" fillId="0" borderId="0" xfId="0" applyBorder="1"/>
    <xf numFmtId="172" fontId="0" fillId="0" borderId="0" xfId="0" applyNumberFormat="1" applyBorder="1"/>
    <xf numFmtId="0" fontId="11" fillId="0" borderId="0" xfId="0" applyFont="1" applyBorder="1" applyProtection="1">
      <protection locked="0" hidden="1"/>
    </xf>
    <xf numFmtId="0" fontId="11" fillId="0" borderId="0" xfId="0" applyFont="1" applyBorder="1" applyAlignment="1" applyProtection="1">
      <alignment shrinkToFit="1"/>
      <protection locked="0" hidden="1"/>
    </xf>
    <xf numFmtId="0" fontId="12" fillId="0" borderId="0" xfId="0" applyFont="1" applyBorder="1" applyAlignment="1" applyProtection="1">
      <alignment wrapText="1" shrinkToFit="1"/>
      <protection locked="0" hidden="1"/>
    </xf>
    <xf numFmtId="0" fontId="11" fillId="0" borderId="0" xfId="0" applyFont="1" applyBorder="1" applyAlignment="1" applyProtection="1">
      <alignment horizontal="center"/>
      <protection locked="0" hidden="1"/>
    </xf>
    <xf numFmtId="0" fontId="0" fillId="0" borderId="0" xfId="0" applyBorder="1" applyProtection="1">
      <protection locked="0" hidden="1"/>
    </xf>
    <xf numFmtId="0" fontId="6" fillId="0" borderId="0" xfId="0" applyFont="1" applyBorder="1" applyProtection="1">
      <protection locked="0" hidden="1"/>
    </xf>
    <xf numFmtId="0" fontId="0" fillId="0" borderId="0" xfId="0" applyFill="1" applyBorder="1" applyProtection="1">
      <protection locked="0" hidden="1"/>
    </xf>
    <xf numFmtId="170" fontId="0" fillId="0" borderId="0" xfId="0" applyNumberFormat="1" applyFill="1" applyBorder="1" applyProtection="1">
      <protection locked="0" hidden="1"/>
    </xf>
    <xf numFmtId="0" fontId="0" fillId="0" borderId="18" xfId="0" applyBorder="1"/>
    <xf numFmtId="0" fontId="0" fillId="3" borderId="0" xfId="0" applyFill="1"/>
    <xf numFmtId="0" fontId="5" fillId="3" borderId="0" xfId="0" applyFont="1" applyFill="1" applyAlignment="1">
      <alignment horizontal="right"/>
    </xf>
    <xf numFmtId="9" fontId="0" fillId="3" borderId="0" xfId="0" applyNumberFormat="1" applyFill="1"/>
    <xf numFmtId="171" fontId="0" fillId="3" borderId="0" xfId="0" applyNumberFormat="1" applyFill="1"/>
    <xf numFmtId="0" fontId="0" fillId="3" borderId="19" xfId="0" applyFill="1" applyBorder="1"/>
    <xf numFmtId="0" fontId="0" fillId="3" borderId="20" xfId="0" applyFill="1" applyBorder="1"/>
    <xf numFmtId="0" fontId="0" fillId="3" borderId="21" xfId="0" applyFill="1" applyBorder="1"/>
    <xf numFmtId="0" fontId="0" fillId="3" borderId="22" xfId="0" applyFill="1" applyBorder="1"/>
    <xf numFmtId="0" fontId="0" fillId="3" borderId="23" xfId="0" applyFill="1" applyBorder="1"/>
    <xf numFmtId="0" fontId="0" fillId="3" borderId="24" xfId="0" applyFill="1" applyBorder="1"/>
    <xf numFmtId="0" fontId="6" fillId="3" borderId="0" xfId="0" applyFont="1" applyFill="1"/>
    <xf numFmtId="0" fontId="6" fillId="3" borderId="0" xfId="0" applyFont="1" applyFill="1" applyAlignment="1">
      <alignment horizontal="right"/>
    </xf>
    <xf numFmtId="0" fontId="0" fillId="3" borderId="0" xfId="0" applyFill="1" applyAlignment="1">
      <alignment horizontal="right"/>
    </xf>
    <xf numFmtId="0" fontId="5" fillId="3" borderId="0" xfId="0" applyFont="1" applyFill="1"/>
    <xf numFmtId="0" fontId="0" fillId="3" borderId="15" xfId="0" applyFill="1" applyBorder="1"/>
    <xf numFmtId="2" fontId="0" fillId="3" borderId="16" xfId="0" applyNumberFormat="1" applyFill="1" applyBorder="1"/>
    <xf numFmtId="0" fontId="0" fillId="3" borderId="29" xfId="0" applyFill="1" applyBorder="1"/>
    <xf numFmtId="2" fontId="0" fillId="3" borderId="28" xfId="0" applyNumberFormat="1" applyFill="1" applyBorder="1"/>
    <xf numFmtId="0" fontId="6" fillId="3" borderId="7" xfId="0" applyFont="1" applyFill="1" applyBorder="1"/>
    <xf numFmtId="171" fontId="0" fillId="3" borderId="8" xfId="0" applyNumberFormat="1" applyFill="1" applyBorder="1"/>
    <xf numFmtId="0" fontId="5" fillId="3" borderId="30" xfId="0" applyFont="1" applyFill="1" applyBorder="1"/>
    <xf numFmtId="0" fontId="0" fillId="3" borderId="31" xfId="0" applyFill="1" applyBorder="1"/>
    <xf numFmtId="0" fontId="5" fillId="3" borderId="32" xfId="0" applyFont="1" applyFill="1" applyBorder="1"/>
    <xf numFmtId="0" fontId="0" fillId="3" borderId="6" xfId="0" applyFill="1" applyBorder="1"/>
    <xf numFmtId="0" fontId="0" fillId="3" borderId="0" xfId="0" applyFill="1" applyBorder="1"/>
    <xf numFmtId="0" fontId="6" fillId="3" borderId="0" xfId="0" applyFont="1" applyFill="1" applyBorder="1"/>
    <xf numFmtId="171" fontId="0" fillId="3" borderId="0" xfId="0" applyNumberFormat="1" applyFill="1" applyBorder="1"/>
    <xf numFmtId="0" fontId="0" fillId="3" borderId="17" xfId="0" applyFill="1" applyBorder="1"/>
    <xf numFmtId="0" fontId="0" fillId="3" borderId="32" xfId="0" applyFill="1" applyBorder="1"/>
    <xf numFmtId="166" fontId="0" fillId="3" borderId="6" xfId="0" applyNumberFormat="1" applyFill="1" applyBorder="1"/>
    <xf numFmtId="0" fontId="0" fillId="3" borderId="30" xfId="0" applyFill="1" applyBorder="1"/>
    <xf numFmtId="171" fontId="0" fillId="3" borderId="31" xfId="0" applyNumberFormat="1" applyFill="1" applyBorder="1"/>
    <xf numFmtId="0" fontId="0" fillId="3" borderId="8" xfId="0" applyFill="1" applyBorder="1"/>
    <xf numFmtId="0" fontId="0" fillId="4" borderId="0" xfId="0" applyFill="1" applyBorder="1" applyAlignment="1">
      <alignment horizontal="center"/>
    </xf>
    <xf numFmtId="0" fontId="8" fillId="3" borderId="18" xfId="0" applyFont="1" applyFill="1" applyBorder="1" applyAlignment="1">
      <alignment horizontal="right"/>
    </xf>
    <xf numFmtId="0" fontId="0" fillId="3" borderId="18" xfId="0" applyFill="1" applyBorder="1"/>
    <xf numFmtId="0" fontId="8" fillId="3" borderId="18" xfId="0" applyFont="1" applyFill="1" applyBorder="1"/>
    <xf numFmtId="0" fontId="7" fillId="3" borderId="25" xfId="0" applyFont="1" applyFill="1" applyBorder="1"/>
    <xf numFmtId="0" fontId="7" fillId="3" borderId="8" xfId="0" applyFont="1" applyFill="1" applyBorder="1"/>
    <xf numFmtId="0" fontId="0" fillId="3" borderId="18" xfId="0" applyFill="1" applyBorder="1" applyAlignment="1">
      <alignment wrapText="1"/>
    </xf>
    <xf numFmtId="166" fontId="0" fillId="3" borderId="18" xfId="0" applyNumberFormat="1" applyFill="1" applyBorder="1"/>
    <xf numFmtId="0" fontId="8" fillId="3" borderId="25" xfId="0" applyFont="1" applyFill="1" applyBorder="1"/>
    <xf numFmtId="0" fontId="0" fillId="3" borderId="25" xfId="0" applyFill="1" applyBorder="1"/>
    <xf numFmtId="0" fontId="7" fillId="3" borderId="27" xfId="0" applyFont="1" applyFill="1" applyBorder="1"/>
    <xf numFmtId="0" fontId="7" fillId="3" borderId="26" xfId="0" applyFont="1" applyFill="1" applyBorder="1"/>
    <xf numFmtId="0" fontId="13" fillId="3" borderId="18" xfId="0" applyFont="1" applyFill="1" applyBorder="1" applyAlignment="1">
      <alignment wrapText="1"/>
    </xf>
    <xf numFmtId="0" fontId="6" fillId="3" borderId="18" xfId="0" applyFont="1" applyFill="1" applyBorder="1" applyAlignment="1">
      <alignment wrapText="1"/>
    </xf>
    <xf numFmtId="166" fontId="6" fillId="3" borderId="18" xfId="0" applyNumberFormat="1" applyFont="1" applyFill="1" applyBorder="1" applyAlignment="1">
      <alignment vertical="top"/>
    </xf>
    <xf numFmtId="0" fontId="6" fillId="3" borderId="25" xfId="0" applyFont="1" applyFill="1" applyBorder="1" applyAlignment="1">
      <alignment wrapText="1"/>
    </xf>
    <xf numFmtId="166" fontId="6" fillId="3" borderId="8" xfId="0" applyNumberFormat="1" applyFont="1" applyFill="1" applyBorder="1" applyAlignment="1">
      <alignment vertical="top"/>
    </xf>
    <xf numFmtId="9" fontId="6" fillId="3" borderId="6" xfId="0" applyNumberFormat="1" applyFont="1" applyFill="1" applyBorder="1" applyAlignment="1">
      <alignment vertical="top"/>
    </xf>
    <xf numFmtId="0" fontId="6" fillId="3" borderId="18" xfId="0" applyFont="1" applyFill="1" applyBorder="1"/>
    <xf numFmtId="166" fontId="6" fillId="3" borderId="6" xfId="0" applyNumberFormat="1" applyFont="1" applyFill="1" applyBorder="1"/>
    <xf numFmtId="0" fontId="0" fillId="3" borderId="3" xfId="0" applyFill="1" applyBorder="1"/>
    <xf numFmtId="0" fontId="9" fillId="3" borderId="0" xfId="0" applyFont="1" applyFill="1" applyBorder="1" applyAlignment="1">
      <alignment horizontal="left" vertical="center" wrapText="1"/>
    </xf>
    <xf numFmtId="0" fontId="9" fillId="3" borderId="0" xfId="0" applyFont="1" applyFill="1" applyBorder="1" applyAlignment="1">
      <alignment vertical="top"/>
    </xf>
    <xf numFmtId="166" fontId="0" fillId="3" borderId="6" xfId="0" applyNumberFormat="1" applyFill="1" applyBorder="1" applyAlignment="1">
      <alignment vertical="top"/>
    </xf>
    <xf numFmtId="166" fontId="0" fillId="3" borderId="4" xfId="0" applyNumberFormat="1" applyFill="1" applyBorder="1" applyAlignment="1">
      <alignment vertical="top"/>
    </xf>
    <xf numFmtId="0" fontId="13" fillId="3" borderId="7" xfId="0" applyFont="1" applyFill="1" applyBorder="1" applyAlignment="1">
      <alignment wrapText="1"/>
    </xf>
    <xf numFmtId="0" fontId="9" fillId="3" borderId="0" xfId="0" applyFont="1" applyFill="1"/>
    <xf numFmtId="0" fontId="0" fillId="3" borderId="27" xfId="0" applyFill="1" applyBorder="1"/>
    <xf numFmtId="166" fontId="0" fillId="3" borderId="26" xfId="0" applyNumberFormat="1" applyFill="1" applyBorder="1" applyAlignment="1">
      <alignment vertical="top"/>
    </xf>
    <xf numFmtId="166" fontId="0" fillId="3" borderId="34" xfId="0" applyNumberFormat="1" applyFill="1" applyBorder="1" applyAlignment="1">
      <alignment vertical="top"/>
    </xf>
    <xf numFmtId="0" fontId="0" fillId="3" borderId="13" xfId="0" applyFill="1" applyBorder="1"/>
    <xf numFmtId="3" fontId="0" fillId="4" borderId="33" xfId="1" applyNumberFormat="1" applyFont="1" applyFill="1" applyBorder="1" applyAlignment="1">
      <alignment horizontal="right"/>
    </xf>
    <xf numFmtId="0" fontId="13" fillId="3" borderId="27" xfId="0" applyFont="1" applyFill="1" applyBorder="1" applyAlignment="1">
      <alignment wrapText="1"/>
    </xf>
    <xf numFmtId="166" fontId="6" fillId="3" borderId="26" xfId="0" applyNumberFormat="1" applyFont="1" applyFill="1" applyBorder="1" applyAlignment="1">
      <alignment vertical="top"/>
    </xf>
    <xf numFmtId="0" fontId="7" fillId="3" borderId="35" xfId="0" applyFont="1" applyFill="1" applyBorder="1"/>
    <xf numFmtId="0" fontId="0" fillId="3" borderId="36" xfId="0" applyFill="1" applyBorder="1"/>
    <xf numFmtId="0" fontId="0" fillId="3" borderId="35" xfId="0" applyFill="1" applyBorder="1" applyAlignment="1">
      <alignment wrapText="1"/>
    </xf>
    <xf numFmtId="0" fontId="0" fillId="3" borderId="36" xfId="0" applyFill="1" applyBorder="1" applyAlignment="1">
      <alignment wrapText="1"/>
    </xf>
    <xf numFmtId="0" fontId="0" fillId="3" borderId="3" xfId="0" applyFill="1" applyBorder="1" applyAlignment="1">
      <alignment wrapText="1"/>
    </xf>
    <xf numFmtId="0" fontId="0" fillId="3" borderId="5" xfId="0" applyFill="1" applyBorder="1" applyAlignment="1">
      <alignment wrapText="1"/>
    </xf>
    <xf numFmtId="0" fontId="0" fillId="0" borderId="0" xfId="0" applyBorder="1" applyAlignment="1">
      <alignment horizontal="center"/>
    </xf>
    <xf numFmtId="0" fontId="6" fillId="0" borderId="1" xfId="0" applyFont="1" applyBorder="1"/>
    <xf numFmtId="0" fontId="6" fillId="0" borderId="17" xfId="0" applyFont="1" applyBorder="1"/>
    <xf numFmtId="0" fontId="7" fillId="3" borderId="17" xfId="0" applyFont="1" applyFill="1" applyBorder="1"/>
    <xf numFmtId="0" fontId="7" fillId="3" borderId="2" xfId="0" applyFont="1" applyFill="1" applyBorder="1"/>
    <xf numFmtId="0" fontId="5" fillId="3" borderId="26" xfId="0" applyFont="1" applyFill="1" applyBorder="1" applyAlignment="1">
      <alignment horizontal="center"/>
    </xf>
    <xf numFmtId="0" fontId="0" fillId="3" borderId="34" xfId="0" applyFill="1" applyBorder="1" applyAlignment="1">
      <alignment horizontal="center"/>
    </xf>
    <xf numFmtId="166" fontId="0" fillId="0" borderId="0" xfId="0" applyNumberFormat="1"/>
    <xf numFmtId="166" fontId="0" fillId="0" borderId="0" xfId="0" applyNumberFormat="1" applyAlignment="1">
      <alignment horizontal="right"/>
    </xf>
    <xf numFmtId="0" fontId="4" fillId="3" borderId="19" xfId="0" applyFont="1" applyFill="1" applyBorder="1"/>
    <xf numFmtId="0" fontId="0" fillId="3" borderId="37" xfId="0" applyFill="1" applyBorder="1"/>
    <xf numFmtId="0" fontId="0" fillId="4" borderId="33" xfId="0" applyFill="1" applyBorder="1"/>
    <xf numFmtId="0" fontId="0" fillId="4" borderId="38" xfId="0" applyFill="1" applyBorder="1"/>
    <xf numFmtId="166" fontId="0" fillId="3" borderId="34" xfId="0" applyNumberFormat="1" applyFill="1" applyBorder="1"/>
    <xf numFmtId="0" fontId="15" fillId="0" borderId="0" xfId="0" applyFont="1" applyBorder="1"/>
    <xf numFmtId="0" fontId="15" fillId="0" borderId="0" xfId="0" applyFont="1" applyFill="1" applyBorder="1"/>
    <xf numFmtId="0" fontId="15" fillId="0" borderId="0" xfId="0" applyFont="1"/>
    <xf numFmtId="0" fontId="15" fillId="0" borderId="3" xfId="0" applyFont="1" applyBorder="1"/>
    <xf numFmtId="0" fontId="0" fillId="3" borderId="39" xfId="0" applyFill="1" applyBorder="1" applyAlignment="1">
      <alignment wrapText="1"/>
    </xf>
    <xf numFmtId="166" fontId="0" fillId="3" borderId="41" xfId="0" applyNumberFormat="1" applyFill="1" applyBorder="1" applyAlignment="1">
      <alignment vertical="top"/>
    </xf>
    <xf numFmtId="0" fontId="0" fillId="3" borderId="33" xfId="0" applyFill="1" applyBorder="1" applyAlignment="1">
      <alignment wrapText="1"/>
    </xf>
    <xf numFmtId="0" fontId="7" fillId="4" borderId="34" xfId="0" applyFont="1" applyFill="1" applyBorder="1"/>
    <xf numFmtId="0" fontId="8" fillId="4" borderId="40" xfId="0" applyFont="1" applyFill="1" applyBorder="1" applyAlignment="1">
      <alignment wrapText="1"/>
    </xf>
    <xf numFmtId="0" fontId="3" fillId="3" borderId="31" xfId="0" applyFont="1" applyFill="1" applyBorder="1" applyAlignment="1">
      <alignment horizontal="center"/>
    </xf>
    <xf numFmtId="0" fontId="3" fillId="4" borderId="28" xfId="0" applyFont="1" applyFill="1" applyBorder="1"/>
    <xf numFmtId="0" fontId="3" fillId="4" borderId="29" xfId="0" applyFont="1" applyFill="1" applyBorder="1"/>
    <xf numFmtId="0" fontId="3" fillId="3" borderId="34" xfId="0" applyFont="1" applyFill="1" applyBorder="1" applyAlignment="1">
      <alignment horizontal="center"/>
    </xf>
    <xf numFmtId="0" fontId="7" fillId="4" borderId="2" xfId="0" applyFont="1" applyFill="1" applyBorder="1"/>
    <xf numFmtId="0" fontId="16" fillId="4" borderId="17" xfId="0" applyFont="1" applyFill="1" applyBorder="1"/>
    <xf numFmtId="0" fontId="0" fillId="0" borderId="5" xfId="0" applyFill="1" applyBorder="1"/>
    <xf numFmtId="0" fontId="0" fillId="0" borderId="25" xfId="0" applyBorder="1"/>
    <xf numFmtId="0" fontId="0" fillId="0" borderId="3" xfId="0" applyFill="1" applyBorder="1" applyAlignment="1">
      <alignment wrapText="1"/>
    </xf>
    <xf numFmtId="0" fontId="15" fillId="0" borderId="3" xfId="0" applyFont="1" applyFill="1" applyBorder="1"/>
    <xf numFmtId="0" fontId="15" fillId="0" borderId="5" xfId="0" applyFont="1" applyBorder="1"/>
    <xf numFmtId="0" fontId="6" fillId="0" borderId="8" xfId="0" applyFont="1" applyBorder="1"/>
    <xf numFmtId="0" fontId="6" fillId="0" borderId="7" xfId="0" applyFont="1" applyBorder="1"/>
    <xf numFmtId="0" fontId="13" fillId="0" borderId="0" xfId="0" applyFont="1"/>
    <xf numFmtId="0" fontId="13" fillId="0" borderId="43" xfId="0" applyFont="1" applyFill="1" applyBorder="1"/>
    <xf numFmtId="0" fontId="6" fillId="0" borderId="0" xfId="0" applyFont="1" applyBorder="1"/>
    <xf numFmtId="0" fontId="17" fillId="3" borderId="0" xfId="0" applyFont="1" applyFill="1" applyBorder="1" applyAlignment="1">
      <alignment vertical="top"/>
    </xf>
    <xf numFmtId="0" fontId="9" fillId="0" borderId="0" xfId="0" applyFont="1" applyBorder="1"/>
    <xf numFmtId="167" fontId="0" fillId="0" borderId="0" xfId="0" applyNumberFormat="1" applyBorder="1"/>
    <xf numFmtId="166" fontId="0" fillId="0" borderId="0" xfId="0" applyNumberFormat="1" applyBorder="1" applyAlignment="1">
      <alignment horizontal="right"/>
    </xf>
    <xf numFmtId="166" fontId="0" fillId="3" borderId="31" xfId="0" applyNumberFormat="1" applyFill="1" applyBorder="1" applyAlignment="1">
      <alignment vertical="top"/>
    </xf>
    <xf numFmtId="0" fontId="16" fillId="4" borderId="7" xfId="0" applyFont="1" applyFill="1" applyBorder="1"/>
    <xf numFmtId="0" fontId="7" fillId="4" borderId="25" xfId="0" applyFont="1" applyFill="1" applyBorder="1"/>
    <xf numFmtId="0" fontId="7" fillId="4" borderId="8" xfId="0" applyFont="1" applyFill="1" applyBorder="1"/>
    <xf numFmtId="166" fontId="0" fillId="3" borderId="44" xfId="0" applyNumberFormat="1" applyFill="1" applyBorder="1" applyAlignment="1">
      <alignment vertical="top"/>
    </xf>
    <xf numFmtId="0" fontId="8" fillId="4" borderId="7" xfId="0" applyFont="1" applyFill="1" applyBorder="1" applyAlignment="1">
      <alignment wrapText="1"/>
    </xf>
    <xf numFmtId="0" fontId="0" fillId="4" borderId="25" xfId="0" applyFill="1" applyBorder="1"/>
    <xf numFmtId="166" fontId="0" fillId="4" borderId="8" xfId="0" applyNumberFormat="1" applyFill="1" applyBorder="1" applyAlignment="1">
      <alignment vertical="top"/>
    </xf>
    <xf numFmtId="0" fontId="15" fillId="3" borderId="33" xfId="0" applyFont="1" applyFill="1" applyBorder="1" applyAlignment="1">
      <alignment wrapText="1"/>
    </xf>
    <xf numFmtId="0" fontId="13" fillId="0" borderId="1" xfId="0" applyFont="1" applyBorder="1"/>
    <xf numFmtId="0" fontId="6" fillId="0" borderId="2" xfId="0" applyFont="1" applyBorder="1"/>
    <xf numFmtId="0" fontId="0" fillId="0" borderId="1" xfId="0" applyFill="1" applyBorder="1" applyAlignment="1">
      <alignment wrapText="1"/>
    </xf>
    <xf numFmtId="0" fontId="15" fillId="3" borderId="35" xfId="0" applyFont="1" applyFill="1" applyBorder="1" applyAlignment="1">
      <alignment wrapText="1"/>
    </xf>
    <xf numFmtId="0" fontId="15" fillId="3" borderId="3" xfId="0" applyFont="1" applyFill="1" applyBorder="1" applyAlignment="1">
      <alignment wrapText="1"/>
    </xf>
    <xf numFmtId="0" fontId="15" fillId="3" borderId="40" xfId="0" applyFont="1" applyFill="1" applyBorder="1" applyAlignment="1">
      <alignment wrapText="1"/>
    </xf>
    <xf numFmtId="0" fontId="4" fillId="4" borderId="42" xfId="0" applyFont="1" applyFill="1" applyBorder="1"/>
    <xf numFmtId="0" fontId="19" fillId="3" borderId="30" xfId="0" applyFont="1" applyFill="1" applyBorder="1"/>
    <xf numFmtId="0" fontId="15" fillId="3" borderId="36" xfId="0" applyFont="1" applyFill="1" applyBorder="1" applyAlignment="1">
      <alignment wrapText="1"/>
    </xf>
    <xf numFmtId="0" fontId="15" fillId="3" borderId="39" xfId="0" applyFont="1" applyFill="1" applyBorder="1" applyAlignment="1">
      <alignment wrapText="1"/>
    </xf>
    <xf numFmtId="0" fontId="0" fillId="0" borderId="29" xfId="0" applyFill="1" applyBorder="1"/>
    <xf numFmtId="9" fontId="6" fillId="4" borderId="6" xfId="0" applyNumberFormat="1" applyFont="1" applyFill="1" applyBorder="1" applyAlignment="1">
      <alignment vertical="top"/>
    </xf>
    <xf numFmtId="0" fontId="0" fillId="3" borderId="45" xfId="0" applyFill="1" applyBorder="1"/>
    <xf numFmtId="0" fontId="20" fillId="3" borderId="0" xfId="0" applyFont="1" applyFill="1"/>
    <xf numFmtId="0" fontId="0" fillId="3" borderId="42" xfId="0" applyFill="1" applyBorder="1" applyAlignment="1">
      <alignment wrapText="1"/>
    </xf>
    <xf numFmtId="0" fontId="3" fillId="4" borderId="16" xfId="0" applyFont="1" applyFill="1" applyBorder="1"/>
    <xf numFmtId="0" fontId="16" fillId="4" borderId="40" xfId="0" applyFont="1" applyFill="1" applyBorder="1"/>
    <xf numFmtId="0" fontId="7" fillId="4" borderId="29" xfId="0" applyFont="1" applyFill="1" applyBorder="1"/>
    <xf numFmtId="0" fontId="15" fillId="4" borderId="9" xfId="0" applyFont="1" applyFill="1" applyBorder="1" applyAlignment="1">
      <alignment horizontal="left"/>
    </xf>
    <xf numFmtId="0" fontId="15" fillId="0" borderId="13" xfId="0" applyFont="1" applyBorder="1"/>
    <xf numFmtId="0" fontId="15" fillId="0" borderId="10" xfId="0" applyFont="1" applyBorder="1"/>
    <xf numFmtId="0" fontId="15" fillId="0" borderId="11" xfId="0" applyFont="1" applyBorder="1" applyAlignment="1">
      <alignment horizontal="left"/>
    </xf>
    <xf numFmtId="0" fontId="15" fillId="0" borderId="14" xfId="0" applyFont="1" applyBorder="1"/>
    <xf numFmtId="0" fontId="15" fillId="4" borderId="11" xfId="0" applyFont="1" applyFill="1" applyBorder="1" applyAlignment="1">
      <alignment horizontal="left"/>
    </xf>
    <xf numFmtId="0" fontId="15" fillId="0" borderId="11" xfId="0" applyFont="1" applyFill="1" applyBorder="1" applyAlignment="1"/>
    <xf numFmtId="0" fontId="15" fillId="0" borderId="11" xfId="0" applyFont="1" applyFill="1" applyBorder="1"/>
    <xf numFmtId="0" fontId="15" fillId="0" borderId="11" xfId="0" applyFont="1" applyBorder="1"/>
    <xf numFmtId="0" fontId="15" fillId="4" borderId="11" xfId="0" applyFont="1" applyFill="1" applyBorder="1"/>
    <xf numFmtId="0" fontId="15" fillId="0" borderId="12" xfId="0" applyFont="1" applyBorder="1"/>
    <xf numFmtId="0" fontId="15" fillId="0" borderId="15" xfId="0" applyFont="1" applyBorder="1"/>
    <xf numFmtId="0" fontId="15" fillId="0" borderId="16" xfId="0" applyFont="1" applyBorder="1"/>
    <xf numFmtId="0" fontId="15" fillId="0" borderId="40" xfId="0" applyFont="1" applyBorder="1" applyAlignment="1">
      <alignment horizontal="left"/>
    </xf>
    <xf numFmtId="0" fontId="15" fillId="0" borderId="29" xfId="0" applyFont="1" applyBorder="1"/>
    <xf numFmtId="0" fontId="0" fillId="3" borderId="13" xfId="0" applyFill="1" applyBorder="1" applyAlignment="1">
      <alignment wrapText="1"/>
    </xf>
    <xf numFmtId="0" fontId="6" fillId="0" borderId="10" xfId="0" applyFont="1" applyFill="1" applyBorder="1" applyAlignment="1">
      <alignment horizontal="right"/>
    </xf>
    <xf numFmtId="166" fontId="0" fillId="3" borderId="44" xfId="0" applyNumberFormat="1" applyFill="1" applyBorder="1"/>
    <xf numFmtId="0" fontId="6" fillId="4" borderId="7" xfId="0" applyFont="1" applyFill="1" applyBorder="1" applyAlignment="1">
      <alignment wrapText="1"/>
    </xf>
    <xf numFmtId="0" fontId="3" fillId="4" borderId="25" xfId="0" applyFont="1" applyFill="1" applyBorder="1"/>
    <xf numFmtId="166" fontId="6" fillId="4" borderId="43" xfId="0" applyNumberFormat="1" applyFont="1" applyFill="1" applyBorder="1" applyAlignment="1">
      <alignment horizontal="right"/>
    </xf>
    <xf numFmtId="0" fontId="2" fillId="4" borderId="42" xfId="0" applyFont="1" applyFill="1" applyBorder="1"/>
    <xf numFmtId="174" fontId="0" fillId="2" borderId="13" xfId="0" applyNumberFormat="1" applyFill="1" applyBorder="1" applyProtection="1">
      <protection locked="0" hidden="1"/>
    </xf>
    <xf numFmtId="174" fontId="0" fillId="2" borderId="0" xfId="0" applyNumberFormat="1" applyFill="1" applyBorder="1" applyProtection="1">
      <protection locked="0" hidden="1"/>
    </xf>
    <xf numFmtId="174" fontId="0" fillId="2" borderId="0" xfId="2" applyNumberFormat="1" applyFont="1" applyFill="1" applyBorder="1" applyProtection="1">
      <protection locked="0" hidden="1"/>
    </xf>
    <xf numFmtId="166" fontId="0" fillId="3" borderId="34" xfId="0" applyNumberFormat="1" applyFill="1" applyBorder="1" applyAlignment="1">
      <alignment horizontal="center"/>
    </xf>
    <xf numFmtId="4" fontId="0" fillId="2" borderId="0" xfId="0" applyNumberFormat="1" applyFill="1" applyBorder="1" applyProtection="1">
      <protection locked="0" hidden="1"/>
    </xf>
    <xf numFmtId="4" fontId="0" fillId="2" borderId="0" xfId="2" applyNumberFormat="1" applyFont="1" applyFill="1" applyBorder="1" applyProtection="1">
      <protection locked="0" hidden="1"/>
    </xf>
    <xf numFmtId="0" fontId="16" fillId="4" borderId="12" xfId="0" applyFont="1" applyFill="1" applyBorder="1"/>
    <xf numFmtId="0" fontId="7" fillId="4" borderId="15" xfId="0" applyFont="1" applyFill="1" applyBorder="1"/>
    <xf numFmtId="0" fontId="7" fillId="4" borderId="31" xfId="0" applyFont="1" applyFill="1" applyBorder="1"/>
    <xf numFmtId="0" fontId="7" fillId="3" borderId="7" xfId="0" applyFont="1" applyFill="1" applyBorder="1"/>
    <xf numFmtId="175" fontId="0" fillId="0" borderId="0" xfId="0" applyNumberFormat="1" applyBorder="1"/>
    <xf numFmtId="176" fontId="0" fillId="2" borderId="0" xfId="0" applyNumberFormat="1" applyFill="1" applyBorder="1" applyProtection="1">
      <protection locked="0" hidden="1"/>
    </xf>
    <xf numFmtId="176" fontId="0" fillId="2" borderId="0" xfId="2" applyNumberFormat="1" applyFont="1" applyFill="1" applyBorder="1" applyProtection="1">
      <protection locked="0" hidden="1"/>
    </xf>
    <xf numFmtId="0" fontId="18" fillId="3" borderId="15" xfId="0" applyFont="1" applyFill="1" applyBorder="1"/>
    <xf numFmtId="0" fontId="4" fillId="4" borderId="33" xfId="0" applyFont="1" applyFill="1" applyBorder="1"/>
    <xf numFmtId="0" fontId="0" fillId="0" borderId="40" xfId="0" applyFill="1" applyBorder="1" applyAlignment="1">
      <alignment horizontal="left"/>
    </xf>
    <xf numFmtId="0" fontId="0" fillId="0" borderId="0" xfId="0" applyFill="1"/>
    <xf numFmtId="0" fontId="0" fillId="0" borderId="9" xfId="0" applyFill="1" applyBorder="1"/>
    <xf numFmtId="0" fontId="0" fillId="0" borderId="13" xfId="0" applyFill="1" applyBorder="1"/>
    <xf numFmtId="0" fontId="0" fillId="0" borderId="10" xfId="0" applyFill="1" applyBorder="1"/>
    <xf numFmtId="0" fontId="0" fillId="0" borderId="11" xfId="0" applyFill="1" applyBorder="1" applyAlignment="1"/>
    <xf numFmtId="0" fontId="0" fillId="0" borderId="0" xfId="0" applyFill="1" applyBorder="1"/>
    <xf numFmtId="0" fontId="0" fillId="0" borderId="14" xfId="0" applyFill="1" applyBorder="1"/>
    <xf numFmtId="0" fontId="0" fillId="0" borderId="11" xfId="0" applyFill="1" applyBorder="1"/>
    <xf numFmtId="0" fontId="0" fillId="0" borderId="0" xfId="0" applyFill="1" applyBorder="1" applyAlignment="1">
      <alignment horizontal="center"/>
    </xf>
    <xf numFmtId="0" fontId="0" fillId="0" borderId="11" xfId="0" applyFill="1" applyBorder="1" applyAlignment="1">
      <alignment wrapText="1"/>
    </xf>
    <xf numFmtId="0" fontId="0" fillId="0" borderId="12" xfId="0" applyFill="1" applyBorder="1" applyAlignment="1"/>
    <xf numFmtId="0" fontId="0" fillId="0" borderId="15" xfId="0" applyFill="1" applyBorder="1"/>
    <xf numFmtId="0" fontId="0" fillId="0" borderId="16" xfId="0" applyFill="1" applyBorder="1"/>
    <xf numFmtId="0" fontId="0" fillId="0" borderId="0" xfId="0" applyFill="1" applyBorder="1" applyAlignment="1"/>
    <xf numFmtId="177" fontId="0" fillId="2" borderId="13" xfId="0" applyNumberFormat="1" applyFill="1" applyBorder="1" applyProtection="1">
      <protection locked="0" hidden="1"/>
    </xf>
    <xf numFmtId="177" fontId="0" fillId="2" borderId="0" xfId="0" applyNumberFormat="1" applyFill="1" applyBorder="1" applyProtection="1">
      <protection locked="0" hidden="1"/>
    </xf>
    <xf numFmtId="177" fontId="0" fillId="2" borderId="0" xfId="2" applyNumberFormat="1" applyFont="1" applyFill="1" applyBorder="1" applyProtection="1">
      <protection locked="0" hidden="1"/>
    </xf>
    <xf numFmtId="0" fontId="0" fillId="0" borderId="29" xfId="0" applyFill="1" applyBorder="1" applyAlignment="1">
      <alignment wrapText="1"/>
    </xf>
    <xf numFmtId="0" fontId="0" fillId="0" borderId="28" xfId="0" applyFill="1" applyBorder="1" applyAlignment="1">
      <alignment wrapText="1"/>
    </xf>
    <xf numFmtId="0" fontId="0" fillId="0" borderId="0" xfId="0" applyFill="1" applyBorder="1" applyAlignment="1">
      <alignment wrapText="1"/>
    </xf>
    <xf numFmtId="166" fontId="0" fillId="3" borderId="31" xfId="0" applyNumberFormat="1" applyFill="1" applyBorder="1"/>
    <xf numFmtId="0" fontId="0" fillId="3" borderId="46" xfId="0" applyFill="1" applyBorder="1"/>
    <xf numFmtId="166" fontId="0" fillId="3" borderId="2" xfId="0" applyNumberFormat="1" applyFill="1" applyBorder="1"/>
    <xf numFmtId="167" fontId="0" fillId="3" borderId="34" xfId="0" applyNumberFormat="1" applyFill="1" applyBorder="1"/>
    <xf numFmtId="167" fontId="0" fillId="3" borderId="41" xfId="0" applyNumberFormat="1" applyFill="1" applyBorder="1"/>
    <xf numFmtId="0" fontId="0" fillId="0" borderId="7" xfId="0" applyBorder="1"/>
    <xf numFmtId="0" fontId="15" fillId="0" borderId="11" xfId="0" applyFont="1" applyBorder="1" applyAlignment="1">
      <alignment horizontal="left" indent="5"/>
    </xf>
    <xf numFmtId="0" fontId="15" fillId="0" borderId="11" xfId="0" applyFont="1" applyBorder="1" applyAlignment="1">
      <alignment horizontal="left" indent="7"/>
    </xf>
    <xf numFmtId="0" fontId="15" fillId="0" borderId="11" xfId="0" applyFont="1" applyBorder="1" applyAlignment="1">
      <alignment horizontal="left" indent="9"/>
    </xf>
    <xf numFmtId="0" fontId="6" fillId="0" borderId="0" xfId="0" applyFont="1" applyBorder="1" applyAlignment="1">
      <alignment wrapText="1"/>
    </xf>
    <xf numFmtId="0" fontId="0" fillId="0" borderId="0" xfId="0" applyBorder="1" applyAlignment="1">
      <alignment wrapText="1"/>
    </xf>
    <xf numFmtId="0" fontId="15" fillId="0" borderId="0" xfId="0" applyFont="1" applyAlignment="1">
      <alignment wrapText="1"/>
    </xf>
    <xf numFmtId="0" fontId="1" fillId="3" borderId="39" xfId="0" applyFont="1" applyFill="1" applyBorder="1" applyAlignment="1">
      <alignment wrapText="1"/>
    </xf>
    <xf numFmtId="0" fontId="8" fillId="4" borderId="1" xfId="0" applyFont="1" applyFill="1" applyBorder="1" applyAlignment="1">
      <alignment wrapText="1"/>
    </xf>
    <xf numFmtId="0" fontId="0" fillId="4" borderId="17" xfId="0" applyFill="1" applyBorder="1"/>
    <xf numFmtId="166" fontId="0" fillId="4" borderId="2" xfId="0" applyNumberFormat="1" applyFill="1" applyBorder="1" applyAlignment="1">
      <alignment vertical="top"/>
    </xf>
    <xf numFmtId="0" fontId="0" fillId="5" borderId="29" xfId="0" applyFill="1" applyBorder="1"/>
    <xf numFmtId="0" fontId="0" fillId="5" borderId="0" xfId="0" applyFill="1" applyBorder="1"/>
    <xf numFmtId="0" fontId="0" fillId="5" borderId="15" xfId="0" applyFill="1" applyBorder="1"/>
    <xf numFmtId="0" fontId="0" fillId="5" borderId="35" xfId="0" applyFill="1" applyBorder="1" applyAlignment="1">
      <alignment wrapText="1"/>
    </xf>
    <xf numFmtId="0" fontId="0" fillId="5" borderId="27" xfId="0" applyFill="1" applyBorder="1"/>
    <xf numFmtId="166" fontId="0" fillId="5" borderId="26" xfId="0" applyNumberFormat="1" applyFill="1" applyBorder="1" applyAlignment="1">
      <alignment vertical="top"/>
    </xf>
    <xf numFmtId="0" fontId="0" fillId="3" borderId="30" xfId="0" applyFill="1" applyBorder="1" applyAlignment="1">
      <alignment wrapText="1"/>
    </xf>
    <xf numFmtId="0" fontId="0" fillId="5" borderId="3" xfId="0" applyFill="1" applyBorder="1" applyAlignment="1">
      <alignment wrapText="1"/>
    </xf>
    <xf numFmtId="166" fontId="0" fillId="5" borderId="4" xfId="0" applyNumberFormat="1" applyFill="1" applyBorder="1" applyAlignment="1">
      <alignment vertical="top"/>
    </xf>
    <xf numFmtId="0" fontId="0" fillId="5" borderId="36" xfId="0" applyFill="1" applyBorder="1" applyAlignment="1">
      <alignment wrapText="1"/>
    </xf>
    <xf numFmtId="166" fontId="0" fillId="5" borderId="34" xfId="0" applyNumberFormat="1" applyFill="1" applyBorder="1" applyAlignment="1">
      <alignment vertical="top"/>
    </xf>
    <xf numFmtId="0" fontId="0" fillId="5" borderId="30" xfId="0" applyFill="1" applyBorder="1" applyAlignment="1">
      <alignment wrapText="1"/>
    </xf>
    <xf numFmtId="166" fontId="0" fillId="5" borderId="31" xfId="0" applyNumberFormat="1" applyFill="1" applyBorder="1" applyAlignment="1">
      <alignment vertical="top"/>
    </xf>
    <xf numFmtId="0" fontId="0" fillId="3" borderId="32" xfId="0" applyFill="1" applyBorder="1" applyAlignment="1">
      <alignment wrapText="1"/>
    </xf>
    <xf numFmtId="0" fontId="0" fillId="3" borderId="3" xfId="0" applyFill="1" applyBorder="1" applyAlignment="1">
      <alignment horizontal="left" wrapText="1" indent="2"/>
    </xf>
    <xf numFmtId="0" fontId="15" fillId="0" borderId="11" xfId="0" applyFont="1" applyBorder="1" applyAlignment="1">
      <alignment wrapText="1"/>
    </xf>
    <xf numFmtId="166" fontId="9" fillId="3" borderId="0" xfId="0" applyNumberFormat="1" applyFont="1" applyFill="1"/>
    <xf numFmtId="166" fontId="0" fillId="3" borderId="0" xfId="0" applyNumberFormat="1" applyFill="1"/>
  </cellXfs>
  <cellStyles count="3">
    <cellStyle name="Comma" xfId="1" builtinId="3"/>
    <cellStyle name="Currency" xfId="2"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2"/>
  <dimension ref="A6:J31"/>
  <sheetViews>
    <sheetView topLeftCell="A7" workbookViewId="0">
      <selection activeCell="D13" sqref="D13"/>
    </sheetView>
  </sheetViews>
  <sheetFormatPr defaultRowHeight="15"/>
  <cols>
    <col min="1" max="1" width="26.140625" style="36" customWidth="1"/>
    <col min="2" max="2" width="35.42578125" style="36" customWidth="1"/>
    <col min="3" max="8" width="9.140625" style="36"/>
    <col min="9" max="9" width="2.7109375" style="36" customWidth="1"/>
    <col min="10" max="10" width="14.85546875" style="36" customWidth="1"/>
    <col min="11" max="16384" width="9.140625" style="36"/>
  </cols>
  <sheetData>
    <row r="6" spans="1:10">
      <c r="A6" s="50"/>
      <c r="B6" s="50"/>
    </row>
    <row r="7" spans="1:10">
      <c r="A7" s="52" t="s">
        <v>35</v>
      </c>
      <c r="B7" s="53">
        <v>1</v>
      </c>
      <c r="H7" s="37" t="s">
        <v>45</v>
      </c>
      <c r="I7" s="37"/>
      <c r="J7" s="38">
        <v>0.24</v>
      </c>
    </row>
    <row r="8" spans="1:10">
      <c r="A8" s="52" t="s">
        <v>42</v>
      </c>
      <c r="B8" s="51">
        <v>1</v>
      </c>
      <c r="H8" s="37" t="s">
        <v>46</v>
      </c>
      <c r="I8" s="37"/>
      <c r="J8" s="36">
        <v>0</v>
      </c>
    </row>
    <row r="9" spans="1:10" ht="15.75" thickBot="1">
      <c r="H9" s="37" t="s">
        <v>47</v>
      </c>
      <c r="I9" s="37"/>
      <c r="J9" s="39">
        <f>B18*J7</f>
        <v>12000</v>
      </c>
    </row>
    <row r="10" spans="1:10">
      <c r="A10" s="40" t="s">
        <v>36</v>
      </c>
      <c r="B10" s="41"/>
      <c r="H10" s="37" t="s">
        <v>51</v>
      </c>
      <c r="I10" s="37"/>
      <c r="J10" s="39">
        <f>J9/4</f>
        <v>3000</v>
      </c>
    </row>
    <row r="11" spans="1:10">
      <c r="A11" s="42" t="s">
        <v>37</v>
      </c>
      <c r="B11" s="43"/>
      <c r="H11" s="37" t="s">
        <v>52</v>
      </c>
      <c r="I11" s="37"/>
      <c r="J11" s="39">
        <f>J9/12</f>
        <v>1000</v>
      </c>
    </row>
    <row r="12" spans="1:10" ht="15.75" thickBot="1">
      <c r="A12" s="44" t="s">
        <v>38</v>
      </c>
      <c r="B12" s="45"/>
    </row>
    <row r="13" spans="1:10" ht="15.75" thickBot="1">
      <c r="A13" s="63"/>
    </row>
    <row r="14" spans="1:10" ht="15.75" thickBot="1">
      <c r="A14" s="54" t="s">
        <v>39</v>
      </c>
      <c r="B14" s="68"/>
    </row>
    <row r="15" spans="1:10">
      <c r="A15" s="66" t="s">
        <v>40</v>
      </c>
      <c r="B15" s="67">
        <f>'TW CMS'!C52</f>
        <v>50000</v>
      </c>
    </row>
    <row r="16" spans="1:10" ht="15.75" thickBot="1">
      <c r="A16" s="64" t="s">
        <v>41</v>
      </c>
      <c r="B16" s="65"/>
      <c r="H16" s="47" t="s">
        <v>61</v>
      </c>
      <c r="I16" s="69">
        <v>5</v>
      </c>
      <c r="J16" s="46" t="s">
        <v>53</v>
      </c>
    </row>
    <row r="17" spans="1:10" ht="15.75" thickBot="1"/>
    <row r="18" spans="1:10" ht="15.75" thickBot="1">
      <c r="A18" s="54" t="s">
        <v>43</v>
      </c>
      <c r="B18" s="55">
        <f>B7*B8*SUM(B15:B16)</f>
        <v>50000</v>
      </c>
      <c r="H18" s="48" t="s">
        <v>54</v>
      </c>
      <c r="I18" s="48"/>
      <c r="J18" s="39">
        <f>B18</f>
        <v>50000</v>
      </c>
    </row>
    <row r="19" spans="1:10" ht="15.75" thickBot="1">
      <c r="A19" s="61"/>
      <c r="B19" s="62"/>
      <c r="H19" s="48" t="s">
        <v>60</v>
      </c>
      <c r="I19" s="48"/>
      <c r="J19" s="36">
        <f>SUM(B21:B22)</f>
        <v>0</v>
      </c>
    </row>
    <row r="20" spans="1:10" ht="15.75" thickBot="1">
      <c r="A20" s="54" t="s">
        <v>58</v>
      </c>
      <c r="B20" s="55"/>
      <c r="H20" s="48" t="s">
        <v>55</v>
      </c>
      <c r="I20" s="48"/>
      <c r="J20" s="39">
        <f>((I16*12)-J8)*J11</f>
        <v>60000</v>
      </c>
    </row>
    <row r="21" spans="1:10">
      <c r="A21" s="56" t="s">
        <v>59</v>
      </c>
      <c r="B21" s="57"/>
      <c r="H21" s="48" t="s">
        <v>56</v>
      </c>
      <c r="I21" s="48"/>
    </row>
    <row r="22" spans="1:10" ht="15.75" thickBot="1">
      <c r="A22" s="58" t="s">
        <v>44</v>
      </c>
      <c r="B22" s="59"/>
      <c r="H22" s="47" t="s">
        <v>57</v>
      </c>
      <c r="I22" s="47"/>
      <c r="J22" s="39">
        <f>SUM(J18:J21)</f>
        <v>110000</v>
      </c>
    </row>
    <row r="23" spans="1:10" ht="15.75" thickBot="1">
      <c r="A23" s="60"/>
      <c r="B23" s="60"/>
    </row>
    <row r="24" spans="1:10" ht="15.75" thickBot="1">
      <c r="A24" s="54" t="s">
        <v>57</v>
      </c>
      <c r="B24" s="55">
        <f>SUM(B18,B21,B22)</f>
        <v>50000</v>
      </c>
      <c r="C24" s="60"/>
    </row>
    <row r="31" spans="1:10">
      <c r="A31" s="49"/>
      <c r="B31" s="39"/>
    </row>
  </sheetData>
  <pageMargins left="0.7" right="0.7" top="0.75" bottom="0.75" header="0.3" footer="0.3"/>
  <pageSetup orientation="portrait" verticalDpi="0" r:id="rId1"/>
  <legacyDrawing r:id="rId2"/>
  <oleObjects>
    <oleObject shapeId="4100" r:id="rId3"/>
  </oleObjects>
</worksheet>
</file>

<file path=xl/worksheets/sheet2.xml><?xml version="1.0" encoding="utf-8"?>
<worksheet xmlns="http://schemas.openxmlformats.org/spreadsheetml/2006/main" xmlns:r="http://schemas.openxmlformats.org/officeDocument/2006/relationships">
  <sheetPr codeName="Sheet3"/>
  <dimension ref="A1:F52"/>
  <sheetViews>
    <sheetView topLeftCell="A17" workbookViewId="0">
      <selection activeCell="D46" sqref="D46"/>
    </sheetView>
  </sheetViews>
  <sheetFormatPr defaultRowHeight="15"/>
  <cols>
    <col min="1" max="1" width="39.5703125" style="36" customWidth="1"/>
    <col min="2" max="2" width="11.7109375" style="36" customWidth="1"/>
    <col min="3" max="3" width="10.42578125" style="36" customWidth="1"/>
    <col min="4" max="4" width="14.85546875" style="36" customWidth="1"/>
    <col min="5" max="5" width="15" style="36" customWidth="1"/>
    <col min="6" max="16384" width="9.140625" style="36"/>
  </cols>
  <sheetData>
    <row r="1" spans="1:6" ht="16.5" thickBot="1">
      <c r="A1" s="70" t="s">
        <v>225</v>
      </c>
      <c r="B1" s="59"/>
    </row>
    <row r="2" spans="1:6" ht="15.75" thickBot="1">
      <c r="A2" s="71"/>
      <c r="B2" s="71"/>
      <c r="C2" s="71"/>
    </row>
    <row r="3" spans="1:6" ht="16.5" thickBot="1">
      <c r="A3" s="72" t="s">
        <v>4</v>
      </c>
      <c r="B3" s="71"/>
      <c r="C3" s="59"/>
    </row>
    <row r="4" spans="1:6" ht="15.75" thickBot="1">
      <c r="A4" s="73" t="s">
        <v>0</v>
      </c>
      <c r="B4" s="73" t="s">
        <v>1</v>
      </c>
      <c r="C4" s="74" t="s">
        <v>2</v>
      </c>
      <c r="D4" s="89"/>
      <c r="E4" s="60"/>
    </row>
    <row r="5" spans="1:6" ht="15" customHeight="1">
      <c r="A5" s="105" t="str">
        <f>'TWCMS Formulae'!A8</f>
        <v>Issuer's Functions (Shadow Account)</v>
      </c>
      <c r="B5" s="96"/>
      <c r="C5" s="97">
        <f>'TWCMS Formulae'!E8</f>
        <v>0</v>
      </c>
      <c r="D5" s="95" t="str">
        <f>IF(AND('TWCMS Formulae'!B8=TRUE, 'TWCMS Formulae'!B9=TRUE), "Provide either Shadow Account or Retail Configuration option!!!", "")</f>
        <v/>
      </c>
      <c r="E5" s="90"/>
    </row>
    <row r="6" spans="1:6" ht="29.25" customHeight="1">
      <c r="A6" s="106" t="str">
        <f>'TWCMS Formulae'!A9</f>
        <v>Issuer's Functions (Retail Configuration)</v>
      </c>
      <c r="B6" s="52"/>
      <c r="C6" s="98">
        <f>'TWCMS Formulae'!E9</f>
        <v>0</v>
      </c>
      <c r="D6" s="95"/>
      <c r="E6" s="90"/>
    </row>
    <row r="7" spans="1:6">
      <c r="A7" s="106" t="str">
        <f>'TWCMS Formulae'!A15</f>
        <v>Acquirer's Functions - Cash Management</v>
      </c>
      <c r="B7" s="52"/>
      <c r="C7" s="98">
        <f>'TWCMS Formulae'!E15</f>
        <v>0</v>
      </c>
      <c r="D7" s="90"/>
      <c r="E7" s="90"/>
      <c r="F7" s="60"/>
    </row>
    <row r="8" spans="1:6" ht="30">
      <c r="A8" s="106" t="str">
        <f>'TWCMS Formulae'!A16</f>
        <v>Acquirer's functions - Merchant Management</v>
      </c>
      <c r="B8" s="52"/>
      <c r="C8" s="98">
        <f>'TWCMS Formulae'!E16</f>
        <v>23000</v>
      </c>
      <c r="D8" s="90"/>
      <c r="E8" s="90"/>
      <c r="F8" s="60"/>
    </row>
    <row r="9" spans="1:6">
      <c r="A9" s="106" t="str">
        <f>'TWCMS Formulae'!A10</f>
        <v>Batch Processor</v>
      </c>
      <c r="B9" s="52"/>
      <c r="C9" s="98">
        <f>'TWCMS Formulae'!E10</f>
        <v>0</v>
      </c>
      <c r="E9" s="60"/>
    </row>
    <row r="10" spans="1:6">
      <c r="A10" s="106" t="str">
        <f>'TWCMS Formulae'!A11</f>
        <v>Macro Processor</v>
      </c>
      <c r="B10" s="99"/>
      <c r="C10" s="98">
        <f>'TWCMS Formulae'!E11</f>
        <v>0</v>
      </c>
    </row>
    <row r="11" spans="1:6">
      <c r="A11" s="106" t="str">
        <f>'TWCMS Formulae'!A36</f>
        <v>Price per financial scheme:</v>
      </c>
      <c r="B11" s="100">
        <v>0</v>
      </c>
      <c r="C11" s="98">
        <f>B11*('TWCMS Formulae'!B36)</f>
        <v>0</v>
      </c>
      <c r="D11" s="95" t="str">
        <f>IF(AND(C11&gt;0,C6=0),"Financial schemes can be chosen only if retail configuration is chosen!","")</f>
        <v/>
      </c>
    </row>
    <row r="12" spans="1:6">
      <c r="A12" s="106" t="str">
        <f>'TWCMS Formulae'!A12</f>
        <v>Revolving Credit module (RCM)</v>
      </c>
      <c r="B12" s="50"/>
      <c r="C12" s="98">
        <f>'TWCMS Formulae'!E12</f>
        <v>0</v>
      </c>
      <c r="D12" s="60"/>
      <c r="E12" s="60"/>
    </row>
    <row r="13" spans="1:6">
      <c r="A13" s="106" t="str">
        <f>'TWCMS Formulae'!A13</f>
        <v>RCM Installments</v>
      </c>
      <c r="B13" s="52"/>
      <c r="C13" s="98">
        <f>'TWCMS Formulae'!E13</f>
        <v>0</v>
      </c>
      <c r="D13" s="91" t="str">
        <f>IF(AND(OR('TWCMS Formulae'!B13=TRUE, 'TWCMS Formulae'!B14=TRUE), 'TWCMS Formulae'!B12=FALSE), "Installment and Corporate cards options are provided with Revolving Credit Module only!!!", "")</f>
        <v/>
      </c>
      <c r="E13" s="91"/>
      <c r="F13" s="60"/>
    </row>
    <row r="14" spans="1:6">
      <c r="A14" s="107" t="str">
        <f>'TWCMS Formulae'!A14</f>
        <v>RCM Corporate Cards</v>
      </c>
      <c r="B14" s="60"/>
      <c r="C14" s="93">
        <f>'TWCMS Formulae'!E14</f>
        <v>0</v>
      </c>
      <c r="D14" s="91"/>
      <c r="E14" s="91"/>
      <c r="F14" s="60"/>
    </row>
    <row r="15" spans="1:6">
      <c r="A15" s="106" t="str">
        <f>'TWCMS Formulae'!A17</f>
        <v>EMV support</v>
      </c>
      <c r="B15" s="52"/>
      <c r="C15" s="98">
        <f>'TWCMS Formulae'!E17</f>
        <v>0</v>
      </c>
    </row>
    <row r="16" spans="1:6">
      <c r="A16" s="107" t="str">
        <f>'TWCMS Formulae'!A18</f>
        <v>Loyalty support</v>
      </c>
      <c r="B16" s="60"/>
      <c r="C16" s="93">
        <f>'TWCMS Formulae'!E18</f>
        <v>0</v>
      </c>
    </row>
    <row r="17" spans="1:4">
      <c r="A17" s="106" t="str">
        <f>'TWCMS Formulae'!A21</f>
        <v>Workflow</v>
      </c>
      <c r="B17" s="52"/>
      <c r="C17" s="98">
        <f>'TWCMS Formulae'!E21</f>
        <v>0</v>
      </c>
    </row>
    <row r="18" spans="1:4">
      <c r="A18" s="107" t="str">
        <f>'TWCMS Formulae'!A22</f>
        <v>Peer-to-Peer payments</v>
      </c>
      <c r="B18" s="60"/>
      <c r="C18" s="93">
        <f>'TWCMS Formulae'!E22</f>
        <v>0</v>
      </c>
    </row>
    <row r="19" spans="1:4">
      <c r="A19" s="106" t="str">
        <f>'TWCMS Formulae'!A23</f>
        <v>Visa</v>
      </c>
      <c r="B19" s="52"/>
      <c r="C19" s="98">
        <f>'TWCMS Formulae'!E23</f>
        <v>0</v>
      </c>
    </row>
    <row r="20" spans="1:4">
      <c r="A20" s="107" t="str">
        <f>'TWCMS Formulae'!A24</f>
        <v>MC</v>
      </c>
      <c r="B20" s="60"/>
      <c r="C20" s="93">
        <f>'TWCMS Formulae'!E24</f>
        <v>0</v>
      </c>
    </row>
    <row r="21" spans="1:4">
      <c r="A21" s="106" t="str">
        <f>'TWCMS Formulae'!A25</f>
        <v>Diners</v>
      </c>
      <c r="B21" s="52"/>
      <c r="C21" s="98">
        <f>'TWCMS Formulae'!E25</f>
        <v>0</v>
      </c>
    </row>
    <row r="22" spans="1:4">
      <c r="A22" s="107" t="str">
        <f>'TWCMS Formulae'!A26</f>
        <v>AmEx</v>
      </c>
      <c r="B22" s="60"/>
      <c r="C22" s="93">
        <f>'TWCMS Formulae'!E26</f>
        <v>0</v>
      </c>
    </row>
    <row r="23" spans="1:4">
      <c r="A23" s="106" t="str">
        <f>'TWCMS Formulae'!A27</f>
        <v>JCB</v>
      </c>
      <c r="B23" s="52"/>
      <c r="C23" s="98">
        <f>'TWCMS Formulae'!E27</f>
        <v>0</v>
      </c>
    </row>
    <row r="24" spans="1:4">
      <c r="A24" s="107" t="str">
        <f>'TWCMS Formulae'!A28</f>
        <v>Dina Card (Serbia)</v>
      </c>
      <c r="B24" s="60"/>
      <c r="C24" s="93">
        <f>'TWCMS Formulae'!E28</f>
        <v>0</v>
      </c>
    </row>
    <row r="25" spans="1:4">
      <c r="A25" s="106" t="str">
        <f>'TWCMS Formulae'!A29</f>
        <v>Union Card (Russia)</v>
      </c>
      <c r="B25" s="52"/>
      <c r="C25" s="98">
        <f>'TWCMS Formulae'!E29</f>
        <v>0</v>
      </c>
    </row>
    <row r="26" spans="1:4" ht="30">
      <c r="A26" s="106" t="str">
        <f>'TWCMS Formulae'!A30</f>
        <v>Bank Messaging System (core, BMS operator's workplaces)</v>
      </c>
      <c r="B26" s="52"/>
      <c r="C26" s="98">
        <f>'TWCMS Formulae'!E30</f>
        <v>0</v>
      </c>
    </row>
    <row r="27" spans="1:4" ht="15.75" thickBot="1">
      <c r="A27" s="108" t="str">
        <f>'TWCMS Formulae'!A34</f>
        <v>Customer Letter Processing</v>
      </c>
      <c r="B27" s="71"/>
      <c r="C27" s="92">
        <f>'TWCMS Formulae'!E34</f>
        <v>0</v>
      </c>
    </row>
    <row r="28" spans="1:4" ht="15.75" thickBot="1">
      <c r="A28" s="75"/>
      <c r="B28" s="71"/>
      <c r="C28" s="76"/>
      <c r="D28" s="60"/>
    </row>
    <row r="29" spans="1:4" ht="16.5" thickBot="1">
      <c r="A29" s="77" t="s">
        <v>21</v>
      </c>
      <c r="B29" s="78"/>
      <c r="C29" s="68"/>
    </row>
    <row r="30" spans="1:4" ht="15.75" thickBot="1">
      <c r="A30" s="73" t="s">
        <v>0</v>
      </c>
      <c r="B30" s="73" t="s">
        <v>1</v>
      </c>
      <c r="C30" s="74" t="s">
        <v>2</v>
      </c>
    </row>
    <row r="31" spans="1:4">
      <c r="A31" s="96" t="str">
        <f>'TWCMS Formulae'!A31</f>
        <v>FIMI to TranzWare Online</v>
      </c>
      <c r="B31" s="96"/>
      <c r="C31" s="239">
        <f>'TWCMS Formulae'!E31</f>
        <v>6000</v>
      </c>
    </row>
    <row r="32" spans="1:4">
      <c r="A32" s="52" t="s">
        <v>230</v>
      </c>
      <c r="B32" s="52"/>
      <c r="C32" s="122">
        <f>'TWCMS Formulae'!E32</f>
        <v>0</v>
      </c>
    </row>
    <row r="33" spans="1:4">
      <c r="A33" s="50" t="s">
        <v>231</v>
      </c>
      <c r="B33" s="50"/>
      <c r="C33" s="237">
        <f>'TWCMS Formulae'!E33</f>
        <v>0</v>
      </c>
    </row>
    <row r="34" spans="1:4" ht="15.75" thickBot="1">
      <c r="A34" s="71"/>
      <c r="B34" s="71"/>
      <c r="C34" s="71"/>
      <c r="D34" s="60"/>
    </row>
    <row r="35" spans="1:4" ht="16.5" thickBot="1">
      <c r="A35" s="77" t="s">
        <v>9</v>
      </c>
      <c r="B35" s="78"/>
      <c r="C35" s="68"/>
    </row>
    <row r="36" spans="1:4">
      <c r="A36" s="103" t="s">
        <v>0</v>
      </c>
      <c r="B36" s="79" t="s">
        <v>1</v>
      </c>
      <c r="C36" s="80" t="s">
        <v>2</v>
      </c>
    </row>
    <row r="37" spans="1:4">
      <c r="A37" s="104" t="str">
        <f>'TWCMS Formulae'!A19</f>
        <v>Data Dictionary specification</v>
      </c>
      <c r="B37" s="52"/>
      <c r="C37" s="240">
        <f>'TWCMS Formulae'!E19</f>
        <v>6000</v>
      </c>
    </row>
    <row r="38" spans="1:4" ht="15.75" thickBot="1">
      <c r="A38" s="64" t="str">
        <f>'TWCMS Formulae'!A20</f>
        <v>Extract &amp; refresh specification</v>
      </c>
      <c r="B38" s="238"/>
      <c r="C38" s="241">
        <f>'TWCMS Formulae'!E20</f>
        <v>0</v>
      </c>
    </row>
    <row r="39" spans="1:4" ht="15.75" thickBot="1">
      <c r="A39" s="71"/>
      <c r="B39" s="71"/>
      <c r="C39" s="71"/>
      <c r="D39" s="60"/>
    </row>
    <row r="40" spans="1:4" ht="15.75" thickBot="1">
      <c r="A40" s="94" t="s">
        <v>63</v>
      </c>
      <c r="B40" s="78"/>
      <c r="C40" s="85">
        <f>SUM(C5:C27,C31:C33,C37:C38)</f>
        <v>35000</v>
      </c>
    </row>
    <row r="41" spans="1:4" ht="15.75" thickBot="1">
      <c r="A41" s="82"/>
      <c r="B41" s="71"/>
      <c r="C41" s="83"/>
      <c r="D41" s="60"/>
    </row>
    <row r="42" spans="1:4" ht="16.5" thickBot="1">
      <c r="A42" s="77" t="s">
        <v>3</v>
      </c>
      <c r="B42" s="78"/>
      <c r="C42" s="68"/>
    </row>
    <row r="43" spans="1:4" ht="15.75" thickBot="1">
      <c r="A43" s="112" t="s">
        <v>0</v>
      </c>
      <c r="B43" s="112" t="s">
        <v>1</v>
      </c>
      <c r="C43" s="113" t="s">
        <v>2</v>
      </c>
    </row>
    <row r="44" spans="1:4">
      <c r="A44" s="118" t="s">
        <v>77</v>
      </c>
      <c r="B44" s="100">
        <v>0</v>
      </c>
      <c r="C44" s="114" t="s">
        <v>49</v>
      </c>
    </row>
    <row r="45" spans="1:4">
      <c r="A45" s="42" t="s">
        <v>48</v>
      </c>
      <c r="B45" s="100">
        <v>0</v>
      </c>
      <c r="C45" s="122">
        <f>'TWCMS Formulae'!E40</f>
        <v>0</v>
      </c>
    </row>
    <row r="46" spans="1:4">
      <c r="A46" s="42" t="s">
        <v>78</v>
      </c>
      <c r="B46" s="120"/>
      <c r="C46" s="115" t="s">
        <v>49</v>
      </c>
    </row>
    <row r="47" spans="1:4" ht="15.75" thickBot="1">
      <c r="A47" s="119" t="s">
        <v>79</v>
      </c>
      <c r="B47" s="121">
        <v>80</v>
      </c>
      <c r="C47" s="65">
        <f>'TWCMS Formulae'!E58</f>
        <v>9000</v>
      </c>
    </row>
    <row r="48" spans="1:4" ht="15.75" thickBot="1">
      <c r="A48" s="82"/>
      <c r="B48" s="71"/>
      <c r="C48" s="83"/>
      <c r="D48" s="60"/>
    </row>
    <row r="49" spans="1:5" ht="15.75" thickBot="1">
      <c r="A49" s="84" t="s">
        <v>64</v>
      </c>
      <c r="B49" s="78"/>
      <c r="C49" s="85"/>
      <c r="D49" s="60"/>
    </row>
    <row r="50" spans="1:5">
      <c r="A50" s="101" t="s">
        <v>62</v>
      </c>
      <c r="B50" s="96"/>
      <c r="C50" s="102">
        <f>MAX(SUM(C40,C45:C47),'TWCMS Formulae'!B2)</f>
        <v>50000</v>
      </c>
      <c r="D50" s="95" t="str">
        <f>IF((C47+C45+C40)&lt;'TWCMS Formulae'!B2,"Selected configuration's value is below minimum price! Minimum price is set.","")</f>
        <v>Selected configuration's value is below minimum price! Minimum price is set.</v>
      </c>
    </row>
    <row r="51" spans="1:5" ht="45.75" thickBot="1">
      <c r="A51" s="81" t="s">
        <v>120</v>
      </c>
      <c r="B51" s="71"/>
      <c r="C51" s="86">
        <v>0</v>
      </c>
      <c r="E51" s="60"/>
    </row>
    <row r="52" spans="1:5" ht="15.75" thickBot="1">
      <c r="A52" s="81" t="s">
        <v>50</v>
      </c>
      <c r="B52" s="87"/>
      <c r="C52" s="88">
        <f>C50-(C50*C51)</f>
        <v>50000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sheetPr codeName="Sheet4"/>
  <dimension ref="A2:N73"/>
  <sheetViews>
    <sheetView workbookViewId="0">
      <pane ySplit="6" topLeftCell="A7" activePane="bottomLeft" state="frozen"/>
      <selection pane="bottomLeft" activeCell="E16" sqref="E16"/>
    </sheetView>
  </sheetViews>
  <sheetFormatPr defaultRowHeight="15"/>
  <cols>
    <col min="1" max="1" width="43" customWidth="1"/>
    <col min="2" max="2" width="14.7109375" customWidth="1"/>
    <col min="3" max="3" width="16.140625" customWidth="1"/>
    <col min="4" max="4" width="15.42578125" customWidth="1"/>
    <col min="5" max="5" width="13.7109375" customWidth="1"/>
    <col min="6" max="6" width="19" customWidth="1"/>
    <col min="7" max="7" width="21.42578125" customWidth="1"/>
    <col min="8" max="8" width="11" customWidth="1"/>
    <col min="9" max="9" width="10.7109375" customWidth="1"/>
    <col min="11" max="11" width="15.42578125" customWidth="1"/>
    <col min="12" max="12" width="10" bestFit="1" customWidth="1"/>
    <col min="13" max="13" width="14.140625" customWidth="1"/>
  </cols>
  <sheetData>
    <row r="2" spans="1:11">
      <c r="A2" t="s">
        <v>221</v>
      </c>
      <c r="B2" s="10">
        <v>50000</v>
      </c>
    </row>
    <row r="3" spans="1:11">
      <c r="A3" t="s">
        <v>222</v>
      </c>
      <c r="B3" s="10">
        <v>200000</v>
      </c>
    </row>
    <row r="4" spans="1:11">
      <c r="A4" t="s">
        <v>223</v>
      </c>
      <c r="B4">
        <f>SUM(F8:F34)</f>
        <v>179</v>
      </c>
    </row>
    <row r="6" spans="1:11">
      <c r="A6" s="216" t="s">
        <v>226</v>
      </c>
      <c r="B6" s="171" t="b">
        <v>1</v>
      </c>
      <c r="C6" s="234" t="s">
        <v>227</v>
      </c>
      <c r="D6" s="234" t="s">
        <v>228</v>
      </c>
      <c r="E6" s="235" t="s">
        <v>217</v>
      </c>
      <c r="F6" s="236" t="s">
        <v>224</v>
      </c>
      <c r="G6" s="236" t="s">
        <v>229</v>
      </c>
    </row>
    <row r="7" spans="1:11">
      <c r="A7" s="218"/>
      <c r="B7" s="219"/>
      <c r="C7" s="219"/>
      <c r="D7" s="219"/>
      <c r="E7" s="220"/>
      <c r="F7" s="217"/>
      <c r="G7" s="217"/>
    </row>
    <row r="8" spans="1:11">
      <c r="A8" s="221" t="s">
        <v>67</v>
      </c>
      <c r="B8" s="222" t="b">
        <v>0</v>
      </c>
      <c r="C8" s="222">
        <f t="shared" ref="C8:C31" si="0">ROUNDUP(IF(AND(B8=TRUE, $B$6=FALSE), IF(G8=0,F8/$B$4*$B$3*2,G8), 0),-3)</f>
        <v>0</v>
      </c>
      <c r="D8" s="222">
        <f t="shared" ref="D8:D31" si="1">ROUNDUP(IF(AND(B8=TRUE, $B$6=TRUE), F8/$B$4*$B$3, 0),-3)</f>
        <v>0</v>
      </c>
      <c r="E8" s="223">
        <f>SUM(C8:D8)</f>
        <v>0</v>
      </c>
      <c r="F8" s="217">
        <v>10</v>
      </c>
      <c r="G8" s="217"/>
    </row>
    <row r="9" spans="1:11">
      <c r="A9" s="221" t="s">
        <v>68</v>
      </c>
      <c r="B9" s="222" t="b">
        <v>0</v>
      </c>
      <c r="C9" s="222">
        <f t="shared" si="0"/>
        <v>0</v>
      </c>
      <c r="D9" s="222">
        <f t="shared" si="1"/>
        <v>0</v>
      </c>
      <c r="E9" s="223">
        <f t="shared" ref="E9:E34" si="2">SUM(C9:D9)</f>
        <v>0</v>
      </c>
      <c r="F9" s="217">
        <v>10</v>
      </c>
      <c r="G9" s="217"/>
    </row>
    <row r="10" spans="1:11">
      <c r="A10" s="224" t="s">
        <v>5</v>
      </c>
      <c r="B10" s="222" t="b">
        <v>0</v>
      </c>
      <c r="C10" s="222">
        <f t="shared" si="0"/>
        <v>0</v>
      </c>
      <c r="D10" s="222">
        <f t="shared" si="1"/>
        <v>0</v>
      </c>
      <c r="E10" s="223">
        <f t="shared" si="2"/>
        <v>0</v>
      </c>
      <c r="F10" s="217">
        <v>5</v>
      </c>
      <c r="G10" s="217"/>
    </row>
    <row r="11" spans="1:11">
      <c r="A11" s="224" t="s">
        <v>6</v>
      </c>
      <c r="B11" s="222" t="b">
        <v>0</v>
      </c>
      <c r="C11" s="222">
        <f t="shared" si="0"/>
        <v>0</v>
      </c>
      <c r="D11" s="222">
        <f t="shared" si="1"/>
        <v>0</v>
      </c>
      <c r="E11" s="223">
        <f t="shared" si="2"/>
        <v>0</v>
      </c>
      <c r="F11" s="217">
        <v>2</v>
      </c>
      <c r="G11" s="217"/>
    </row>
    <row r="12" spans="1:11">
      <c r="A12" s="221" t="s">
        <v>71</v>
      </c>
      <c r="B12" s="222" t="b">
        <v>0</v>
      </c>
      <c r="C12" s="222">
        <f t="shared" si="0"/>
        <v>0</v>
      </c>
      <c r="D12" s="222">
        <f t="shared" si="1"/>
        <v>0</v>
      </c>
      <c r="E12" s="223">
        <f t="shared" si="2"/>
        <v>0</v>
      </c>
      <c r="F12" s="217">
        <v>10</v>
      </c>
      <c r="G12" s="217">
        <v>20000</v>
      </c>
    </row>
    <row r="13" spans="1:11">
      <c r="A13" s="221" t="s">
        <v>69</v>
      </c>
      <c r="B13" s="222" t="b">
        <v>0</v>
      </c>
      <c r="C13" s="222">
        <f t="shared" si="0"/>
        <v>0</v>
      </c>
      <c r="D13" s="222">
        <f t="shared" si="1"/>
        <v>0</v>
      </c>
      <c r="E13" s="223">
        <f t="shared" si="2"/>
        <v>0</v>
      </c>
      <c r="F13" s="217">
        <v>5</v>
      </c>
      <c r="G13" s="217"/>
      <c r="J13" s="25"/>
      <c r="K13" s="25"/>
    </row>
    <row r="14" spans="1:11">
      <c r="A14" s="221" t="s">
        <v>70</v>
      </c>
      <c r="B14" s="222" t="b">
        <v>0</v>
      </c>
      <c r="C14" s="222">
        <f t="shared" si="0"/>
        <v>0</v>
      </c>
      <c r="D14" s="222">
        <f t="shared" si="1"/>
        <v>0</v>
      </c>
      <c r="E14" s="223">
        <f t="shared" si="2"/>
        <v>0</v>
      </c>
      <c r="F14" s="217">
        <v>2</v>
      </c>
      <c r="G14" s="217"/>
      <c r="J14" s="25"/>
      <c r="K14" s="25"/>
    </row>
    <row r="15" spans="1:11">
      <c r="A15" s="221" t="s">
        <v>72</v>
      </c>
      <c r="B15" s="222" t="b">
        <v>0</v>
      </c>
      <c r="C15" s="222">
        <f t="shared" si="0"/>
        <v>0</v>
      </c>
      <c r="D15" s="222">
        <f t="shared" si="1"/>
        <v>0</v>
      </c>
      <c r="E15" s="223">
        <f t="shared" si="2"/>
        <v>0</v>
      </c>
      <c r="F15" s="217">
        <v>5</v>
      </c>
      <c r="G15" s="217"/>
      <c r="J15" s="25"/>
      <c r="K15" s="25"/>
    </row>
    <row r="16" spans="1:11">
      <c r="A16" s="221" t="s">
        <v>73</v>
      </c>
      <c r="B16" s="222" t="b">
        <v>1</v>
      </c>
      <c r="C16" s="222">
        <f t="shared" si="0"/>
        <v>0</v>
      </c>
      <c r="D16" s="222">
        <f t="shared" si="1"/>
        <v>23000</v>
      </c>
      <c r="E16" s="223">
        <f t="shared" si="2"/>
        <v>23000</v>
      </c>
      <c r="F16" s="217">
        <v>20</v>
      </c>
      <c r="G16" s="217"/>
      <c r="H16" s="25"/>
      <c r="J16" s="25"/>
      <c r="K16" s="25"/>
    </row>
    <row r="17" spans="1:12">
      <c r="A17" s="224" t="s">
        <v>7</v>
      </c>
      <c r="B17" s="222" t="b">
        <v>0</v>
      </c>
      <c r="C17" s="222">
        <f t="shared" si="0"/>
        <v>0</v>
      </c>
      <c r="D17" s="222">
        <f t="shared" si="1"/>
        <v>0</v>
      </c>
      <c r="E17" s="223">
        <f t="shared" si="2"/>
        <v>0</v>
      </c>
      <c r="F17" s="217">
        <v>15</v>
      </c>
      <c r="G17" s="217"/>
      <c r="H17" s="25"/>
      <c r="J17" s="25"/>
      <c r="K17" s="25"/>
    </row>
    <row r="18" spans="1:12">
      <c r="A18" s="224" t="s">
        <v>8</v>
      </c>
      <c r="B18" s="222" t="b">
        <v>0</v>
      </c>
      <c r="C18" s="222">
        <f t="shared" si="0"/>
        <v>0</v>
      </c>
      <c r="D18" s="222">
        <f t="shared" si="1"/>
        <v>0</v>
      </c>
      <c r="E18" s="223">
        <f t="shared" si="2"/>
        <v>0</v>
      </c>
      <c r="F18" s="217">
        <v>10</v>
      </c>
      <c r="G18" s="217"/>
      <c r="H18" s="25"/>
      <c r="J18" s="25"/>
      <c r="K18" s="25"/>
    </row>
    <row r="19" spans="1:12">
      <c r="A19" s="224" t="s">
        <v>10</v>
      </c>
      <c r="B19" s="222" t="b">
        <v>1</v>
      </c>
      <c r="C19" s="222">
        <f t="shared" si="0"/>
        <v>0</v>
      </c>
      <c r="D19" s="222">
        <f t="shared" si="1"/>
        <v>6000</v>
      </c>
      <c r="E19" s="223">
        <f t="shared" si="2"/>
        <v>6000</v>
      </c>
      <c r="F19" s="217">
        <v>5</v>
      </c>
      <c r="G19" s="217"/>
      <c r="H19" s="25"/>
      <c r="J19" s="25"/>
      <c r="K19" s="25"/>
    </row>
    <row r="20" spans="1:12">
      <c r="A20" s="224" t="s">
        <v>83</v>
      </c>
      <c r="B20" s="222" t="b">
        <v>0</v>
      </c>
      <c r="C20" s="222">
        <f t="shared" si="0"/>
        <v>0</v>
      </c>
      <c r="D20" s="222">
        <f t="shared" si="1"/>
        <v>0</v>
      </c>
      <c r="E20" s="223">
        <f t="shared" si="2"/>
        <v>0</v>
      </c>
      <c r="F20" s="217">
        <v>5</v>
      </c>
      <c r="G20" s="222">
        <v>20000</v>
      </c>
      <c r="H20" s="25"/>
      <c r="J20" s="25"/>
      <c r="K20" s="25"/>
    </row>
    <row r="21" spans="1:12">
      <c r="A21" s="224" t="s">
        <v>11</v>
      </c>
      <c r="B21" s="222" t="b">
        <v>0</v>
      </c>
      <c r="C21" s="222">
        <f t="shared" si="0"/>
        <v>0</v>
      </c>
      <c r="D21" s="222">
        <f t="shared" si="1"/>
        <v>0</v>
      </c>
      <c r="E21" s="223">
        <f t="shared" si="2"/>
        <v>0</v>
      </c>
      <c r="F21" s="217">
        <v>15</v>
      </c>
      <c r="G21" s="222"/>
      <c r="H21" s="25"/>
      <c r="J21" s="25"/>
      <c r="K21" s="25"/>
    </row>
    <row r="22" spans="1:12">
      <c r="A22" s="221" t="s">
        <v>12</v>
      </c>
      <c r="B22" s="222" t="b">
        <v>0</v>
      </c>
      <c r="C22" s="222">
        <f t="shared" si="0"/>
        <v>0</v>
      </c>
      <c r="D22" s="222">
        <f t="shared" si="1"/>
        <v>0</v>
      </c>
      <c r="E22" s="223">
        <f t="shared" si="2"/>
        <v>0</v>
      </c>
      <c r="F22" s="217">
        <v>5</v>
      </c>
      <c r="G22" s="225"/>
      <c r="H22" s="25"/>
      <c r="J22" s="109"/>
      <c r="K22" s="25"/>
    </row>
    <row r="23" spans="1:12">
      <c r="A23" s="224" t="s">
        <v>13</v>
      </c>
      <c r="B23" s="222" t="b">
        <v>0</v>
      </c>
      <c r="C23" s="222">
        <f t="shared" si="0"/>
        <v>0</v>
      </c>
      <c r="D23" s="222">
        <f t="shared" si="1"/>
        <v>0</v>
      </c>
      <c r="E23" s="223">
        <f t="shared" si="2"/>
        <v>0</v>
      </c>
      <c r="F23" s="217">
        <v>5</v>
      </c>
      <c r="G23" s="222"/>
      <c r="H23" s="25"/>
      <c r="J23" s="25"/>
      <c r="K23" s="25"/>
    </row>
    <row r="24" spans="1:12">
      <c r="A24" s="224" t="s">
        <v>14</v>
      </c>
      <c r="B24" s="222" t="b">
        <v>0</v>
      </c>
      <c r="C24" s="222">
        <f t="shared" si="0"/>
        <v>0</v>
      </c>
      <c r="D24" s="222">
        <f t="shared" si="1"/>
        <v>0</v>
      </c>
      <c r="E24" s="223">
        <f t="shared" si="2"/>
        <v>0</v>
      </c>
      <c r="F24" s="217">
        <v>5</v>
      </c>
      <c r="G24" s="222"/>
      <c r="H24" s="25"/>
      <c r="J24" s="25"/>
      <c r="K24" s="25"/>
    </row>
    <row r="25" spans="1:12">
      <c r="A25" s="224" t="s">
        <v>15</v>
      </c>
      <c r="B25" s="222" t="b">
        <v>0</v>
      </c>
      <c r="C25" s="222">
        <f t="shared" si="0"/>
        <v>0</v>
      </c>
      <c r="D25" s="222">
        <f t="shared" si="1"/>
        <v>0</v>
      </c>
      <c r="E25" s="223">
        <f t="shared" si="2"/>
        <v>0</v>
      </c>
      <c r="F25" s="217">
        <v>2</v>
      </c>
      <c r="G25" s="222"/>
      <c r="H25" s="25"/>
      <c r="J25" s="25"/>
      <c r="K25" s="25"/>
      <c r="L25" s="25"/>
    </row>
    <row r="26" spans="1:12">
      <c r="A26" s="224" t="s">
        <v>16</v>
      </c>
      <c r="B26" s="222" t="b">
        <v>0</v>
      </c>
      <c r="C26" s="222">
        <f t="shared" si="0"/>
        <v>0</v>
      </c>
      <c r="D26" s="222">
        <f t="shared" si="1"/>
        <v>0</v>
      </c>
      <c r="E26" s="223">
        <f t="shared" si="2"/>
        <v>0</v>
      </c>
      <c r="F26" s="217">
        <v>2</v>
      </c>
      <c r="G26" s="222"/>
      <c r="H26" s="25"/>
      <c r="J26" s="25"/>
      <c r="K26" s="25"/>
    </row>
    <row r="27" spans="1:12">
      <c r="A27" s="224" t="s">
        <v>17</v>
      </c>
      <c r="B27" s="222" t="b">
        <v>0</v>
      </c>
      <c r="C27" s="222">
        <f t="shared" si="0"/>
        <v>0</v>
      </c>
      <c r="D27" s="222">
        <f t="shared" si="1"/>
        <v>0</v>
      </c>
      <c r="E27" s="223">
        <f t="shared" si="2"/>
        <v>0</v>
      </c>
      <c r="F27" s="217">
        <v>2</v>
      </c>
      <c r="G27" s="225"/>
      <c r="H27" s="25"/>
      <c r="J27" s="109"/>
      <c r="K27" s="25"/>
    </row>
    <row r="28" spans="1:12">
      <c r="A28" s="221" t="s">
        <v>19</v>
      </c>
      <c r="B28" s="222" t="b">
        <v>0</v>
      </c>
      <c r="C28" s="222">
        <f t="shared" si="0"/>
        <v>0</v>
      </c>
      <c r="D28" s="222">
        <f t="shared" si="1"/>
        <v>0</v>
      </c>
      <c r="E28" s="223">
        <f t="shared" si="2"/>
        <v>0</v>
      </c>
      <c r="F28" s="217">
        <v>2</v>
      </c>
      <c r="G28" s="222"/>
      <c r="H28" s="25"/>
      <c r="J28" s="25"/>
      <c r="K28" s="25"/>
    </row>
    <row r="29" spans="1:12">
      <c r="A29" s="221" t="s">
        <v>18</v>
      </c>
      <c r="B29" s="222" t="b">
        <v>0</v>
      </c>
      <c r="C29" s="222">
        <f t="shared" si="0"/>
        <v>0</v>
      </c>
      <c r="D29" s="222">
        <f t="shared" si="1"/>
        <v>0</v>
      </c>
      <c r="E29" s="223">
        <f t="shared" si="2"/>
        <v>0</v>
      </c>
      <c r="F29" s="217">
        <v>2</v>
      </c>
      <c r="G29" s="222"/>
      <c r="H29" s="25"/>
      <c r="J29" s="25"/>
      <c r="K29" s="25"/>
    </row>
    <row r="30" spans="1:12" ht="30">
      <c r="A30" s="226" t="s">
        <v>20</v>
      </c>
      <c r="B30" s="222" t="b">
        <v>0</v>
      </c>
      <c r="C30" s="222">
        <f t="shared" si="0"/>
        <v>0</v>
      </c>
      <c r="D30" s="222">
        <f t="shared" si="1"/>
        <v>0</v>
      </c>
      <c r="E30" s="223">
        <f t="shared" si="2"/>
        <v>0</v>
      </c>
      <c r="F30" s="217">
        <v>10</v>
      </c>
      <c r="G30" s="222"/>
      <c r="H30" s="25"/>
      <c r="J30" s="25"/>
      <c r="K30" s="25"/>
    </row>
    <row r="31" spans="1:12">
      <c r="A31" s="224" t="s">
        <v>22</v>
      </c>
      <c r="B31" s="222" t="b">
        <v>1</v>
      </c>
      <c r="C31" s="222">
        <f t="shared" si="0"/>
        <v>0</v>
      </c>
      <c r="D31" s="222">
        <f t="shared" si="1"/>
        <v>6000</v>
      </c>
      <c r="E31" s="223">
        <f t="shared" si="2"/>
        <v>6000</v>
      </c>
      <c r="F31" s="217">
        <v>5</v>
      </c>
      <c r="G31" s="222"/>
      <c r="H31" s="25"/>
      <c r="J31" s="25"/>
      <c r="K31" s="25"/>
    </row>
    <row r="32" spans="1:12">
      <c r="A32" s="224" t="s">
        <v>230</v>
      </c>
      <c r="B32" s="222" t="b">
        <v>0</v>
      </c>
      <c r="C32" s="222">
        <f t="shared" ref="C32:C33" si="3">ROUNDUP(IF(AND(B32=TRUE, $B$6=FALSE), IF(G32=0,F32/$B$4*$B$3*2,G32), 0),-3)</f>
        <v>0</v>
      </c>
      <c r="D32" s="222">
        <f t="shared" ref="D32:D33" si="4">ROUNDUP(IF(AND(B32=TRUE, $B$6=TRUE), F32/$B$4*$B$3, 0),-3)</f>
        <v>0</v>
      </c>
      <c r="E32" s="223">
        <f t="shared" ref="E32:E33" si="5">SUM(C32:D32)</f>
        <v>0</v>
      </c>
      <c r="F32" s="217">
        <v>5</v>
      </c>
      <c r="G32" s="222">
        <v>15000</v>
      </c>
      <c r="H32" s="25"/>
      <c r="J32" s="25"/>
      <c r="K32" s="25"/>
    </row>
    <row r="33" spans="1:14">
      <c r="A33" s="224" t="s">
        <v>231</v>
      </c>
      <c r="B33" s="222" t="b">
        <v>0</v>
      </c>
      <c r="C33" s="222">
        <f t="shared" si="3"/>
        <v>0</v>
      </c>
      <c r="D33" s="222">
        <f t="shared" si="4"/>
        <v>0</v>
      </c>
      <c r="E33" s="223">
        <f t="shared" si="5"/>
        <v>0</v>
      </c>
      <c r="F33" s="217">
        <v>5</v>
      </c>
      <c r="G33" s="222">
        <v>15000</v>
      </c>
      <c r="H33" s="25"/>
      <c r="J33" s="25"/>
      <c r="K33" s="25"/>
    </row>
    <row r="34" spans="1:14">
      <c r="A34" s="227" t="s">
        <v>74</v>
      </c>
      <c r="B34" s="228" t="b">
        <v>0</v>
      </c>
      <c r="C34" s="228">
        <f>ROUNDUP(IF(AND(B34=TRUE, $B$6=FALSE), IF(G34=0,F34/$B$4*$B$3*2,G34), 0),-3)</f>
        <v>0</v>
      </c>
      <c r="D34" s="228">
        <f>ROUNDUP(IF(AND(B34=TRUE, $B$6=TRUE), F34/$B$4*$B$3, 0),-3)</f>
        <v>0</v>
      </c>
      <c r="E34" s="229">
        <f t="shared" si="2"/>
        <v>0</v>
      </c>
      <c r="F34" s="217">
        <v>10</v>
      </c>
      <c r="G34" s="222"/>
      <c r="H34" s="25"/>
      <c r="J34" s="25"/>
      <c r="K34" s="25"/>
    </row>
    <row r="35" spans="1:14" ht="15.75" thickBot="1">
      <c r="A35" s="230"/>
      <c r="B35" s="222"/>
      <c r="C35" s="222"/>
      <c r="D35" s="222"/>
      <c r="E35" s="222"/>
      <c r="F35" s="217"/>
      <c r="G35" s="222"/>
      <c r="H35" s="25"/>
      <c r="J35" s="25"/>
      <c r="K35" s="25"/>
    </row>
    <row r="36" spans="1:14" ht="15.75" thickBot="1">
      <c r="A36" s="242" t="s">
        <v>232</v>
      </c>
      <c r="B36" s="7">
        <v>15000</v>
      </c>
      <c r="C36" s="222"/>
      <c r="D36" s="222"/>
      <c r="E36" s="222"/>
      <c r="F36" s="217"/>
      <c r="G36" s="222"/>
      <c r="H36" s="25"/>
      <c r="J36" s="25"/>
      <c r="K36" s="25"/>
    </row>
    <row r="37" spans="1:14">
      <c r="A37" s="230"/>
      <c r="B37" s="222"/>
      <c r="C37" s="222"/>
      <c r="D37" s="25"/>
      <c r="E37" s="25"/>
      <c r="G37" s="25"/>
      <c r="H37" s="25"/>
      <c r="J37" s="25"/>
      <c r="K37" s="25"/>
    </row>
    <row r="38" spans="1:14" ht="15.75" thickBot="1">
      <c r="A38" s="25"/>
      <c r="B38" s="25"/>
      <c r="C38" s="25"/>
    </row>
    <row r="39" spans="1:14">
      <c r="A39" s="111" t="s">
        <v>75</v>
      </c>
      <c r="B39" s="111"/>
      <c r="C39" s="24"/>
      <c r="D39" s="24"/>
      <c r="E39" s="24" t="s">
        <v>2</v>
      </c>
      <c r="F39" s="24"/>
      <c r="G39" s="24"/>
      <c r="H39" s="24"/>
      <c r="I39" s="24"/>
      <c r="J39" s="2"/>
    </row>
    <row r="40" spans="1:14">
      <c r="A40" s="3"/>
      <c r="B40" s="25"/>
      <c r="C40" s="25"/>
      <c r="D40" s="25"/>
      <c r="E40" s="26">
        <f>ROUNDUP(F42,-3)</f>
        <v>0</v>
      </c>
      <c r="F40" s="25"/>
      <c r="G40" s="25"/>
      <c r="H40" s="25"/>
      <c r="I40" s="25"/>
      <c r="J40" s="4"/>
    </row>
    <row r="41" spans="1:14" ht="23.25">
      <c r="A41" s="3"/>
      <c r="B41" s="27" t="s">
        <v>23</v>
      </c>
      <c r="C41" s="27" t="s">
        <v>24</v>
      </c>
      <c r="D41" s="27" t="s">
        <v>25</v>
      </c>
      <c r="E41" s="27" t="s">
        <v>26</v>
      </c>
      <c r="F41" s="27" t="s">
        <v>27</v>
      </c>
      <c r="G41" s="28" t="s">
        <v>30</v>
      </c>
      <c r="H41" s="29" t="s">
        <v>218</v>
      </c>
      <c r="I41" s="30" t="s">
        <v>31</v>
      </c>
      <c r="J41" s="4"/>
    </row>
    <row r="42" spans="1:14">
      <c r="A42" s="3"/>
      <c r="B42" s="31"/>
      <c r="C42" s="31">
        <f>MATCH(TWCMS_Current_clients_volume,TWCMS_Clients_volume,1)</f>
        <v>1</v>
      </c>
      <c r="D42" s="31">
        <f>MATCH(TWCMS_New_clients_volume+TWCMS_Current_clients_volume,TWCMS_Clients_volume,1)</f>
        <v>1</v>
      </c>
      <c r="E42" s="31">
        <f>INDEX(TWCMS_Total_Price_clients,C42)+INDEX(TWCMS_Price_per_10K_clients,C42)*(CEILING((TWCMS_Current_clients_volume-INDEX(TWCMS_Clients_volume,C42))/10000,1))</f>
        <v>0</v>
      </c>
      <c r="F42" s="31">
        <f>INDEX(TWCMS_Total_Price_clients,D42)+INDEX(TWCMS_Price_per_10K_clients,D42)*(CEILING((TWCMS_New_clients_volume+TWCMS_Current_clients_volume-INDEX(TWCMS_Clients_volume,D42))/1,1))</f>
        <v>0</v>
      </c>
      <c r="G42" s="12">
        <v>0</v>
      </c>
      <c r="H42" s="231">
        <v>0</v>
      </c>
      <c r="I42" s="14">
        <v>0</v>
      </c>
      <c r="J42" s="4"/>
    </row>
    <row r="43" spans="1:14">
      <c r="A43" s="3"/>
      <c r="B43" s="31"/>
      <c r="C43" s="31"/>
      <c r="D43" s="31"/>
      <c r="E43" s="31"/>
      <c r="F43" s="31"/>
      <c r="G43" s="17">
        <v>10000</v>
      </c>
      <c r="H43" s="232">
        <v>0.8</v>
      </c>
      <c r="I43" s="18">
        <f t="shared" ref="I43:I51" si="6">(G43-G42)/1*H43+I42</f>
        <v>8000</v>
      </c>
      <c r="J43" s="4"/>
      <c r="L43" s="11"/>
      <c r="M43" s="10"/>
      <c r="N43" s="10"/>
    </row>
    <row r="44" spans="1:14">
      <c r="A44" s="3"/>
      <c r="B44" s="31"/>
      <c r="C44" s="31"/>
      <c r="D44" s="32" t="s">
        <v>33</v>
      </c>
      <c r="E44" s="31">
        <f>INDEX(TWCMS_Total_Price_clients,C42)</f>
        <v>0</v>
      </c>
      <c r="F44" s="31">
        <f>INDEX(TWCMS_Total_Price_clients,D42)</f>
        <v>0</v>
      </c>
      <c r="G44" s="17">
        <v>30000</v>
      </c>
      <c r="H44" s="232">
        <v>0.35</v>
      </c>
      <c r="I44" s="18">
        <f t="shared" si="6"/>
        <v>15000</v>
      </c>
      <c r="J44" s="4"/>
      <c r="L44" s="11"/>
      <c r="M44" s="10"/>
      <c r="N44" s="10"/>
    </row>
    <row r="45" spans="1:14">
      <c r="A45" s="3"/>
      <c r="B45" s="31"/>
      <c r="C45" s="31"/>
      <c r="D45" s="32" t="s">
        <v>32</v>
      </c>
      <c r="E45" s="31">
        <f>INDEX(TWCMS_Price_per_10K_clients,C42)</f>
        <v>0.8</v>
      </c>
      <c r="F45" s="31">
        <f>INDEX(TWCMS_Price_per_10K_clients,D42)</f>
        <v>0.8</v>
      </c>
      <c r="G45" s="17">
        <v>50000</v>
      </c>
      <c r="H45" s="233">
        <v>0.31</v>
      </c>
      <c r="I45" s="18">
        <f t="shared" si="6"/>
        <v>21200</v>
      </c>
      <c r="J45" s="4"/>
      <c r="L45" s="11"/>
      <c r="M45" s="10"/>
      <c r="N45" s="10"/>
    </row>
    <row r="46" spans="1:14">
      <c r="A46" s="3"/>
      <c r="B46" s="31"/>
      <c r="C46" s="31"/>
      <c r="D46" s="31"/>
      <c r="E46" s="32" t="s">
        <v>34</v>
      </c>
      <c r="F46" s="31">
        <f>CEILING(TWCMS_New_clients_volume+TWCMS_Current_clients_volume-INDEX(TWCMS_Clients_volume,D42)/10000,1)</f>
        <v>0</v>
      </c>
      <c r="G46" s="17">
        <v>100000</v>
      </c>
      <c r="H46" s="233">
        <v>0.12</v>
      </c>
      <c r="I46" s="18">
        <f t="shared" si="6"/>
        <v>27200</v>
      </c>
      <c r="J46" s="4"/>
      <c r="L46" s="11"/>
      <c r="M46" s="10"/>
      <c r="N46" s="10"/>
    </row>
    <row r="47" spans="1:14">
      <c r="A47" s="3"/>
      <c r="B47" s="31"/>
      <c r="C47" s="31"/>
      <c r="D47" s="31"/>
      <c r="E47" s="31"/>
      <c r="F47" s="31"/>
      <c r="G47" s="17">
        <v>500000</v>
      </c>
      <c r="H47" s="233">
        <v>0.1</v>
      </c>
      <c r="I47" s="18">
        <f t="shared" si="6"/>
        <v>67200</v>
      </c>
      <c r="J47" s="4"/>
      <c r="L47" s="11"/>
      <c r="M47" s="10"/>
      <c r="N47" s="10"/>
    </row>
    <row r="48" spans="1:14">
      <c r="A48" s="3"/>
      <c r="B48" s="31"/>
      <c r="C48" s="31"/>
      <c r="D48" s="31"/>
      <c r="E48" s="31"/>
      <c r="F48" s="31"/>
      <c r="G48" s="17">
        <v>1000000</v>
      </c>
      <c r="H48" s="233">
        <v>0.09</v>
      </c>
      <c r="I48" s="18">
        <f t="shared" si="6"/>
        <v>112200</v>
      </c>
      <c r="J48" s="4"/>
      <c r="L48" s="11"/>
      <c r="M48" s="10"/>
      <c r="N48" s="10"/>
    </row>
    <row r="49" spans="1:14">
      <c r="A49" s="3"/>
      <c r="B49" s="31"/>
      <c r="C49" s="31"/>
      <c r="D49" s="31"/>
      <c r="E49" s="31"/>
      <c r="F49" s="31">
        <f>INDEX(TWCMS_Clients_volume,D42)</f>
        <v>0</v>
      </c>
      <c r="G49" s="17">
        <v>3000000</v>
      </c>
      <c r="H49" s="233">
        <v>7.4999999999999997E-2</v>
      </c>
      <c r="I49" s="18">
        <f t="shared" si="6"/>
        <v>262200</v>
      </c>
      <c r="J49" s="4"/>
      <c r="L49" s="11"/>
      <c r="M49" s="10"/>
      <c r="N49" s="10"/>
    </row>
    <row r="50" spans="1:14">
      <c r="A50" s="3"/>
      <c r="B50" s="31"/>
      <c r="C50" s="31"/>
      <c r="D50" s="31"/>
      <c r="E50" s="31"/>
      <c r="F50" s="31"/>
      <c r="G50" s="17">
        <v>5000000</v>
      </c>
      <c r="H50" s="233">
        <v>3.5000000000000003E-2</v>
      </c>
      <c r="I50" s="18">
        <f t="shared" si="6"/>
        <v>332200</v>
      </c>
      <c r="J50" s="4"/>
      <c r="L50" s="11"/>
      <c r="M50" s="10"/>
      <c r="N50" s="10"/>
    </row>
    <row r="51" spans="1:14">
      <c r="A51" s="3"/>
      <c r="B51" s="31"/>
      <c r="C51" s="31"/>
      <c r="D51" s="31"/>
      <c r="E51" s="31"/>
      <c r="F51" s="31"/>
      <c r="G51" s="17">
        <v>7000000</v>
      </c>
      <c r="H51" s="233">
        <v>2.8000000000000001E-2</v>
      </c>
      <c r="I51" s="18">
        <f t="shared" si="6"/>
        <v>388200</v>
      </c>
      <c r="J51" s="4"/>
      <c r="L51" s="11"/>
      <c r="M51" s="10"/>
      <c r="N51" s="10"/>
    </row>
    <row r="52" spans="1:14">
      <c r="A52" s="3"/>
      <c r="B52" s="33"/>
      <c r="C52" s="33"/>
      <c r="D52" s="33"/>
      <c r="E52" s="34"/>
      <c r="F52" s="33"/>
      <c r="G52" s="17">
        <v>10000000</v>
      </c>
      <c r="H52" s="233">
        <v>2.4E-2</v>
      </c>
      <c r="I52" s="18">
        <f>(G52-G50)/1*H52+I50</f>
        <v>452200</v>
      </c>
      <c r="J52" s="4"/>
      <c r="L52" s="11"/>
      <c r="M52" s="10"/>
      <c r="N52" s="10"/>
    </row>
    <row r="53" spans="1:14">
      <c r="A53" s="3"/>
      <c r="B53" s="31"/>
      <c r="C53" s="31"/>
      <c r="D53" s="31"/>
      <c r="E53" s="31"/>
      <c r="F53" s="31"/>
      <c r="G53" s="23" t="s">
        <v>28</v>
      </c>
      <c r="H53" s="233">
        <v>0.02</v>
      </c>
      <c r="I53" s="20"/>
      <c r="J53" s="4"/>
      <c r="L53" s="11"/>
      <c r="M53" s="10"/>
      <c r="N53" s="10"/>
    </row>
    <row r="54" spans="1:14">
      <c r="A54" s="3"/>
      <c r="B54" s="31"/>
      <c r="C54" s="31"/>
      <c r="D54" s="31"/>
      <c r="E54" s="31"/>
      <c r="F54" s="31"/>
      <c r="G54" s="15" t="s">
        <v>29</v>
      </c>
      <c r="H54" s="21"/>
      <c r="I54" s="22"/>
      <c r="J54" s="4"/>
    </row>
    <row r="55" spans="1:14" ht="15.75" thickBot="1">
      <c r="A55" s="5"/>
      <c r="B55" s="35"/>
      <c r="C55" s="35"/>
      <c r="D55" s="35"/>
      <c r="E55" s="35"/>
      <c r="F55" s="35"/>
      <c r="G55" s="35"/>
      <c r="H55" s="35"/>
      <c r="I55" s="35"/>
      <c r="J55" s="6"/>
    </row>
    <row r="56" spans="1:14" ht="15.75" thickBot="1"/>
    <row r="57" spans="1:14">
      <c r="A57" s="110" t="s">
        <v>76</v>
      </c>
      <c r="B57" s="111"/>
      <c r="C57" s="24"/>
      <c r="D57" s="24"/>
      <c r="E57" s="24" t="s">
        <v>2</v>
      </c>
      <c r="F57" s="24"/>
      <c r="G57" s="24"/>
      <c r="H57" s="24"/>
      <c r="I57" s="24"/>
      <c r="J57" s="2"/>
    </row>
    <row r="58" spans="1:14">
      <c r="A58" s="3"/>
      <c r="B58" s="25"/>
      <c r="C58" s="25"/>
      <c r="D58" s="25"/>
      <c r="E58" s="26">
        <f>ROUNDUP(F60,-3)</f>
        <v>9000</v>
      </c>
      <c r="F58" s="25"/>
      <c r="G58" s="25"/>
      <c r="H58" s="25"/>
      <c r="I58" s="25"/>
      <c r="J58" s="4"/>
    </row>
    <row r="59" spans="1:14" ht="23.25">
      <c r="A59" s="3"/>
      <c r="B59" s="27" t="s">
        <v>23</v>
      </c>
      <c r="C59" s="27" t="s">
        <v>24</v>
      </c>
      <c r="D59" s="27" t="s">
        <v>25</v>
      </c>
      <c r="E59" s="27" t="s">
        <v>26</v>
      </c>
      <c r="F59" s="27" t="s">
        <v>27</v>
      </c>
      <c r="G59" s="28" t="s">
        <v>30</v>
      </c>
      <c r="H59" s="29" t="s">
        <v>220</v>
      </c>
      <c r="I59" s="30" t="s">
        <v>31</v>
      </c>
      <c r="J59" s="4"/>
    </row>
    <row r="60" spans="1:14">
      <c r="A60" s="3"/>
      <c r="B60" s="31"/>
      <c r="C60" s="31">
        <f>MATCH(TWCMS_Current_ITC,TWCMS_ITC_Volume,1)</f>
        <v>1</v>
      </c>
      <c r="D60" s="31">
        <f>MATCH(TWCMS_New_ITC+TWCMS_Current_ITC,TWCMS_ITC_Volume,1)</f>
        <v>5</v>
      </c>
      <c r="E60" s="31">
        <f>INDEX(TWCMS_ITC_Total_price,C60)+INDEX(TWCMS_ITC_Price_per_5,C60)*(CEILING((TWCMS_Current_ITC-INDEX(TWCMS_ITC_Volume,C60))/1,1))</f>
        <v>0</v>
      </c>
      <c r="F60" s="31">
        <f>INDEX(TWCMS_ITC_Total_price,D60)+INDEX(TWCMS_ITC_Price_per_5,D60)*(CEILING((TWCMS_New_ITC+TWCMS_Current_ITC-INDEX(TWCMS_ITC_Volume,D60))/1,1))</f>
        <v>8200</v>
      </c>
      <c r="G60" s="12">
        <v>0</v>
      </c>
      <c r="H60" s="16">
        <v>0</v>
      </c>
      <c r="I60" s="14">
        <v>0</v>
      </c>
      <c r="J60" s="4"/>
      <c r="K60" t="s">
        <v>81</v>
      </c>
      <c r="L60" t="s">
        <v>80</v>
      </c>
      <c r="M60" t="s">
        <v>82</v>
      </c>
      <c r="N60" t="s">
        <v>219</v>
      </c>
    </row>
    <row r="61" spans="1:14">
      <c r="A61" s="3"/>
      <c r="B61" s="31"/>
      <c r="C61" s="31"/>
      <c r="D61" s="31"/>
      <c r="E61" s="31"/>
      <c r="F61" s="31"/>
      <c r="G61" s="17">
        <v>5</v>
      </c>
      <c r="H61" s="13">
        <v>200</v>
      </c>
      <c r="I61" s="18">
        <f t="shared" ref="I61:I70" si="7">(G61-G60)/1*H61+I60</f>
        <v>1000</v>
      </c>
      <c r="J61" s="4"/>
      <c r="K61" s="11">
        <v>5</v>
      </c>
      <c r="L61" s="116">
        <v>1000</v>
      </c>
      <c r="M61" s="117">
        <f>(L61/K61)*5</f>
        <v>1000</v>
      </c>
      <c r="N61">
        <f>H61/5</f>
        <v>40</v>
      </c>
    </row>
    <row r="62" spans="1:14">
      <c r="A62" s="3"/>
      <c r="B62" s="31"/>
      <c r="C62" s="31"/>
      <c r="D62" s="32" t="s">
        <v>33</v>
      </c>
      <c r="E62" s="31">
        <f>INDEX(TWCMS_ITC_Total_price,C60)</f>
        <v>0</v>
      </c>
      <c r="F62" s="31">
        <f>INDEX(TWCMS_ITC_Total_price,D60)</f>
        <v>6600</v>
      </c>
      <c r="G62" s="17">
        <v>10</v>
      </c>
      <c r="H62" s="13">
        <v>180</v>
      </c>
      <c r="I62" s="18">
        <f t="shared" si="7"/>
        <v>1900</v>
      </c>
      <c r="J62" s="4"/>
      <c r="K62" s="11">
        <v>10</v>
      </c>
      <c r="L62" s="116">
        <v>1800</v>
      </c>
      <c r="M62" s="117">
        <f>(L62/K62)*5</f>
        <v>900</v>
      </c>
      <c r="N62">
        <f t="shared" ref="N62:N71" si="8">H62/5</f>
        <v>36</v>
      </c>
    </row>
    <row r="63" spans="1:14">
      <c r="A63" s="3"/>
      <c r="B63" s="31"/>
      <c r="C63" s="31"/>
      <c r="D63" s="32" t="s">
        <v>32</v>
      </c>
      <c r="E63" s="31">
        <f>INDEX(TWCMS_ITC_Price_per_5,C60)</f>
        <v>200</v>
      </c>
      <c r="F63" s="31">
        <f>INDEX(TWCMS_ITC_Price_per_5,D60)</f>
        <v>80</v>
      </c>
      <c r="G63" s="17">
        <v>30</v>
      </c>
      <c r="H63" s="19">
        <v>100</v>
      </c>
      <c r="I63" s="18">
        <f t="shared" si="7"/>
        <v>3900</v>
      </c>
      <c r="J63" s="4"/>
      <c r="K63" s="11">
        <v>30</v>
      </c>
      <c r="L63" s="116">
        <v>3500</v>
      </c>
      <c r="M63" s="117">
        <f t="shared" ref="M63:M70" si="9">(L63/K63)*5</f>
        <v>583.33333333333337</v>
      </c>
      <c r="N63">
        <f t="shared" si="8"/>
        <v>20</v>
      </c>
    </row>
    <row r="64" spans="1:14">
      <c r="A64" s="3"/>
      <c r="B64" s="31"/>
      <c r="C64" s="31"/>
      <c r="D64" s="31"/>
      <c r="E64" s="32" t="s">
        <v>34</v>
      </c>
      <c r="F64" s="31">
        <f>CEILING(TWCMS_New_ITC+TWCMS_Current_ITC-INDEX(TWCMS_ITC_Volume,D60)/5,1)</f>
        <v>68</v>
      </c>
      <c r="G64" s="17">
        <v>60</v>
      </c>
      <c r="H64" s="19">
        <v>90</v>
      </c>
      <c r="I64" s="18">
        <f t="shared" si="7"/>
        <v>6600</v>
      </c>
      <c r="J64" s="4"/>
      <c r="K64" s="11">
        <v>70</v>
      </c>
      <c r="L64" s="116">
        <v>7000</v>
      </c>
      <c r="M64" s="117">
        <f t="shared" si="9"/>
        <v>500</v>
      </c>
      <c r="N64">
        <f t="shared" si="8"/>
        <v>18</v>
      </c>
    </row>
    <row r="65" spans="1:14">
      <c r="A65" s="3"/>
      <c r="B65" s="31"/>
      <c r="C65" s="31"/>
      <c r="D65" s="31"/>
      <c r="E65" s="31"/>
      <c r="F65" s="31"/>
      <c r="G65" s="17">
        <v>100</v>
      </c>
      <c r="H65" s="19">
        <v>80</v>
      </c>
      <c r="I65" s="18">
        <f t="shared" si="7"/>
        <v>9800</v>
      </c>
      <c r="J65" s="4"/>
      <c r="K65" s="11">
        <v>110</v>
      </c>
      <c r="L65" s="116">
        <v>10000</v>
      </c>
      <c r="M65" s="117">
        <f t="shared" si="9"/>
        <v>454.5454545454545</v>
      </c>
      <c r="N65">
        <f t="shared" si="8"/>
        <v>16</v>
      </c>
    </row>
    <row r="66" spans="1:14">
      <c r="A66" s="3"/>
      <c r="B66" s="31"/>
      <c r="C66" s="31"/>
      <c r="D66" s="31"/>
      <c r="E66" s="31"/>
      <c r="F66" s="31"/>
      <c r="G66" s="17">
        <v>200</v>
      </c>
      <c r="H66" s="19">
        <v>70</v>
      </c>
      <c r="I66" s="18">
        <f t="shared" si="7"/>
        <v>16800</v>
      </c>
      <c r="J66" s="4"/>
      <c r="K66" s="11">
        <v>190</v>
      </c>
      <c r="L66" s="116">
        <v>16000</v>
      </c>
      <c r="M66" s="117">
        <f t="shared" si="9"/>
        <v>421.0526315789474</v>
      </c>
      <c r="N66">
        <f t="shared" si="8"/>
        <v>14</v>
      </c>
    </row>
    <row r="67" spans="1:14">
      <c r="A67" s="3"/>
      <c r="B67" s="31"/>
      <c r="C67" s="31"/>
      <c r="D67" s="31"/>
      <c r="E67" s="31"/>
      <c r="F67" s="31">
        <f>INDEX(TWCMS_ITC_Volume,D60)</f>
        <v>60</v>
      </c>
      <c r="G67" s="17">
        <v>400</v>
      </c>
      <c r="H67" s="19">
        <v>60</v>
      </c>
      <c r="I67" s="18">
        <f t="shared" si="7"/>
        <v>28800</v>
      </c>
      <c r="J67" s="4"/>
      <c r="K67" s="11">
        <v>390</v>
      </c>
      <c r="L67" s="116">
        <v>30000</v>
      </c>
      <c r="M67" s="117">
        <f t="shared" si="9"/>
        <v>384.61538461538458</v>
      </c>
      <c r="N67">
        <f t="shared" si="8"/>
        <v>12</v>
      </c>
    </row>
    <row r="68" spans="1:14">
      <c r="A68" s="3"/>
      <c r="B68" s="31"/>
      <c r="C68" s="31"/>
      <c r="D68" s="31"/>
      <c r="E68" s="31"/>
      <c r="F68" s="31"/>
      <c r="G68" s="17">
        <v>600</v>
      </c>
      <c r="H68" s="19">
        <v>50</v>
      </c>
      <c r="I68" s="18">
        <f t="shared" si="7"/>
        <v>38800</v>
      </c>
      <c r="J68" s="4"/>
      <c r="K68" s="11">
        <v>590</v>
      </c>
      <c r="L68" s="116">
        <v>40000</v>
      </c>
      <c r="M68" s="117">
        <f t="shared" si="9"/>
        <v>338.98305084745766</v>
      </c>
      <c r="N68">
        <f t="shared" si="8"/>
        <v>10</v>
      </c>
    </row>
    <row r="69" spans="1:14">
      <c r="A69" s="3"/>
      <c r="B69" s="31"/>
      <c r="C69" s="31"/>
      <c r="D69" s="31"/>
      <c r="E69" s="31"/>
      <c r="F69" s="31"/>
      <c r="G69" s="17">
        <v>800</v>
      </c>
      <c r="H69" s="19">
        <v>30</v>
      </c>
      <c r="I69" s="18">
        <f t="shared" si="7"/>
        <v>44800</v>
      </c>
      <c r="J69" s="4"/>
      <c r="K69" s="11">
        <v>790</v>
      </c>
      <c r="L69" s="116">
        <v>45000</v>
      </c>
      <c r="M69" s="117">
        <f t="shared" si="9"/>
        <v>284.81012658227849</v>
      </c>
      <c r="N69">
        <f t="shared" si="8"/>
        <v>6</v>
      </c>
    </row>
    <row r="70" spans="1:14">
      <c r="A70" s="3"/>
      <c r="B70" s="33"/>
      <c r="C70" s="33"/>
      <c r="D70" s="33"/>
      <c r="E70" s="34"/>
      <c r="F70" s="33"/>
      <c r="G70" s="17">
        <v>1000</v>
      </c>
      <c r="H70" s="19">
        <v>20</v>
      </c>
      <c r="I70" s="18">
        <f t="shared" si="7"/>
        <v>48800</v>
      </c>
      <c r="J70" s="4"/>
      <c r="K70" s="11">
        <v>990</v>
      </c>
      <c r="L70" s="116">
        <v>50000</v>
      </c>
      <c r="M70" s="117">
        <f t="shared" si="9"/>
        <v>252.52525252525254</v>
      </c>
      <c r="N70">
        <f t="shared" si="8"/>
        <v>4</v>
      </c>
    </row>
    <row r="71" spans="1:14">
      <c r="A71" s="3"/>
      <c r="B71" s="31"/>
      <c r="C71" s="31"/>
      <c r="D71" s="31"/>
      <c r="E71" s="31"/>
      <c r="F71" s="31"/>
      <c r="G71" s="23" t="s">
        <v>28</v>
      </c>
      <c r="H71" s="19">
        <v>14</v>
      </c>
      <c r="I71" s="18"/>
      <c r="J71" s="4"/>
      <c r="N71">
        <f t="shared" si="8"/>
        <v>2.8</v>
      </c>
    </row>
    <row r="72" spans="1:14">
      <c r="A72" s="3"/>
      <c r="B72" s="31"/>
      <c r="C72" s="31"/>
      <c r="D72" s="31"/>
      <c r="E72" s="31"/>
      <c r="F72" s="31"/>
      <c r="G72" s="15" t="s">
        <v>29</v>
      </c>
      <c r="H72" s="21"/>
      <c r="I72" s="22"/>
      <c r="J72" s="4"/>
    </row>
    <row r="73" spans="1:14" ht="15.75" thickBot="1">
      <c r="A73" s="5"/>
      <c r="B73" s="35"/>
      <c r="C73" s="35"/>
      <c r="D73" s="35"/>
      <c r="E73" s="35"/>
      <c r="F73" s="35"/>
      <c r="G73" s="35"/>
      <c r="H73" s="35"/>
      <c r="I73" s="35"/>
      <c r="J73"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codeName="Sheet1"/>
  <dimension ref="A1:F192"/>
  <sheetViews>
    <sheetView showZeros="0" zoomScaleNormal="100" workbookViewId="0">
      <selection activeCell="E3" sqref="E3"/>
    </sheetView>
  </sheetViews>
  <sheetFormatPr defaultRowHeight="15"/>
  <cols>
    <col min="1" max="1" width="55" style="36" customWidth="1"/>
    <col min="2" max="2" width="9.28515625" style="36" customWidth="1"/>
    <col min="3" max="3" width="10.42578125" style="36" customWidth="1"/>
    <col min="4" max="4" width="14.85546875" style="36" customWidth="1"/>
    <col min="5" max="5" width="15" style="36" customWidth="1"/>
    <col min="6" max="16384" width="9.140625" style="36"/>
  </cols>
  <sheetData>
    <row r="1" spans="1:5" ht="16.5" thickBot="1">
      <c r="A1" s="70" t="s">
        <v>65</v>
      </c>
      <c r="B1" s="59"/>
    </row>
    <row r="2" spans="1:5" ht="15.75" thickBot="1">
      <c r="A2" s="71"/>
      <c r="B2" s="71"/>
      <c r="C2" s="71"/>
    </row>
    <row r="3" spans="1:5" ht="16.5" thickBot="1">
      <c r="A3" s="72" t="s">
        <v>4</v>
      </c>
      <c r="B3" s="71"/>
      <c r="C3" s="59"/>
    </row>
    <row r="4" spans="1:5" ht="15.75" thickBot="1">
      <c r="A4" s="73" t="s">
        <v>0</v>
      </c>
      <c r="B4" s="73" t="s">
        <v>1</v>
      </c>
      <c r="C4" s="74" t="s">
        <v>2</v>
      </c>
      <c r="D4" s="89"/>
      <c r="E4" s="60"/>
    </row>
    <row r="5" spans="1:5" ht="16.5" thickBot="1">
      <c r="A5" s="137" t="s">
        <v>179</v>
      </c>
      <c r="B5" s="137"/>
      <c r="C5" s="136"/>
      <c r="D5" s="60"/>
      <c r="E5" s="60"/>
    </row>
    <row r="6" spans="1:5">
      <c r="A6" s="164" t="str">
        <f>'TWO Formulae'!A8</f>
        <v>Windows OS</v>
      </c>
      <c r="B6" s="96"/>
      <c r="C6" s="97">
        <f>'TWO Formulae'!E8</f>
        <v>1000</v>
      </c>
      <c r="D6" s="148" t="str">
        <f>IF('TWO Formulae'!G8&gt;1,"!!!Choose one type of OS only!!!", "")</f>
        <v/>
      </c>
      <c r="E6" s="60"/>
    </row>
    <row r="7" spans="1:5">
      <c r="A7" s="165" t="str">
        <f>'TWO Formulae'!A9</f>
        <v>Linux OS</v>
      </c>
      <c r="B7" s="60"/>
      <c r="C7" s="93">
        <f>'TWO Formulae'!E9</f>
        <v>0</v>
      </c>
      <c r="D7" s="148" t="str">
        <f>IF('TWO Formulae'!G8=0,"!!!Choose at least one type of OS!!!", "")</f>
        <v/>
      </c>
      <c r="E7" s="60"/>
    </row>
    <row r="8" spans="1:5">
      <c r="A8" s="166" t="str">
        <f>'TWO Formulae'!A10</f>
        <v>AIX OS</v>
      </c>
      <c r="B8" s="52"/>
      <c r="C8" s="98">
        <f>'TWO Formulae'!E10</f>
        <v>0</v>
      </c>
      <c r="D8" s="60"/>
      <c r="E8" s="60"/>
    </row>
    <row r="9" spans="1:5">
      <c r="A9" s="166" t="str">
        <f>'TWO Formulae'!A11</f>
        <v>Fault tolerant configuration</v>
      </c>
      <c r="B9" s="52"/>
      <c r="C9" s="98">
        <f>'TWO Formulae'!E11</f>
        <v>2000</v>
      </c>
      <c r="D9" s="148" t="str">
        <f>IF(B114&lt;2,"!!!At least 2 Multi-Purpose instances should be sold!!!", "")</f>
        <v/>
      </c>
      <c r="E9" s="60"/>
    </row>
    <row r="10" spans="1:5">
      <c r="A10" s="166" t="str">
        <f>'TWO Formulae'!A12</f>
        <v>X.25 Support</v>
      </c>
      <c r="B10" s="52"/>
      <c r="C10" s="98">
        <f>'TWO Formulae'!E12</f>
        <v>1000</v>
      </c>
      <c r="D10" s="60"/>
      <c r="E10" s="60"/>
    </row>
    <row r="11" spans="1:5">
      <c r="A11" s="166" t="str">
        <f>'TWO Formulae'!A13</f>
        <v>Multi-stream extract and refresh</v>
      </c>
      <c r="B11" s="52"/>
      <c r="C11" s="98">
        <f>'TWO Formulae'!E13</f>
        <v>2000</v>
      </c>
      <c r="D11" s="60"/>
      <c r="E11" s="60"/>
    </row>
    <row r="12" spans="1:5">
      <c r="A12" s="166" t="str">
        <f>'TWO Formulae'!A14</f>
        <v xml:space="preserve">Thales HSM </v>
      </c>
      <c r="B12" s="52"/>
      <c r="C12" s="98">
        <f>'TWO Formulae'!E14</f>
        <v>1000</v>
      </c>
      <c r="D12" s="148" t="str">
        <f>IF('TWO Formulae'!G14&gt;1,"!!!Choose one type of HSM only!!!", "")</f>
        <v/>
      </c>
      <c r="E12" s="60"/>
    </row>
    <row r="13" spans="1:5">
      <c r="A13" s="166" t="str">
        <f>'TWO Formulae'!A15</f>
        <v>SafeNet ProtectServer (int. and ext.)</v>
      </c>
      <c r="B13" s="52"/>
      <c r="C13" s="98">
        <f>'TWO Formulae'!E15</f>
        <v>0</v>
      </c>
      <c r="D13" s="60"/>
      <c r="E13" s="60"/>
    </row>
    <row r="14" spans="1:5">
      <c r="A14" s="166" t="str">
        <f>'TWO Formulae'!A16</f>
        <v>SafeNet ProtectHost</v>
      </c>
      <c r="B14" s="52"/>
      <c r="C14" s="98">
        <f>'TWO Formulae'!E16</f>
        <v>0</v>
      </c>
      <c r="D14" s="60"/>
      <c r="E14" s="60"/>
    </row>
    <row r="15" spans="1:5">
      <c r="A15" s="166" t="str">
        <f>'TWO Formulae'!A17</f>
        <v>SafeNet Luna SP</v>
      </c>
      <c r="B15" s="52"/>
      <c r="C15" s="98">
        <f>'TWO Formulae'!E17</f>
        <v>0</v>
      </c>
      <c r="D15" s="60"/>
      <c r="E15" s="60"/>
    </row>
    <row r="16" spans="1:5" ht="15.75" thickBot="1">
      <c r="A16" s="165" t="str">
        <f>'TWO Formulae'!A18</f>
        <v>HP Atalla</v>
      </c>
      <c r="B16" s="50"/>
      <c r="C16" s="152">
        <f>'TWO Formulae'!E18</f>
        <v>0</v>
      </c>
      <c r="D16" s="60"/>
      <c r="E16" s="60"/>
    </row>
    <row r="17" spans="1:6" ht="16.5" thickBot="1">
      <c r="A17" s="153" t="s">
        <v>85</v>
      </c>
      <c r="B17" s="154"/>
      <c r="C17" s="155"/>
      <c r="D17" s="60"/>
      <c r="E17" s="60"/>
    </row>
    <row r="18" spans="1:6">
      <c r="A18" s="107" t="str">
        <f>'TWO Formulae'!A20</f>
        <v>Stand-In Authorizer</v>
      </c>
      <c r="B18" s="50"/>
      <c r="C18" s="152">
        <f>'TWO Formulae'!E20</f>
        <v>3000</v>
      </c>
      <c r="D18" s="95"/>
      <c r="E18" s="90"/>
    </row>
    <row r="19" spans="1:6">
      <c r="A19" s="127" t="str">
        <f>'TWO Formulae'!A21</f>
        <v>Algorithmix</v>
      </c>
      <c r="B19" s="52"/>
      <c r="C19" s="98">
        <f>'TWO Formulae'!E21</f>
        <v>9000</v>
      </c>
      <c r="D19" s="90"/>
      <c r="E19" s="90"/>
      <c r="F19" s="60"/>
    </row>
    <row r="20" spans="1:6">
      <c r="A20" s="249" t="str">
        <f>'TWO Formulae'!A22</f>
        <v>FIMI Engine</v>
      </c>
      <c r="B20" s="52"/>
      <c r="C20" s="98">
        <f>'TWO Formulae'!E22</f>
        <v>6000</v>
      </c>
      <c r="E20" s="60"/>
    </row>
    <row r="21" spans="1:6">
      <c r="A21" s="169" t="str">
        <f>'TWO Formulae'!A23</f>
        <v>ATMeye integration</v>
      </c>
      <c r="B21" s="52"/>
      <c r="C21" s="98">
        <f>'TWO Formulae'!E23</f>
        <v>0</v>
      </c>
      <c r="E21" s="60"/>
    </row>
    <row r="22" spans="1:6">
      <c r="A22" s="127" t="str">
        <f>'TWO Formulae'!A24</f>
        <v>Prepaid Products Distribution</v>
      </c>
      <c r="B22" s="60"/>
      <c r="C22" s="98">
        <f>'TWO Formulae'!E24</f>
        <v>2000</v>
      </c>
      <c r="D22" s="91"/>
      <c r="E22" s="91"/>
      <c r="F22" s="60"/>
    </row>
    <row r="23" spans="1:6">
      <c r="A23" s="127" t="str">
        <f>'TWO Formulae'!A25</f>
        <v>SMS-Notification</v>
      </c>
      <c r="B23" s="52"/>
      <c r="C23" s="98">
        <f>'TWO Formulae'!E25</f>
        <v>2000</v>
      </c>
    </row>
    <row r="24" spans="1:6">
      <c r="A24" s="127" t="str">
        <f>'TWO Formulae'!A26</f>
        <v>SMS-Banking</v>
      </c>
      <c r="B24" s="52"/>
      <c r="C24" s="98">
        <f>'TWO Formulae'!E26</f>
        <v>3000</v>
      </c>
    </row>
    <row r="25" spans="1:6">
      <c r="A25" s="127" t="str">
        <f>'TWO Formulae'!A27</f>
        <v>SMS/e-mail second factor authentication</v>
      </c>
      <c r="B25" s="52"/>
      <c r="C25" s="98">
        <f>'TWO Formulae'!E27</f>
        <v>2000</v>
      </c>
    </row>
    <row r="26" spans="1:6" ht="30" customHeight="1">
      <c r="A26" s="170" t="str">
        <f>'TWO Formulae'!A28</f>
        <v>Versatile Telebanking Interface (VTBI) for Internet and Mobile banking</v>
      </c>
      <c r="B26" s="52"/>
      <c r="C26" s="98">
        <f>'TWO Formulae'!E28</f>
        <v>12000</v>
      </c>
    </row>
    <row r="27" spans="1:6">
      <c r="A27" s="127" t="str">
        <f>'TWO Formulae'!A29</f>
        <v>Bank Messaging System</v>
      </c>
      <c r="B27" s="52"/>
      <c r="C27" s="98">
        <f>'TWO Formulae'!E29</f>
        <v>6000</v>
      </c>
    </row>
    <row r="28" spans="1:6" ht="15.75" thickBot="1">
      <c r="A28" s="127" t="str">
        <f>'TWO Formulae'!A30</f>
        <v>Loyalty Support (Merchant)</v>
      </c>
      <c r="B28" s="60"/>
      <c r="C28" s="156">
        <f>'TWO Formulae'!E30</f>
        <v>0</v>
      </c>
    </row>
    <row r="29" spans="1:6" ht="16.5" thickBot="1">
      <c r="A29" s="250" t="str">
        <f>'TWO Formulae'!A31</f>
        <v>Terminal Management</v>
      </c>
      <c r="B29" s="251"/>
      <c r="C29" s="252"/>
    </row>
    <row r="30" spans="1:6">
      <c r="A30" s="105" t="str">
        <f>'TWO Formulae'!A32</f>
        <v>ATM Management</v>
      </c>
      <c r="B30" s="96"/>
      <c r="C30" s="97">
        <f>'TWO Formulae'!E32</f>
        <v>9000</v>
      </c>
    </row>
    <row r="31" spans="1:6">
      <c r="A31" s="106" t="str">
        <f>'TWO Formulae'!A33</f>
        <v>NDC Support</v>
      </c>
      <c r="B31" s="52"/>
      <c r="C31" s="98">
        <f>'TWO Formulae'!E33</f>
        <v>3000</v>
      </c>
    </row>
    <row r="32" spans="1:6">
      <c r="A32" s="127" t="str">
        <f>'TWO Formulae'!A34</f>
        <v>DDC Support</v>
      </c>
      <c r="B32" s="52"/>
      <c r="C32" s="98">
        <f>'TWO Formulae'!E34</f>
        <v>3000</v>
      </c>
    </row>
    <row r="33" spans="1:4">
      <c r="A33" s="127" t="str">
        <f>'TWO Formulae'!A35</f>
        <v>Cash-In support</v>
      </c>
      <c r="B33" s="52"/>
      <c r="C33" s="98">
        <f>'TWO Formulae'!E35</f>
        <v>3000</v>
      </c>
    </row>
    <row r="34" spans="1:4">
      <c r="A34" s="127" t="str">
        <f>'TWO Formulae'!A36</f>
        <v>Wincor Nixdorf Procashin NDC+ support</v>
      </c>
      <c r="B34" s="52"/>
      <c r="C34" s="98">
        <f>'TWO Formulae'!E36</f>
        <v>1000</v>
      </c>
    </row>
    <row r="35" spans="1:4">
      <c r="A35" s="169" t="str">
        <f>'TWO Formulae'!A39</f>
        <v>Advanced ATM monitoring subsystem</v>
      </c>
      <c r="B35" s="52"/>
      <c r="C35" s="98">
        <f>'TWO Formulae'!E39</f>
        <v>6000</v>
      </c>
    </row>
    <row r="36" spans="1:4">
      <c r="A36" s="107" t="str">
        <f>'TWO Formulae'!A40</f>
        <v>POS-terminal Management</v>
      </c>
      <c r="B36" s="60"/>
      <c r="C36" s="152">
        <f>'TWO Formulae'!E40</f>
        <v>6000</v>
      </c>
    </row>
    <row r="37" spans="1:4">
      <c r="A37" s="127" t="str">
        <f>'TWO Formulae'!A41</f>
        <v>TPTP Support</v>
      </c>
      <c r="B37" s="52"/>
      <c r="C37" s="98">
        <f>'TWO Formulae'!E41</f>
        <v>0</v>
      </c>
    </row>
    <row r="38" spans="1:4" ht="15.75" thickBot="1">
      <c r="A38" s="266" t="str">
        <f>'TWO Formulae'!A42</f>
        <v>TITP Support</v>
      </c>
      <c r="B38" s="238"/>
      <c r="C38" s="128">
        <f>'TWO Formulae'!E42</f>
        <v>3000</v>
      </c>
    </row>
    <row r="39" spans="1:4" ht="16.5" thickBot="1">
      <c r="A39" s="250" t="str">
        <f>'TWO Formulae'!A43</f>
        <v>Payment Schemes</v>
      </c>
      <c r="B39" s="251"/>
      <c r="C39" s="252"/>
    </row>
    <row r="40" spans="1:4">
      <c r="A40" s="256" t="str">
        <f>'TWO Formulae'!A45</f>
        <v>VISA Issuing</v>
      </c>
      <c r="B40" s="257"/>
      <c r="C40" s="258"/>
      <c r="D40" s="95"/>
    </row>
    <row r="41" spans="1:4">
      <c r="A41" s="127" t="str">
        <f>'TWO Formulae'!A46</f>
        <v>EMV Support</v>
      </c>
      <c r="B41" s="99"/>
      <c r="C41" s="156">
        <f>'TWO Formulae'!E46</f>
        <v>9000</v>
      </c>
    </row>
    <row r="42" spans="1:4">
      <c r="A42" s="267" t="str">
        <f>'TWO Formulae'!A47</f>
        <v>VISA DPA Support</v>
      </c>
      <c r="B42" s="60"/>
      <c r="C42" s="93">
        <f>'TWO Formulae'!E47</f>
        <v>0</v>
      </c>
    </row>
    <row r="43" spans="1:4">
      <c r="A43" s="107" t="str">
        <f>'TWO Formulae'!A48</f>
        <v>VISA PayWave Support</v>
      </c>
      <c r="B43" s="60"/>
      <c r="C43" s="93">
        <f>'TWO Formulae'!E48</f>
        <v>0</v>
      </c>
    </row>
    <row r="44" spans="1:4">
      <c r="A44" s="107" t="str">
        <f>'TWO Formulae'!A49</f>
        <v>VbV Issuing Support (ACS interface)</v>
      </c>
      <c r="B44" s="60"/>
      <c r="C44" s="93">
        <f>'TWO Formulae'!E49</f>
        <v>0</v>
      </c>
    </row>
    <row r="45" spans="1:4">
      <c r="A45" s="259" t="str">
        <f>'TWO Formulae'!A50</f>
        <v>Direct Interface</v>
      </c>
      <c r="B45" s="50"/>
      <c r="C45" s="152">
        <f>'TWO Formulae'!E50</f>
        <v>12000</v>
      </c>
    </row>
    <row r="46" spans="1:4">
      <c r="A46" s="260" t="str">
        <f>'TWO Formulae'!A51</f>
        <v>VISA Acquiring</v>
      </c>
      <c r="B46" s="254"/>
      <c r="C46" s="261"/>
    </row>
    <row r="47" spans="1:4">
      <c r="A47" s="127" t="str">
        <f>'TWO Formulae'!A52</f>
        <v>EMV Support</v>
      </c>
      <c r="B47" s="99"/>
      <c r="C47" s="156">
        <f>'TWO Formulae'!E52</f>
        <v>9000</v>
      </c>
    </row>
    <row r="48" spans="1:4">
      <c r="A48" s="107" t="str">
        <f>'TWO Formulae'!A53</f>
        <v>Direct Interface</v>
      </c>
      <c r="B48" s="60"/>
      <c r="C48" s="93">
        <f>'TWO Formulae'!E53</f>
        <v>12000</v>
      </c>
    </row>
    <row r="49" spans="1:3">
      <c r="A49" s="262" t="str">
        <f>'TWO Formulae'!A55</f>
        <v>MC Issuing</v>
      </c>
      <c r="B49" s="253"/>
      <c r="C49" s="263"/>
    </row>
    <row r="50" spans="1:3">
      <c r="A50" s="127" t="str">
        <f>'TWO Formulae'!A56</f>
        <v>EMV Support</v>
      </c>
      <c r="B50" s="99"/>
      <c r="C50" s="156">
        <f>'TWO Formulae'!E56</f>
        <v>9000</v>
      </c>
    </row>
    <row r="51" spans="1:3">
      <c r="A51" s="267" t="str">
        <f>'TWO Formulae'!A57</f>
        <v>MC CAP Support</v>
      </c>
      <c r="B51" s="60"/>
      <c r="C51" s="93">
        <f>'TWO Formulae'!E57</f>
        <v>0</v>
      </c>
    </row>
    <row r="52" spans="1:3">
      <c r="A52" s="107" t="str">
        <f>'TWO Formulae'!A58</f>
        <v>MC PayPass Support</v>
      </c>
      <c r="B52" s="60"/>
      <c r="C52" s="93">
        <f>'TWO Formulae'!E58</f>
        <v>0</v>
      </c>
    </row>
    <row r="53" spans="1:3">
      <c r="A53" s="107" t="str">
        <f>'TWO Formulae'!A59</f>
        <v>MC SecureCode Issuing Support (ACS interface)</v>
      </c>
      <c r="B53" s="60"/>
      <c r="C53" s="93">
        <f>'TWO Formulae'!E59</f>
        <v>0</v>
      </c>
    </row>
    <row r="54" spans="1:3">
      <c r="A54" s="259" t="str">
        <f>'TWO Formulae'!A60</f>
        <v>Direct Interface</v>
      </c>
      <c r="B54" s="50"/>
      <c r="C54" s="152">
        <f>'TWO Formulae'!E60</f>
        <v>12000</v>
      </c>
    </row>
    <row r="55" spans="1:3">
      <c r="A55" s="262" t="str">
        <f>'TWO Formulae'!A61</f>
        <v>MC Acquiring</v>
      </c>
      <c r="B55" s="253"/>
      <c r="C55" s="263"/>
    </row>
    <row r="56" spans="1:3">
      <c r="A56" s="127" t="str">
        <f>'TWO Formulae'!A62</f>
        <v>EMV Support</v>
      </c>
      <c r="B56" s="99"/>
      <c r="C56" s="156">
        <f>'TWO Formulae'!E62</f>
        <v>9000</v>
      </c>
    </row>
    <row r="57" spans="1:3">
      <c r="A57" s="259" t="str">
        <f>'TWO Formulae'!A63</f>
        <v>Direct Interface</v>
      </c>
      <c r="B57" s="50"/>
      <c r="C57" s="152">
        <f>'TWO Formulae'!E63</f>
        <v>12000</v>
      </c>
    </row>
    <row r="58" spans="1:3">
      <c r="A58" s="262" t="str">
        <f>'TWO Formulae'!A65</f>
        <v>DCI Issuing</v>
      </c>
      <c r="B58" s="253"/>
      <c r="C58" s="263"/>
    </row>
    <row r="59" spans="1:3">
      <c r="A59" s="107" t="str">
        <f>'TWO Formulae'!A66</f>
        <v>DCI Global Interface</v>
      </c>
      <c r="B59" s="60"/>
      <c r="C59" s="93">
        <f>'TWO Formulae'!E66</f>
        <v>0</v>
      </c>
    </row>
    <row r="60" spans="1:3">
      <c r="A60" s="107" t="str">
        <f>'TWO Formulae'!A67</f>
        <v>DCI Asia Pacific Interface</v>
      </c>
      <c r="B60" s="60"/>
      <c r="C60" s="93">
        <f>'TWO Formulae'!E67</f>
        <v>0</v>
      </c>
    </row>
    <row r="61" spans="1:3">
      <c r="A61" s="259" t="str">
        <f>'TWO Formulae'!A68</f>
        <v>DCI Russia Interface</v>
      </c>
      <c r="B61" s="50"/>
      <c r="C61" s="152">
        <f>'TWO Formulae'!E68</f>
        <v>0</v>
      </c>
    </row>
    <row r="62" spans="1:3">
      <c r="A62" s="262" t="str">
        <f>'TWO Formulae'!A69</f>
        <v>DCI Acquiring</v>
      </c>
      <c r="B62" s="253"/>
      <c r="C62" s="263"/>
    </row>
    <row r="63" spans="1:3">
      <c r="A63" s="127" t="str">
        <f>'TWO Formulae'!A70</f>
        <v>DCI Global Interface</v>
      </c>
      <c r="B63" s="99"/>
      <c r="C63" s="156">
        <f>'TWO Formulae'!E70</f>
        <v>0</v>
      </c>
    </row>
    <row r="64" spans="1:3">
      <c r="A64" s="107" t="str">
        <f>'TWO Formulae'!A71</f>
        <v>DCI Asia Pacific Interface</v>
      </c>
      <c r="B64" s="60"/>
      <c r="C64" s="93">
        <f>'TWO Formulae'!E71</f>
        <v>0</v>
      </c>
    </row>
    <row r="65" spans="1:3">
      <c r="A65" s="107" t="str">
        <f>'TWO Formulae'!A72</f>
        <v>DCI Russia Interface</v>
      </c>
      <c r="B65" s="60"/>
      <c r="C65" s="93">
        <f>'TWO Formulae'!E72</f>
        <v>0</v>
      </c>
    </row>
    <row r="66" spans="1:3">
      <c r="A66" s="259" t="str">
        <f>'TWO Formulae'!A73</f>
        <v>ATM Acquiring (implies PULSE interface)</v>
      </c>
      <c r="B66" s="50"/>
      <c r="C66" s="152">
        <f>'TWO Formulae'!E73</f>
        <v>0</v>
      </c>
    </row>
    <row r="67" spans="1:3">
      <c r="A67" s="262" t="str">
        <f>'TWO Formulae'!A75</f>
        <v>AmEx Issuing</v>
      </c>
      <c r="B67" s="253"/>
      <c r="C67" s="263"/>
    </row>
    <row r="68" spans="1:3">
      <c r="A68" s="127" t="str">
        <f>'TWO Formulae'!A76</f>
        <v>EMV Support</v>
      </c>
      <c r="B68" s="99"/>
      <c r="C68" s="156">
        <f>'TWO Formulae'!E76</f>
        <v>0</v>
      </c>
    </row>
    <row r="69" spans="1:3">
      <c r="A69" s="259" t="str">
        <f>'TWO Formulae'!A77</f>
        <v>AmEx GNS ISO Interface</v>
      </c>
      <c r="B69" s="50"/>
      <c r="C69" s="152">
        <f>'TWO Formulae'!E77</f>
        <v>0</v>
      </c>
    </row>
    <row r="70" spans="1:3">
      <c r="A70" s="262" t="str">
        <f>'TWO Formulae'!A78</f>
        <v>AmEx Acquiring</v>
      </c>
      <c r="B70" s="253"/>
      <c r="C70" s="263"/>
    </row>
    <row r="71" spans="1:3">
      <c r="A71" s="127" t="str">
        <f>'TWO Formulae'!A79</f>
        <v>EMV Support</v>
      </c>
      <c r="B71" s="99"/>
      <c r="C71" s="156">
        <f>'TWO Formulae'!E79</f>
        <v>0</v>
      </c>
    </row>
    <row r="72" spans="1:3">
      <c r="A72" s="259" t="str">
        <f>'TWO Formulae'!A80</f>
        <v>AmEx GNS ISO Interface</v>
      </c>
      <c r="B72" s="50"/>
      <c r="C72" s="152">
        <f>'TWO Formulae'!E80</f>
        <v>0</v>
      </c>
    </row>
    <row r="73" spans="1:3">
      <c r="A73" s="262" t="str">
        <f>'TWO Formulae'!A82</f>
        <v>JCB Issuing</v>
      </c>
      <c r="B73" s="253"/>
      <c r="C73" s="263"/>
    </row>
    <row r="74" spans="1:3">
      <c r="A74" s="127" t="str">
        <f>'TWO Formulae'!A83</f>
        <v>EMV Support</v>
      </c>
      <c r="B74" s="99"/>
      <c r="C74" s="156">
        <f>'TWO Formulae'!E83</f>
        <v>0</v>
      </c>
    </row>
    <row r="75" spans="1:3">
      <c r="A75" s="259" t="str">
        <f>'TWO Formulae'!A84</f>
        <v>JCB Direct Issuing Interface</v>
      </c>
      <c r="B75" s="50"/>
      <c r="C75" s="152">
        <f>'TWO Formulae'!E84</f>
        <v>0</v>
      </c>
    </row>
    <row r="76" spans="1:3">
      <c r="A76" s="262" t="str">
        <f>'TWO Formulae'!A85</f>
        <v>JCB Acquiring</v>
      </c>
      <c r="B76" s="253"/>
      <c r="C76" s="263"/>
    </row>
    <row r="77" spans="1:3">
      <c r="A77" s="127" t="str">
        <f>'TWO Formulae'!A86</f>
        <v>EMV Support</v>
      </c>
      <c r="B77" s="99"/>
      <c r="C77" s="156">
        <f>'TWO Formulae'!E86</f>
        <v>0</v>
      </c>
    </row>
    <row r="78" spans="1:3">
      <c r="A78" s="259" t="str">
        <f>'TWO Formulae'!A87</f>
        <v>JCB Direct Acquiring Interface</v>
      </c>
      <c r="B78" s="50"/>
      <c r="C78" s="152">
        <f>'TWO Formulae'!E87</f>
        <v>0</v>
      </c>
    </row>
    <row r="79" spans="1:3">
      <c r="A79" s="264" t="str">
        <f>'TWO Formulae'!A89</f>
        <v>CUP Issuing</v>
      </c>
      <c r="B79" s="255"/>
      <c r="C79" s="265"/>
    </row>
    <row r="80" spans="1:3">
      <c r="A80" s="127" t="str">
        <f>'TWO Formulae'!A90</f>
        <v>EMV Support</v>
      </c>
      <c r="B80" s="99"/>
      <c r="C80" s="156">
        <f>'TWO Formulae'!E90</f>
        <v>0</v>
      </c>
    </row>
    <row r="81" spans="1:4">
      <c r="A81" s="259" t="str">
        <f>'TWO Formulae'!A91</f>
        <v>CUP Direct Issuing Interface</v>
      </c>
      <c r="B81" s="50"/>
      <c r="C81" s="152">
        <f>'TWO Formulae'!E91</f>
        <v>0</v>
      </c>
    </row>
    <row r="82" spans="1:4">
      <c r="A82" s="262" t="str">
        <f>'TWO Formulae'!A92</f>
        <v>CUP Acquiring</v>
      </c>
      <c r="B82" s="253"/>
      <c r="C82" s="263"/>
    </row>
    <row r="83" spans="1:4">
      <c r="A83" s="127" t="str">
        <f>'TWO Formulae'!A93</f>
        <v>EMV Support</v>
      </c>
      <c r="B83" s="99"/>
      <c r="C83" s="156">
        <f>'TWO Formulae'!E93</f>
        <v>0</v>
      </c>
    </row>
    <row r="84" spans="1:4">
      <c r="A84" s="107" t="str">
        <f>'TWO Formulae'!A94</f>
        <v>CUP Direct Acquiring Interface</v>
      </c>
      <c r="B84" s="60"/>
      <c r="C84" s="93">
        <f>'TWO Formulae'!E94</f>
        <v>0</v>
      </c>
    </row>
    <row r="85" spans="1:4">
      <c r="A85" s="106" t="str">
        <f>'TWO Formulae'!A95</f>
        <v>Dina Card (Serbia)</v>
      </c>
      <c r="B85" s="52"/>
      <c r="C85" s="98">
        <f>'TWO Formulae'!E95</f>
        <v>0</v>
      </c>
    </row>
    <row r="86" spans="1:4">
      <c r="A86" s="106" t="str">
        <f>'TWO Formulae'!A96</f>
        <v>BancNet (Philippines)</v>
      </c>
      <c r="B86" s="52"/>
      <c r="C86" s="98">
        <f>'TWO Formulae'!E96</f>
        <v>0</v>
      </c>
    </row>
    <row r="87" spans="1:4">
      <c r="A87" s="106" t="str">
        <f>'TWO Formulae'!A97</f>
        <v>BankNet VN (Vietnam)</v>
      </c>
      <c r="B87" s="52"/>
      <c r="C87" s="98">
        <f>'TWO Formulae'!E97</f>
        <v>0</v>
      </c>
    </row>
    <row r="88" spans="1:4">
      <c r="A88" s="106" t="str">
        <f>'TWO Formulae'!A98</f>
        <v>UAE Switch (UAE)</v>
      </c>
      <c r="B88" s="52"/>
      <c r="C88" s="98">
        <f>'TWO Formulae'!E98</f>
        <v>0</v>
      </c>
    </row>
    <row r="89" spans="1:4">
      <c r="A89" s="106" t="str">
        <f>'TWO Formulae'!A99</f>
        <v>SAMA (KSA)</v>
      </c>
      <c r="B89" s="52"/>
      <c r="C89" s="98">
        <f>'TWO Formulae'!E99</f>
        <v>0</v>
      </c>
    </row>
    <row r="90" spans="1:4">
      <c r="A90" s="106" t="str">
        <f>'TWO Formulae'!A100</f>
        <v>PULSE (USA)</v>
      </c>
      <c r="B90" s="52"/>
      <c r="C90" s="98">
        <f>'TWO Formulae'!E100</f>
        <v>0</v>
      </c>
    </row>
    <row r="91" spans="1:4">
      <c r="A91" s="106" t="str">
        <f>'TWO Formulae'!A101</f>
        <v>GetNet (Brazil)</v>
      </c>
      <c r="B91" s="52"/>
      <c r="C91" s="98">
        <f>'TWO Formulae'!E101</f>
        <v>0</v>
      </c>
    </row>
    <row r="92" spans="1:4">
      <c r="A92" s="106" t="str">
        <f>'TWO Formulae'!A102</f>
        <v>Tecban (Brazil)</v>
      </c>
      <c r="B92" s="52"/>
      <c r="C92" s="98">
        <f>'TWO Formulae'!E102</f>
        <v>0</v>
      </c>
    </row>
    <row r="93" spans="1:4">
      <c r="A93" s="127" t="str">
        <f>'TWO Formulae'!A103</f>
        <v>1-2-3 ATM Network (Egypt)</v>
      </c>
      <c r="B93" s="52"/>
      <c r="C93" s="98">
        <f>'TWO Formulae'!E103</f>
        <v>0</v>
      </c>
    </row>
    <row r="94" spans="1:4" ht="15.75" thickBot="1">
      <c r="A94" s="127" t="str">
        <f>'TWO Formulae'!A104</f>
        <v>SberCard ATM (Russia)</v>
      </c>
      <c r="B94" s="99"/>
      <c r="C94" s="156">
        <f>'TWO Formulae'!E104</f>
        <v>0</v>
      </c>
    </row>
    <row r="95" spans="1:4" ht="16.5" thickBot="1">
      <c r="A95" s="157" t="str">
        <f>'TWO Formulae'!A105</f>
        <v>Payment Options</v>
      </c>
      <c r="B95" s="158"/>
      <c r="C95" s="159"/>
    </row>
    <row r="96" spans="1:4">
      <c r="A96" s="165" t="str">
        <f>'TWO Formulae'!A106</f>
        <v>Card-based payments on all supported channels</v>
      </c>
      <c r="B96" s="50"/>
      <c r="C96" s="152">
        <f>'TWO Formulae'!E106</f>
        <v>6000</v>
      </c>
      <c r="D96" s="95"/>
    </row>
    <row r="97" spans="1:6" ht="15.75" thickBot="1">
      <c r="A97" s="127" t="str">
        <f>'TWO Formulae'!A107</f>
        <v>Peer-to-Peer payments support</v>
      </c>
      <c r="B97" s="50"/>
      <c r="C97" s="98">
        <f>'TWO Formulae'!E107</f>
        <v>3000</v>
      </c>
      <c r="F97" s="60"/>
    </row>
    <row r="98" spans="1:6" ht="16.5" thickBot="1">
      <c r="A98" s="157" t="str">
        <f>'TWO Formulae'!A108</f>
        <v>Specifications &amp; SDK</v>
      </c>
      <c r="B98" s="158"/>
      <c r="C98" s="159"/>
    </row>
    <row r="99" spans="1:6">
      <c r="A99" s="107" t="str">
        <f>'TWO Formulae'!A109</f>
        <v>TCI SDK</v>
      </c>
      <c r="B99" s="60"/>
      <c r="C99" s="152">
        <f>'TWO Formulae'!E109</f>
        <v>9000</v>
      </c>
    </row>
    <row r="100" spans="1:6">
      <c r="A100" s="106" t="str">
        <f>'TWO Formulae'!A110</f>
        <v>TIC/TCI Specification</v>
      </c>
      <c r="B100" s="52"/>
      <c r="C100" s="98">
        <f>'TWO Formulae'!E110</f>
        <v>3000</v>
      </c>
    </row>
    <row r="101" spans="1:6">
      <c r="A101" s="107" t="str">
        <f>'TWO Formulae'!A111</f>
        <v>TIP Specification</v>
      </c>
      <c r="B101" s="50"/>
      <c r="C101" s="98">
        <f>'TWO Formulae'!E111</f>
        <v>0</v>
      </c>
    </row>
    <row r="102" spans="1:6">
      <c r="A102" s="127" t="str">
        <f>'TWO Formulae'!A112</f>
        <v>TWO Refresh Specification</v>
      </c>
      <c r="B102" s="60"/>
      <c r="C102" s="98">
        <f>'TWO Formulae'!E112</f>
        <v>0</v>
      </c>
    </row>
    <row r="103" spans="1:6">
      <c r="A103" s="106" t="str">
        <f>'TWO Formulae'!A113</f>
        <v>UAMP Specification</v>
      </c>
      <c r="B103" s="52"/>
      <c r="C103" s="98">
        <f>'TWO Formulae'!E113</f>
        <v>0</v>
      </c>
    </row>
    <row r="104" spans="1:6">
      <c r="A104" s="106" t="str">
        <f>'TWO Formulae'!A114</f>
        <v>FIMI Specification</v>
      </c>
      <c r="B104" s="52"/>
      <c r="C104" s="98">
        <f>'TWO Formulae'!E114</f>
        <v>3000</v>
      </c>
    </row>
    <row r="105" spans="1:6">
      <c r="A105" s="107" t="str">
        <f>'TWO Formulae'!A115</f>
        <v>VTBI Specification</v>
      </c>
      <c r="B105" s="60"/>
      <c r="C105" s="98">
        <f>'TWO Formulae'!E115</f>
        <v>0</v>
      </c>
    </row>
    <row r="106" spans="1:6">
      <c r="A106" s="106" t="str">
        <f>'TWO Formulae'!A116</f>
        <v>TPTP Specification</v>
      </c>
      <c r="B106" s="52"/>
      <c r="C106" s="98">
        <f>'TWO Formulae'!E116</f>
        <v>0</v>
      </c>
    </row>
    <row r="107" spans="1:6" ht="15.75" thickBot="1">
      <c r="A107" s="108" t="str">
        <f>'TWO Formulae'!A117</f>
        <v>TITP Specification</v>
      </c>
      <c r="B107" s="71"/>
      <c r="C107" s="128">
        <f>'TWO Formulae'!E117</f>
        <v>0</v>
      </c>
    </row>
    <row r="108" spans="1:6" ht="15.75" thickBot="1">
      <c r="A108" s="75"/>
      <c r="B108" s="71"/>
      <c r="C108" s="76"/>
      <c r="D108" s="60"/>
    </row>
    <row r="109" spans="1:6" ht="15.75" thickBot="1">
      <c r="A109" s="94" t="s">
        <v>177</v>
      </c>
      <c r="B109" s="78"/>
      <c r="C109" s="85">
        <f>SUM(C6:C107)</f>
        <v>194000</v>
      </c>
    </row>
    <row r="110" spans="1:6" ht="15.75" thickBot="1">
      <c r="A110" s="82"/>
      <c r="B110" s="71"/>
      <c r="C110" s="83"/>
      <c r="D110" s="60"/>
    </row>
    <row r="111" spans="1:6" ht="16.5" thickBot="1">
      <c r="A111" s="77" t="s">
        <v>3</v>
      </c>
      <c r="B111" s="78"/>
      <c r="C111" s="68"/>
    </row>
    <row r="112" spans="1:6" ht="15.75" thickBot="1">
      <c r="A112" s="210" t="s">
        <v>0</v>
      </c>
      <c r="B112" s="73" t="s">
        <v>1</v>
      </c>
      <c r="C112" s="74" t="s">
        <v>2</v>
      </c>
    </row>
    <row r="113" spans="1:5" ht="15.75">
      <c r="A113" s="207" t="s">
        <v>204</v>
      </c>
      <c r="B113" s="208"/>
      <c r="C113" s="209"/>
    </row>
    <row r="114" spans="1:5">
      <c r="A114" s="168" t="str">
        <f>'TWO Formulae'!A119</f>
        <v>Number of Multi-Purpose Instances</v>
      </c>
      <c r="B114" s="167">
        <v>2</v>
      </c>
      <c r="C114" s="122">
        <f>'TWO Formulae'!B132</f>
        <v>10000</v>
      </c>
      <c r="D114" s="95" t="str">
        <f>IF(B114=0, "!!!At least 1 instance should be provided!!!","")</f>
        <v/>
      </c>
    </row>
    <row r="115" spans="1:5">
      <c r="A115" s="168" t="str">
        <f>'TWO Formulae'!A134</f>
        <v>Number of Dedicated Instances</v>
      </c>
      <c r="B115" s="167">
        <v>0</v>
      </c>
      <c r="C115" s="122">
        <f>'TWO Formulae'!B147</f>
        <v>0</v>
      </c>
    </row>
    <row r="116" spans="1:5">
      <c r="A116" s="168" t="str">
        <f>'TWO Formulae'!A149</f>
        <v>Number of Client License Keys</v>
      </c>
      <c r="B116" s="167">
        <v>5</v>
      </c>
      <c r="C116" s="122">
        <f>'TWO Formulae'!B162</f>
        <v>2400</v>
      </c>
      <c r="D116" s="95" t="str">
        <f>IF(AND(B116&lt;2, 'TWO Formulae'!B6=TRUE), "!!!At least 2 license keys should be provided!!!","")</f>
        <v/>
      </c>
    </row>
    <row r="117" spans="1:5">
      <c r="A117" s="168" t="str">
        <f>'TWO Formulae'!A164</f>
        <v>Number of Financial Institutions</v>
      </c>
      <c r="B117" s="167">
        <v>1</v>
      </c>
      <c r="C117" s="122">
        <f>'TWO Formulae'!B177</f>
        <v>0</v>
      </c>
      <c r="D117" s="95" t="str">
        <f>IF(AND(B117&lt;1, 'TWO Formulae'!B6=TRUE), "!!!At least 1 financial institution should be provided!!!","")</f>
        <v/>
      </c>
    </row>
    <row r="118" spans="1:5">
      <c r="A118" s="168" t="str">
        <f>'TWO Formulae'!A194</f>
        <v>Current Number of ATM/Kiosks</v>
      </c>
      <c r="B118" s="167">
        <v>0</v>
      </c>
      <c r="C118" s="204" t="s">
        <v>49</v>
      </c>
      <c r="D118" s="95" t="str">
        <f>IF(AND(B118&gt;0, 'TWO Formulae'!B6=TRUE), "!!!Use this option for secondary sale only!!!","")</f>
        <v/>
      </c>
    </row>
    <row r="119" spans="1:5">
      <c r="A119" s="168" t="str">
        <f>'TWO Formulae'!A195</f>
        <v>Additional ATM/Kiosks</v>
      </c>
      <c r="B119" s="200">
        <v>500</v>
      </c>
      <c r="C119" s="122">
        <f>'TWO Formulae'!D195</f>
        <v>48000</v>
      </c>
      <c r="D119" s="95"/>
    </row>
    <row r="120" spans="1:5">
      <c r="A120" s="168" t="str">
        <f>'TWO Formulae'!A212</f>
        <v>Current Number of POS</v>
      </c>
      <c r="B120" s="167"/>
      <c r="C120" s="204" t="s">
        <v>49</v>
      </c>
      <c r="D120" s="95" t="str">
        <f>IF(AND(B120&gt;0, 'TWO Formulae'!B6=TRUE), "!!!Use this option for secondary sale only!!!","")</f>
        <v/>
      </c>
    </row>
    <row r="121" spans="1:5">
      <c r="A121" s="168" t="str">
        <f>'TWO Formulae'!A213</f>
        <v>Additional POS</v>
      </c>
      <c r="B121" s="167">
        <v>2000</v>
      </c>
      <c r="C121" s="122">
        <f>'TWO Formulae'!D213</f>
        <v>26000</v>
      </c>
      <c r="D121" s="95"/>
    </row>
    <row r="122" spans="1:5">
      <c r="A122" s="168" t="str">
        <f>'TWO Formulae'!A231</f>
        <v>Current Number of transactions per month</v>
      </c>
      <c r="B122" s="167">
        <v>0</v>
      </c>
      <c r="C122" s="204" t="s">
        <v>49</v>
      </c>
      <c r="D122" s="95" t="str">
        <f>IF(AND(B122&gt;0, 'TWO Formulae'!B6=TRUE), "!!!Use this option for secondary sale only!!!","")</f>
        <v/>
      </c>
    </row>
    <row r="123" spans="1:5">
      <c r="A123" s="168" t="str">
        <f>'TWO Formulae'!A232</f>
        <v>Additional transactions per month</v>
      </c>
      <c r="B123" s="167">
        <v>1500000</v>
      </c>
      <c r="C123" s="122">
        <f>'TWO Formulae'!D232</f>
        <v>79000</v>
      </c>
      <c r="D123" s="95"/>
    </row>
    <row r="124" spans="1:5">
      <c r="A124" s="168" t="str">
        <f>'TWO Formulae'!A179</f>
        <v>Number of FIMI users</v>
      </c>
      <c r="B124" s="167">
        <v>20</v>
      </c>
      <c r="C124" s="122">
        <f>'TWO Formulae'!B192</f>
        <v>6000</v>
      </c>
      <c r="D124" s="95"/>
    </row>
    <row r="125" spans="1:5">
      <c r="A125" s="214"/>
      <c r="B125" s="215"/>
      <c r="C125" s="122"/>
      <c r="D125" s="269">
        <f>C124+C123+C121+C119+C116+C114</f>
        <v>171400</v>
      </c>
      <c r="E125" s="270">
        <f>D125+C109</f>
        <v>365400</v>
      </c>
    </row>
    <row r="126" spans="1:5" ht="15.75">
      <c r="A126" s="177" t="s">
        <v>119</v>
      </c>
      <c r="B126" s="178"/>
      <c r="C126" s="130"/>
    </row>
    <row r="127" spans="1:5">
      <c r="A127" s="175" t="s">
        <v>137</v>
      </c>
      <c r="B127" s="176">
        <v>1</v>
      </c>
      <c r="C127" s="132" t="s">
        <v>49</v>
      </c>
    </row>
    <row r="128" spans="1:5">
      <c r="A128" s="129" t="s">
        <v>141</v>
      </c>
      <c r="B128" s="133">
        <v>1</v>
      </c>
      <c r="C128" s="132" t="s">
        <v>49</v>
      </c>
    </row>
    <row r="129" spans="1:3">
      <c r="A129" s="129" t="s">
        <v>138</v>
      </c>
      <c r="B129" s="133">
        <v>0</v>
      </c>
      <c r="C129" s="132" t="s">
        <v>49</v>
      </c>
    </row>
    <row r="130" spans="1:3">
      <c r="A130" s="129" t="s">
        <v>139</v>
      </c>
      <c r="B130" s="133">
        <v>0</v>
      </c>
      <c r="C130" s="132" t="s">
        <v>49</v>
      </c>
    </row>
    <row r="131" spans="1:3">
      <c r="A131" s="129" t="s">
        <v>140</v>
      </c>
      <c r="B131" s="133">
        <v>0</v>
      </c>
      <c r="C131" s="132" t="s">
        <v>49</v>
      </c>
    </row>
    <row r="132" spans="1:3">
      <c r="A132" s="129" t="s">
        <v>142</v>
      </c>
      <c r="B132" s="133">
        <v>0</v>
      </c>
      <c r="C132" s="132" t="s">
        <v>49</v>
      </c>
    </row>
    <row r="133" spans="1:3">
      <c r="A133" s="129" t="s">
        <v>143</v>
      </c>
      <c r="B133" s="133">
        <v>0</v>
      </c>
      <c r="C133" s="132" t="s">
        <v>49</v>
      </c>
    </row>
    <row r="134" spans="1:3">
      <c r="A134" s="129" t="s">
        <v>144</v>
      </c>
      <c r="B134" s="133">
        <v>0</v>
      </c>
      <c r="C134" s="132" t="s">
        <v>49</v>
      </c>
    </row>
    <row r="135" spans="1:3">
      <c r="A135" s="129" t="s">
        <v>145</v>
      </c>
      <c r="B135" s="133">
        <v>0</v>
      </c>
      <c r="C135" s="132" t="s">
        <v>49</v>
      </c>
    </row>
    <row r="136" spans="1:3">
      <c r="A136" s="129" t="s">
        <v>146</v>
      </c>
      <c r="B136" s="133">
        <v>0</v>
      </c>
      <c r="C136" s="132" t="s">
        <v>49</v>
      </c>
    </row>
    <row r="137" spans="1:3">
      <c r="A137" s="129" t="s">
        <v>147</v>
      </c>
      <c r="B137" s="133">
        <v>0</v>
      </c>
      <c r="C137" s="132" t="s">
        <v>49</v>
      </c>
    </row>
    <row r="138" spans="1:3">
      <c r="A138" s="160" t="s">
        <v>160</v>
      </c>
      <c r="B138" s="133">
        <v>0</v>
      </c>
      <c r="C138" s="132" t="s">
        <v>49</v>
      </c>
    </row>
    <row r="139" spans="1:3">
      <c r="A139" s="160" t="s">
        <v>161</v>
      </c>
      <c r="B139" s="133">
        <v>0</v>
      </c>
      <c r="C139" s="132" t="s">
        <v>49</v>
      </c>
    </row>
    <row r="140" spans="1:3">
      <c r="A140" s="160" t="s">
        <v>162</v>
      </c>
      <c r="B140" s="133">
        <v>0</v>
      </c>
      <c r="C140" s="132" t="s">
        <v>49</v>
      </c>
    </row>
    <row r="141" spans="1:3">
      <c r="A141" s="160" t="s">
        <v>163</v>
      </c>
      <c r="B141" s="133">
        <v>0</v>
      </c>
      <c r="C141" s="132" t="s">
        <v>49</v>
      </c>
    </row>
    <row r="142" spans="1:3">
      <c r="A142" s="160" t="s">
        <v>164</v>
      </c>
      <c r="B142" s="133">
        <v>0</v>
      </c>
      <c r="C142" s="132" t="s">
        <v>49</v>
      </c>
    </row>
    <row r="143" spans="1:3">
      <c r="A143" s="160" t="s">
        <v>165</v>
      </c>
      <c r="B143" s="133">
        <v>0</v>
      </c>
      <c r="C143" s="132" t="s">
        <v>49</v>
      </c>
    </row>
    <row r="144" spans="1:3">
      <c r="A144" s="160" t="s">
        <v>166</v>
      </c>
      <c r="B144" s="133">
        <v>0</v>
      </c>
      <c r="C144" s="132" t="s">
        <v>49</v>
      </c>
    </row>
    <row r="145" spans="1:3">
      <c r="A145" s="160" t="s">
        <v>167</v>
      </c>
      <c r="B145" s="133">
        <v>0</v>
      </c>
      <c r="C145" s="132" t="s">
        <v>49</v>
      </c>
    </row>
    <row r="146" spans="1:3">
      <c r="A146" s="160" t="s">
        <v>168</v>
      </c>
      <c r="B146" s="133">
        <v>0</v>
      </c>
      <c r="C146" s="132" t="s">
        <v>49</v>
      </c>
    </row>
    <row r="147" spans="1:3">
      <c r="A147" s="160" t="s">
        <v>169</v>
      </c>
      <c r="B147" s="133">
        <v>0</v>
      </c>
      <c r="C147" s="132" t="s">
        <v>49</v>
      </c>
    </row>
    <row r="148" spans="1:3">
      <c r="A148" s="129" t="s">
        <v>148</v>
      </c>
      <c r="B148" s="133">
        <v>0</v>
      </c>
      <c r="C148" s="132" t="s">
        <v>49</v>
      </c>
    </row>
    <row r="149" spans="1:3" ht="15.75">
      <c r="A149" s="131" t="s">
        <v>149</v>
      </c>
      <c r="B149" s="134"/>
      <c r="C149" s="130"/>
    </row>
    <row r="150" spans="1:3">
      <c r="A150" s="129" t="s">
        <v>150</v>
      </c>
      <c r="B150" s="133">
        <v>0</v>
      </c>
      <c r="C150" s="132" t="s">
        <v>49</v>
      </c>
    </row>
    <row r="151" spans="1:3">
      <c r="A151" s="129" t="s">
        <v>40</v>
      </c>
      <c r="B151" s="133">
        <v>1</v>
      </c>
      <c r="C151" s="132" t="s">
        <v>49</v>
      </c>
    </row>
    <row r="152" spans="1:3">
      <c r="A152" s="129" t="s">
        <v>151</v>
      </c>
      <c r="B152" s="133">
        <v>0</v>
      </c>
      <c r="C152" s="132" t="s">
        <v>49</v>
      </c>
    </row>
    <row r="153" spans="1:3">
      <c r="A153" s="129" t="s">
        <v>152</v>
      </c>
      <c r="B153" s="133">
        <v>0</v>
      </c>
      <c r="C153" s="132" t="s">
        <v>49</v>
      </c>
    </row>
    <row r="154" spans="1:3">
      <c r="A154" s="129" t="s">
        <v>153</v>
      </c>
      <c r="B154" s="133">
        <v>0</v>
      </c>
      <c r="C154" s="132" t="s">
        <v>49</v>
      </c>
    </row>
    <row r="155" spans="1:3">
      <c r="A155" s="129" t="s">
        <v>154</v>
      </c>
      <c r="B155" s="133">
        <v>0</v>
      </c>
      <c r="C155" s="132" t="s">
        <v>49</v>
      </c>
    </row>
    <row r="156" spans="1:3">
      <c r="A156" s="129" t="s">
        <v>155</v>
      </c>
      <c r="B156" s="133">
        <v>0</v>
      </c>
      <c r="C156" s="132" t="s">
        <v>49</v>
      </c>
    </row>
    <row r="157" spans="1:3">
      <c r="A157" s="129" t="s">
        <v>156</v>
      </c>
      <c r="B157" s="133">
        <v>0</v>
      </c>
      <c r="C157" s="132" t="s">
        <v>49</v>
      </c>
    </row>
    <row r="158" spans="1:3">
      <c r="A158" s="129" t="s">
        <v>157</v>
      </c>
      <c r="B158" s="133">
        <v>0</v>
      </c>
      <c r="C158" s="132" t="s">
        <v>49</v>
      </c>
    </row>
    <row r="159" spans="1:3">
      <c r="A159" s="129" t="s">
        <v>158</v>
      </c>
      <c r="B159" s="133">
        <v>0</v>
      </c>
      <c r="C159" s="132" t="s">
        <v>49</v>
      </c>
    </row>
    <row r="160" spans="1:3">
      <c r="A160" s="129" t="s">
        <v>159</v>
      </c>
      <c r="B160" s="133">
        <v>0</v>
      </c>
      <c r="C160" s="132" t="s">
        <v>49</v>
      </c>
    </row>
    <row r="161" spans="1:4" ht="15.75">
      <c r="A161" s="131" t="s">
        <v>170</v>
      </c>
      <c r="B161" s="134"/>
      <c r="C161" s="130"/>
    </row>
    <row r="162" spans="1:4">
      <c r="A162" s="129" t="s">
        <v>13</v>
      </c>
      <c r="B162" s="133">
        <v>0</v>
      </c>
      <c r="C162" s="132" t="s">
        <v>49</v>
      </c>
    </row>
    <row r="163" spans="1:4">
      <c r="A163" s="129" t="s">
        <v>14</v>
      </c>
      <c r="B163" s="133">
        <v>0</v>
      </c>
      <c r="C163" s="132" t="s">
        <v>49</v>
      </c>
      <c r="D163" s="95"/>
    </row>
    <row r="164" spans="1:4">
      <c r="A164" s="129" t="s">
        <v>15</v>
      </c>
      <c r="B164" s="133">
        <v>0</v>
      </c>
      <c r="C164" s="132" t="s">
        <v>49</v>
      </c>
    </row>
    <row r="165" spans="1:4">
      <c r="A165" s="129" t="s">
        <v>16</v>
      </c>
      <c r="B165" s="133">
        <v>0</v>
      </c>
      <c r="C165" s="132" t="s">
        <v>49</v>
      </c>
    </row>
    <row r="166" spans="1:4">
      <c r="A166" s="129" t="s">
        <v>17</v>
      </c>
      <c r="B166" s="133">
        <v>0</v>
      </c>
      <c r="C166" s="132" t="s">
        <v>49</v>
      </c>
    </row>
    <row r="167" spans="1:4">
      <c r="A167" s="129" t="s">
        <v>121</v>
      </c>
      <c r="B167" s="133">
        <v>0</v>
      </c>
      <c r="C167" s="132" t="s">
        <v>49</v>
      </c>
    </row>
    <row r="168" spans="1:4">
      <c r="A168" s="129" t="s">
        <v>122</v>
      </c>
      <c r="B168" s="133">
        <v>0</v>
      </c>
      <c r="C168" s="132" t="s">
        <v>49</v>
      </c>
    </row>
    <row r="169" spans="1:4">
      <c r="A169" s="129" t="s">
        <v>130</v>
      </c>
      <c r="B169" s="133">
        <v>0</v>
      </c>
      <c r="C169" s="132" t="s">
        <v>49</v>
      </c>
    </row>
    <row r="170" spans="1:4">
      <c r="A170" s="129" t="s">
        <v>129</v>
      </c>
      <c r="B170" s="133">
        <v>0</v>
      </c>
      <c r="C170" s="132" t="s">
        <v>49</v>
      </c>
    </row>
    <row r="171" spans="1:4">
      <c r="A171" s="160" t="s">
        <v>126</v>
      </c>
      <c r="B171" s="133">
        <v>0</v>
      </c>
      <c r="C171" s="132" t="s">
        <v>49</v>
      </c>
    </row>
    <row r="172" spans="1:4">
      <c r="A172" s="160" t="s">
        <v>131</v>
      </c>
      <c r="B172" s="133">
        <v>0</v>
      </c>
      <c r="C172" s="132" t="s">
        <v>49</v>
      </c>
    </row>
    <row r="173" spans="1:4">
      <c r="A173" s="160" t="s">
        <v>132</v>
      </c>
      <c r="B173" s="133">
        <v>0</v>
      </c>
      <c r="C173" s="132" t="s">
        <v>49</v>
      </c>
    </row>
    <row r="174" spans="1:4">
      <c r="A174" s="160" t="s">
        <v>133</v>
      </c>
      <c r="B174" s="133">
        <v>0</v>
      </c>
      <c r="C174" s="132" t="s">
        <v>49</v>
      </c>
    </row>
    <row r="175" spans="1:4">
      <c r="A175" s="160" t="s">
        <v>134</v>
      </c>
      <c r="B175" s="133">
        <v>0</v>
      </c>
      <c r="C175" s="132" t="s">
        <v>49</v>
      </c>
    </row>
    <row r="176" spans="1:4">
      <c r="A176" s="160" t="s">
        <v>135</v>
      </c>
      <c r="B176" s="133">
        <v>0</v>
      </c>
      <c r="C176" s="132" t="s">
        <v>49</v>
      </c>
    </row>
    <row r="177" spans="1:5">
      <c r="A177" s="160" t="s">
        <v>136</v>
      </c>
      <c r="B177" s="133">
        <v>0</v>
      </c>
      <c r="C177" s="135" t="s">
        <v>49</v>
      </c>
    </row>
    <row r="178" spans="1:5" ht="15.75">
      <c r="A178" s="131" t="s">
        <v>171</v>
      </c>
      <c r="B178" s="134"/>
      <c r="C178" s="130"/>
    </row>
    <row r="179" spans="1:5">
      <c r="A179" s="129" t="s">
        <v>123</v>
      </c>
      <c r="B179" s="133">
        <v>0</v>
      </c>
      <c r="C179" s="132" t="s">
        <v>49</v>
      </c>
    </row>
    <row r="180" spans="1:5">
      <c r="A180" s="129" t="s">
        <v>124</v>
      </c>
      <c r="B180" s="133">
        <v>0</v>
      </c>
      <c r="C180" s="132" t="s">
        <v>49</v>
      </c>
    </row>
    <row r="181" spans="1:5">
      <c r="A181" s="129" t="s">
        <v>125</v>
      </c>
      <c r="B181" s="133">
        <v>0</v>
      </c>
      <c r="C181" s="132" t="s">
        <v>49</v>
      </c>
    </row>
    <row r="182" spans="1:5">
      <c r="A182" s="129" t="s">
        <v>127</v>
      </c>
      <c r="B182" s="133">
        <v>0</v>
      </c>
      <c r="C182" s="132" t="s">
        <v>49</v>
      </c>
    </row>
    <row r="183" spans="1:5">
      <c r="A183" s="129" t="s">
        <v>128</v>
      </c>
      <c r="B183" s="133">
        <v>0</v>
      </c>
      <c r="C183" s="132" t="s">
        <v>49</v>
      </c>
    </row>
    <row r="184" spans="1:5">
      <c r="A184" s="160" t="s">
        <v>187</v>
      </c>
      <c r="B184" s="133">
        <v>0</v>
      </c>
      <c r="C184" s="132" t="s">
        <v>49</v>
      </c>
    </row>
    <row r="185" spans="1:5" ht="15.75" thickBot="1">
      <c r="A185" s="194"/>
      <c r="B185" s="195" t="s">
        <v>172</v>
      </c>
      <c r="C185" s="196" t="e">
        <f>'TWO Formulae'!B266</f>
        <v>#N/A</v>
      </c>
    </row>
    <row r="186" spans="1:5" ht="15.75" thickBot="1">
      <c r="A186" s="197" t="s">
        <v>198</v>
      </c>
      <c r="B186" s="198"/>
      <c r="C186" s="199" t="e">
        <f>SUM(C114:C124,C185)</f>
        <v>#N/A</v>
      </c>
    </row>
    <row r="187" spans="1:5" ht="15.75" thickBot="1">
      <c r="A187" s="82"/>
      <c r="B187" s="71"/>
      <c r="C187" s="83"/>
    </row>
    <row r="188" spans="1:5" ht="15.75" thickBot="1">
      <c r="A188" s="84" t="s">
        <v>64</v>
      </c>
      <c r="B188" s="78"/>
      <c r="C188" s="85"/>
      <c r="D188" s="60"/>
    </row>
    <row r="189" spans="1:5">
      <c r="A189" s="101" t="s">
        <v>62</v>
      </c>
      <c r="B189" s="96"/>
      <c r="C189" s="102" t="e">
        <f>SUM(C109,C186)</f>
        <v>#N/A</v>
      </c>
      <c r="D189" s="60"/>
    </row>
    <row r="190" spans="1:5" ht="30.75" thickBot="1">
      <c r="A190" s="81" t="s">
        <v>120</v>
      </c>
      <c r="B190" s="173"/>
      <c r="C190" s="172">
        <v>0</v>
      </c>
    </row>
    <row r="191" spans="1:5" ht="15.75" thickBot="1">
      <c r="A191" s="81" t="s">
        <v>84</v>
      </c>
      <c r="B191" s="87"/>
      <c r="C191" s="88" t="e">
        <f>C189-(C189*C190)</f>
        <v>#N/A</v>
      </c>
      <c r="D191" s="174" t="str">
        <f>IF(C190&gt;20%, "!!!Set discount is higher than allowed, please receive RSD approval before submitting!!!", " ")</f>
        <v xml:space="preserve"> </v>
      </c>
    </row>
    <row r="192" spans="1:5">
      <c r="E192" s="60"/>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sheetPr codeName="Sheet6"/>
  <dimension ref="A2:P289"/>
  <sheetViews>
    <sheetView tabSelected="1" workbookViewId="0">
      <pane ySplit="6" topLeftCell="A245" activePane="bottomLeft" state="frozen"/>
      <selection pane="bottomLeft" activeCell="B245" sqref="B245"/>
    </sheetView>
  </sheetViews>
  <sheetFormatPr defaultRowHeight="15"/>
  <cols>
    <col min="1" max="1" width="54.140625" customWidth="1"/>
    <col min="2" max="2" width="14.7109375" customWidth="1"/>
    <col min="3" max="3" width="15.5703125" customWidth="1"/>
    <col min="4" max="4" width="15.140625" customWidth="1"/>
    <col min="5" max="5" width="16.140625" customWidth="1"/>
    <col min="6" max="6" width="13.5703125" customWidth="1"/>
    <col min="7" max="7" width="8.140625" customWidth="1"/>
    <col min="8" max="9" width="13.5703125" customWidth="1"/>
    <col min="10" max="10" width="30.85546875" customWidth="1"/>
    <col min="11" max="11" width="9" customWidth="1"/>
    <col min="12" max="12" width="8.42578125" style="25" customWidth="1"/>
    <col min="13" max="13" width="8" bestFit="1" customWidth="1"/>
    <col min="14" max="14" width="13.5703125" bestFit="1" customWidth="1"/>
    <col min="15" max="15" width="10.7109375" bestFit="1" customWidth="1"/>
    <col min="16" max="16" width="12.28515625" bestFit="1" customWidth="1"/>
    <col min="17" max="17" width="9.5703125" bestFit="1" customWidth="1"/>
    <col min="19" max="19" width="14.140625" customWidth="1"/>
  </cols>
  <sheetData>
    <row r="2" spans="1:12">
      <c r="A2" t="s">
        <v>221</v>
      </c>
      <c r="B2" s="10">
        <v>100000</v>
      </c>
    </row>
    <row r="3" spans="1:12">
      <c r="A3" t="s">
        <v>222</v>
      </c>
      <c r="B3" s="10">
        <v>400000</v>
      </c>
    </row>
    <row r="4" spans="1:12">
      <c r="A4" t="s">
        <v>223</v>
      </c>
      <c r="B4">
        <f>SUM(H7:H117)</f>
        <v>713</v>
      </c>
    </row>
    <row r="6" spans="1:12" ht="30">
      <c r="A6" s="192" t="s">
        <v>66</v>
      </c>
      <c r="B6" s="193" t="b">
        <v>1</v>
      </c>
      <c r="C6" s="234" t="s">
        <v>227</v>
      </c>
      <c r="D6" s="234" t="s">
        <v>228</v>
      </c>
      <c r="E6" s="235" t="s">
        <v>217</v>
      </c>
      <c r="F6" s="124"/>
      <c r="G6" s="124"/>
      <c r="H6" s="236" t="s">
        <v>224</v>
      </c>
      <c r="I6" s="236" t="s">
        <v>229</v>
      </c>
      <c r="J6" s="236" t="s">
        <v>269</v>
      </c>
      <c r="K6" s="125"/>
      <c r="L6" s="149"/>
    </row>
    <row r="7" spans="1:12">
      <c r="A7" s="179" t="s">
        <v>196</v>
      </c>
      <c r="B7" s="180"/>
      <c r="C7" s="180"/>
      <c r="D7" s="180"/>
      <c r="E7" s="181"/>
      <c r="F7" s="124"/>
      <c r="G7" s="124"/>
      <c r="K7" s="125"/>
      <c r="L7" s="149"/>
    </row>
    <row r="8" spans="1:12">
      <c r="A8" s="182" t="s">
        <v>180</v>
      </c>
      <c r="B8" s="123" t="b">
        <v>1</v>
      </c>
      <c r="C8" s="222">
        <f>ROUNDUP(IF(AND(B8=TRUE, $B$6=FALSE), IF(I8=0,H8/$B$4*$B$3*2,I8), 0),-3)</f>
        <v>0</v>
      </c>
      <c r="D8" s="222">
        <f>ROUNDUP(IF(AND(B8=TRUE, $B$6=TRUE), H8/$B$4*$B$3, 0),-3)</f>
        <v>1000</v>
      </c>
      <c r="E8" s="183">
        <f>SUM(C8:D8)</f>
        <v>1000</v>
      </c>
      <c r="F8" s="124">
        <f>IF(B8=TRUE, 1,0)</f>
        <v>1</v>
      </c>
      <c r="G8" s="124">
        <f>SUM(F8:F12)</f>
        <v>1</v>
      </c>
      <c r="H8">
        <v>1</v>
      </c>
      <c r="J8" s="9"/>
      <c r="K8" s="125"/>
      <c r="L8" s="149"/>
    </row>
    <row r="9" spans="1:12">
      <c r="A9" s="182" t="s">
        <v>181</v>
      </c>
      <c r="B9" s="123" t="b">
        <v>0</v>
      </c>
      <c r="C9" s="222">
        <f t="shared" ref="C9:C18" si="0">ROUNDUP(IF(AND(B9=TRUE, $B$6=FALSE), IF(I9=0,H9/$B$4*$B$3*2,I9), 0),-3)</f>
        <v>0</v>
      </c>
      <c r="D9" s="222">
        <f t="shared" ref="D9:D18" si="1">ROUNDUP(IF(AND(B9=TRUE, $B$6=TRUE), H9/$B$4*$B$3, 0),-3)</f>
        <v>0</v>
      </c>
      <c r="E9" s="183">
        <f t="shared" ref="E9:E10" si="2">SUM(C9:D9)</f>
        <v>0</v>
      </c>
      <c r="F9" s="124">
        <f t="shared" ref="F9:F10" si="3">IF(B9=TRUE, 1,0)</f>
        <v>0</v>
      </c>
      <c r="G9" s="124"/>
      <c r="H9">
        <v>2</v>
      </c>
      <c r="J9" s="9"/>
      <c r="K9" s="125"/>
      <c r="L9" s="149"/>
    </row>
    <row r="10" spans="1:12">
      <c r="A10" s="182" t="s">
        <v>182</v>
      </c>
      <c r="B10" s="123" t="b">
        <v>0</v>
      </c>
      <c r="C10" s="222">
        <f t="shared" si="0"/>
        <v>0</v>
      </c>
      <c r="D10" s="222">
        <f t="shared" si="1"/>
        <v>0</v>
      </c>
      <c r="E10" s="183">
        <f t="shared" si="2"/>
        <v>0</v>
      </c>
      <c r="F10" s="124">
        <f t="shared" si="3"/>
        <v>0</v>
      </c>
      <c r="G10" s="124"/>
      <c r="H10">
        <v>3</v>
      </c>
      <c r="J10" s="9"/>
      <c r="K10" s="125"/>
      <c r="L10" s="149"/>
    </row>
    <row r="11" spans="1:12">
      <c r="A11" s="182" t="s">
        <v>183</v>
      </c>
      <c r="B11" s="123" t="b">
        <v>1</v>
      </c>
      <c r="C11" s="222">
        <f t="shared" si="0"/>
        <v>0</v>
      </c>
      <c r="D11" s="222">
        <f t="shared" si="1"/>
        <v>2000</v>
      </c>
      <c r="E11" s="183">
        <f t="shared" ref="E11:E14" si="4">SUM(C11:D11)</f>
        <v>2000</v>
      </c>
      <c r="F11" s="124"/>
      <c r="G11" s="124"/>
      <c r="H11">
        <v>2</v>
      </c>
      <c r="J11" s="9" t="s">
        <v>270</v>
      </c>
      <c r="K11" s="125"/>
      <c r="L11" s="149"/>
    </row>
    <row r="12" spans="1:12">
      <c r="A12" s="182" t="s">
        <v>184</v>
      </c>
      <c r="B12" s="123" t="b">
        <v>1</v>
      </c>
      <c r="C12" s="222">
        <f t="shared" si="0"/>
        <v>0</v>
      </c>
      <c r="D12" s="222">
        <f t="shared" si="1"/>
        <v>1000</v>
      </c>
      <c r="E12" s="183">
        <f t="shared" si="4"/>
        <v>1000</v>
      </c>
      <c r="F12" s="124"/>
      <c r="G12" s="124"/>
      <c r="H12">
        <v>1</v>
      </c>
      <c r="J12" s="9" t="s">
        <v>271</v>
      </c>
      <c r="K12" s="125"/>
      <c r="L12" s="149"/>
    </row>
    <row r="13" spans="1:12">
      <c r="A13" s="182" t="s">
        <v>188</v>
      </c>
      <c r="B13" s="123" t="b">
        <v>1</v>
      </c>
      <c r="C13" s="222">
        <f t="shared" si="0"/>
        <v>0</v>
      </c>
      <c r="D13" s="222">
        <f t="shared" si="1"/>
        <v>2000</v>
      </c>
      <c r="E13" s="183">
        <f t="shared" si="4"/>
        <v>2000</v>
      </c>
      <c r="F13" s="124"/>
      <c r="G13" s="124"/>
      <c r="H13">
        <v>2</v>
      </c>
      <c r="J13" s="9" t="s">
        <v>188</v>
      </c>
      <c r="K13" s="125"/>
      <c r="L13" s="149"/>
    </row>
    <row r="14" spans="1:12">
      <c r="A14" s="182" t="s">
        <v>189</v>
      </c>
      <c r="B14" s="123" t="b">
        <v>1</v>
      </c>
      <c r="C14" s="222">
        <f t="shared" si="0"/>
        <v>0</v>
      </c>
      <c r="D14" s="222">
        <f t="shared" si="1"/>
        <v>1000</v>
      </c>
      <c r="E14" s="183">
        <f t="shared" si="4"/>
        <v>1000</v>
      </c>
      <c r="F14" s="124">
        <f>IF(B14=TRUE, 1,0)</f>
        <v>1</v>
      </c>
      <c r="G14" s="124">
        <f>SUM(F14:F18)</f>
        <v>1</v>
      </c>
      <c r="H14">
        <v>1</v>
      </c>
      <c r="J14" s="9"/>
      <c r="K14" s="125"/>
      <c r="L14" s="149"/>
    </row>
    <row r="15" spans="1:12">
      <c r="A15" s="182" t="s">
        <v>197</v>
      </c>
      <c r="B15" s="123" t="b">
        <v>0</v>
      </c>
      <c r="C15" s="222">
        <f t="shared" si="0"/>
        <v>0</v>
      </c>
      <c r="D15" s="222">
        <f t="shared" si="1"/>
        <v>0</v>
      </c>
      <c r="E15" s="183">
        <f t="shared" ref="E15:E18" si="5">SUM(C15:D15)</f>
        <v>0</v>
      </c>
      <c r="F15" s="124">
        <f t="shared" ref="F15:F18" si="6">IF(B15=TRUE, 1,0)</f>
        <v>0</v>
      </c>
      <c r="G15" s="124"/>
      <c r="H15">
        <v>1</v>
      </c>
      <c r="J15" s="9"/>
      <c r="K15" s="125"/>
      <c r="L15" s="149"/>
    </row>
    <row r="16" spans="1:12">
      <c r="A16" s="182" t="s">
        <v>190</v>
      </c>
      <c r="B16" s="123" t="b">
        <v>0</v>
      </c>
      <c r="C16" s="222">
        <f t="shared" si="0"/>
        <v>0</v>
      </c>
      <c r="D16" s="222">
        <f t="shared" si="1"/>
        <v>0</v>
      </c>
      <c r="E16" s="183">
        <f t="shared" si="5"/>
        <v>0</v>
      </c>
      <c r="F16" s="124">
        <f t="shared" si="6"/>
        <v>0</v>
      </c>
      <c r="G16" s="124"/>
      <c r="H16">
        <v>1</v>
      </c>
      <c r="J16" s="9"/>
      <c r="K16" s="125"/>
      <c r="L16" s="149"/>
    </row>
    <row r="17" spans="1:12">
      <c r="A17" s="182" t="s">
        <v>191</v>
      </c>
      <c r="B17" s="123" t="b">
        <v>0</v>
      </c>
      <c r="C17" s="222">
        <f t="shared" si="0"/>
        <v>0</v>
      </c>
      <c r="D17" s="222">
        <f t="shared" si="1"/>
        <v>0</v>
      </c>
      <c r="E17" s="183">
        <f t="shared" si="5"/>
        <v>0</v>
      </c>
      <c r="F17" s="124">
        <f t="shared" si="6"/>
        <v>0</v>
      </c>
      <c r="G17" s="124"/>
      <c r="H17">
        <v>1</v>
      </c>
      <c r="J17" s="9"/>
      <c r="K17" s="125"/>
      <c r="L17" s="149"/>
    </row>
    <row r="18" spans="1:12">
      <c r="A18" s="182" t="s">
        <v>192</v>
      </c>
      <c r="B18" s="123" t="b">
        <v>0</v>
      </c>
      <c r="C18" s="222">
        <f t="shared" si="0"/>
        <v>0</v>
      </c>
      <c r="D18" s="222">
        <f t="shared" si="1"/>
        <v>0</v>
      </c>
      <c r="E18" s="183">
        <f t="shared" si="5"/>
        <v>0</v>
      </c>
      <c r="F18" s="124">
        <f t="shared" si="6"/>
        <v>0</v>
      </c>
      <c r="G18" s="124"/>
      <c r="H18">
        <v>2</v>
      </c>
      <c r="J18" s="9"/>
      <c r="K18" s="125"/>
      <c r="L18" s="149"/>
    </row>
    <row r="19" spans="1:12">
      <c r="A19" s="184" t="s">
        <v>85</v>
      </c>
      <c r="B19" s="123"/>
      <c r="C19" s="123"/>
      <c r="D19" s="123"/>
      <c r="E19" s="183"/>
      <c r="F19" s="124"/>
      <c r="G19" s="124"/>
      <c r="J19" s="9"/>
      <c r="K19" s="25"/>
    </row>
    <row r="20" spans="1:12">
      <c r="A20" s="185" t="s">
        <v>86</v>
      </c>
      <c r="B20" s="123" t="b">
        <v>1</v>
      </c>
      <c r="C20" s="222">
        <f t="shared" ref="C20:C30" si="7">ROUNDUP(IF(AND(B20=TRUE, $B$6=FALSE), IF(I20=0,H20/$B$4*$B$3*2,I20), 0),-3)</f>
        <v>0</v>
      </c>
      <c r="D20" s="222">
        <f t="shared" ref="D20:D30" si="8">ROUNDUP(IF(AND(B20=TRUE, $B$6=TRUE), H20/$B$4*$B$3, 0),-3)</f>
        <v>3000</v>
      </c>
      <c r="E20" s="183">
        <f>SUM(C20:D20)</f>
        <v>3000</v>
      </c>
      <c r="F20" s="123"/>
      <c r="G20" s="123"/>
      <c r="H20">
        <v>5</v>
      </c>
      <c r="J20" s="9" t="s">
        <v>272</v>
      </c>
      <c r="K20" s="25"/>
    </row>
    <row r="21" spans="1:12">
      <c r="A21" s="187" t="s">
        <v>87</v>
      </c>
      <c r="B21" s="123" t="b">
        <v>1</v>
      </c>
      <c r="C21" s="222">
        <f t="shared" si="7"/>
        <v>0</v>
      </c>
      <c r="D21" s="222">
        <f t="shared" si="8"/>
        <v>9000</v>
      </c>
      <c r="E21" s="183">
        <f>SUM(C21:D21)</f>
        <v>9000</v>
      </c>
      <c r="F21" s="123"/>
      <c r="G21" s="123"/>
      <c r="H21">
        <v>15</v>
      </c>
      <c r="J21" s="9" t="s">
        <v>87</v>
      </c>
      <c r="K21" s="25"/>
    </row>
    <row r="22" spans="1:12">
      <c r="A22" s="187" t="s">
        <v>100</v>
      </c>
      <c r="B22" s="123" t="b">
        <v>1</v>
      </c>
      <c r="C22" s="222">
        <f t="shared" si="7"/>
        <v>0</v>
      </c>
      <c r="D22" s="222">
        <f t="shared" si="8"/>
        <v>6000</v>
      </c>
      <c r="E22" s="183">
        <f t="shared" ref="E22:E117" si="9">SUM(C22:D22)</f>
        <v>6000</v>
      </c>
      <c r="F22" s="123"/>
      <c r="G22" s="123"/>
      <c r="H22">
        <v>10</v>
      </c>
      <c r="J22" s="9" t="s">
        <v>273</v>
      </c>
      <c r="K22" s="25"/>
    </row>
    <row r="23" spans="1:12">
      <c r="A23" s="243" t="s">
        <v>234</v>
      </c>
      <c r="B23" s="123" t="b">
        <v>0</v>
      </c>
      <c r="C23" s="222">
        <f t="shared" si="7"/>
        <v>0</v>
      </c>
      <c r="D23" s="222">
        <f t="shared" si="8"/>
        <v>0</v>
      </c>
      <c r="E23" s="183">
        <f t="shared" ref="E23" si="10">SUM(C23:D23)</f>
        <v>0</v>
      </c>
      <c r="F23" s="123"/>
      <c r="G23" s="123"/>
      <c r="H23">
        <v>1</v>
      </c>
      <c r="J23" s="9" t="s">
        <v>274</v>
      </c>
      <c r="K23" s="25"/>
    </row>
    <row r="24" spans="1:12">
      <c r="A24" s="187" t="s">
        <v>275</v>
      </c>
      <c r="B24" s="123" t="b">
        <v>1</v>
      </c>
      <c r="C24" s="222">
        <f t="shared" si="7"/>
        <v>0</v>
      </c>
      <c r="D24" s="222">
        <f t="shared" si="8"/>
        <v>2000</v>
      </c>
      <c r="E24" s="183">
        <f t="shared" si="9"/>
        <v>2000</v>
      </c>
      <c r="F24" s="123"/>
      <c r="G24" s="123"/>
      <c r="H24">
        <v>2</v>
      </c>
      <c r="J24" s="9" t="s">
        <v>275</v>
      </c>
      <c r="K24" s="25"/>
    </row>
    <row r="25" spans="1:12">
      <c r="A25" s="187" t="s">
        <v>101</v>
      </c>
      <c r="B25" s="123" t="b">
        <v>1</v>
      </c>
      <c r="C25" s="222">
        <f t="shared" si="7"/>
        <v>0</v>
      </c>
      <c r="D25" s="222">
        <f t="shared" si="8"/>
        <v>2000</v>
      </c>
      <c r="E25" s="183">
        <f t="shared" si="9"/>
        <v>2000</v>
      </c>
      <c r="F25" s="123"/>
      <c r="G25" s="123"/>
      <c r="H25">
        <v>2</v>
      </c>
      <c r="J25" s="9" t="str">
        <f>A25</f>
        <v>SMS-Notification</v>
      </c>
      <c r="K25" s="25"/>
    </row>
    <row r="26" spans="1:12">
      <c r="A26" s="187" t="s">
        <v>102</v>
      </c>
      <c r="B26" s="123" t="b">
        <v>1</v>
      </c>
      <c r="C26" s="222">
        <f t="shared" si="7"/>
        <v>0</v>
      </c>
      <c r="D26" s="222">
        <f t="shared" si="8"/>
        <v>3000</v>
      </c>
      <c r="E26" s="183">
        <f t="shared" si="9"/>
        <v>3000</v>
      </c>
      <c r="F26" s="123"/>
      <c r="G26" s="123"/>
      <c r="H26">
        <v>5</v>
      </c>
      <c r="J26" s="9" t="str">
        <f>A26</f>
        <v>SMS-Banking</v>
      </c>
      <c r="K26" s="25"/>
    </row>
    <row r="27" spans="1:12">
      <c r="A27" s="187" t="s">
        <v>193</v>
      </c>
      <c r="B27" s="123" t="b">
        <v>1</v>
      </c>
      <c r="C27" s="222">
        <f t="shared" si="7"/>
        <v>0</v>
      </c>
      <c r="D27" s="222">
        <f t="shared" si="8"/>
        <v>2000</v>
      </c>
      <c r="E27" s="183">
        <f t="shared" ref="E27" si="11">SUM(C27:D27)</f>
        <v>2000</v>
      </c>
      <c r="F27" s="123"/>
      <c r="G27" s="123"/>
      <c r="H27">
        <v>2</v>
      </c>
      <c r="J27" s="9"/>
      <c r="K27" s="25"/>
    </row>
    <row r="28" spans="1:12" ht="30">
      <c r="A28" s="268" t="s">
        <v>282</v>
      </c>
      <c r="B28" s="123" t="b">
        <v>1</v>
      </c>
      <c r="C28" s="222">
        <f t="shared" si="7"/>
        <v>0</v>
      </c>
      <c r="D28" s="222">
        <f t="shared" si="8"/>
        <v>12000</v>
      </c>
      <c r="E28" s="183">
        <f t="shared" ref="E28" si="12">SUM(C28:D28)</f>
        <v>12000</v>
      </c>
      <c r="F28" s="123"/>
      <c r="G28" s="123"/>
      <c r="H28">
        <v>20</v>
      </c>
      <c r="J28" s="9"/>
      <c r="K28" s="149"/>
    </row>
    <row r="29" spans="1:12">
      <c r="A29" s="187" t="s">
        <v>103</v>
      </c>
      <c r="B29" s="123" t="b">
        <v>1</v>
      </c>
      <c r="C29" s="222">
        <f t="shared" si="7"/>
        <v>0</v>
      </c>
      <c r="D29" s="222">
        <f t="shared" si="8"/>
        <v>6000</v>
      </c>
      <c r="E29" s="183">
        <f t="shared" si="9"/>
        <v>6000</v>
      </c>
      <c r="F29" s="123"/>
      <c r="G29" s="123"/>
      <c r="H29">
        <v>10</v>
      </c>
      <c r="J29" s="9"/>
      <c r="K29" s="25"/>
    </row>
    <row r="30" spans="1:12">
      <c r="A30" s="187" t="s">
        <v>104</v>
      </c>
      <c r="B30" s="123" t="b">
        <v>0</v>
      </c>
      <c r="C30" s="222">
        <f t="shared" si="7"/>
        <v>0</v>
      </c>
      <c r="D30" s="222">
        <f t="shared" si="8"/>
        <v>0</v>
      </c>
      <c r="E30" s="183">
        <f t="shared" si="9"/>
        <v>0</v>
      </c>
      <c r="F30" s="123"/>
      <c r="G30" s="123"/>
      <c r="H30">
        <v>5</v>
      </c>
      <c r="J30" s="9"/>
      <c r="K30" s="147"/>
    </row>
    <row r="31" spans="1:12">
      <c r="A31" s="188" t="s">
        <v>91</v>
      </c>
      <c r="B31" s="123"/>
      <c r="C31" s="123"/>
      <c r="D31" s="123"/>
      <c r="E31" s="183"/>
      <c r="F31" s="123"/>
      <c r="G31" s="123"/>
      <c r="J31" s="9"/>
      <c r="K31" s="125"/>
    </row>
    <row r="32" spans="1:12">
      <c r="A32" s="187" t="s">
        <v>276</v>
      </c>
      <c r="B32" s="123" t="b">
        <v>1</v>
      </c>
      <c r="C32" s="222">
        <f t="shared" ref="C32:C42" si="13">ROUNDUP(IF(AND(B32=TRUE, $B$6=FALSE), IF(I32=0,H32/$B$4*$B$3*2,I32), 0),-3)</f>
        <v>0</v>
      </c>
      <c r="D32" s="222">
        <f t="shared" ref="D32:D42" si="14">ROUNDUP(IF(AND(B32=TRUE, $B$6=TRUE), H32/$B$4*$B$3, 0),-3)</f>
        <v>9000</v>
      </c>
      <c r="E32" s="183">
        <f t="shared" ref="E32" si="15">SUM(C32:D32)</f>
        <v>9000</v>
      </c>
      <c r="F32" s="123"/>
      <c r="G32" s="123"/>
      <c r="H32">
        <v>15</v>
      </c>
      <c r="J32" s="9"/>
      <c r="K32" s="125"/>
    </row>
    <row r="33" spans="1:12">
      <c r="A33" s="243" t="s">
        <v>88</v>
      </c>
      <c r="B33" s="123" t="b">
        <v>1</v>
      </c>
      <c r="C33" s="222">
        <f t="shared" si="13"/>
        <v>0</v>
      </c>
      <c r="D33" s="222">
        <f t="shared" si="14"/>
        <v>3000</v>
      </c>
      <c r="E33" s="183">
        <f t="shared" si="9"/>
        <v>3000</v>
      </c>
      <c r="F33" s="123"/>
      <c r="G33" s="123"/>
      <c r="H33">
        <v>5</v>
      </c>
      <c r="J33" s="9"/>
      <c r="K33" s="8"/>
    </row>
    <row r="34" spans="1:12">
      <c r="A34" s="243" t="s">
        <v>89</v>
      </c>
      <c r="B34" s="123" t="b">
        <v>1</v>
      </c>
      <c r="C34" s="222">
        <f t="shared" si="13"/>
        <v>0</v>
      </c>
      <c r="D34" s="222">
        <f t="shared" si="14"/>
        <v>3000</v>
      </c>
      <c r="E34" s="183">
        <f t="shared" si="9"/>
        <v>3000</v>
      </c>
      <c r="F34" s="123"/>
      <c r="G34" s="123"/>
      <c r="H34">
        <v>5</v>
      </c>
      <c r="J34" s="9"/>
    </row>
    <row r="35" spans="1:12">
      <c r="A35" s="243" t="s">
        <v>90</v>
      </c>
      <c r="B35" s="123" t="b">
        <v>1</v>
      </c>
      <c r="C35" s="222">
        <f t="shared" si="13"/>
        <v>0</v>
      </c>
      <c r="D35" s="222">
        <f t="shared" si="14"/>
        <v>3000</v>
      </c>
      <c r="E35" s="183">
        <f t="shared" si="9"/>
        <v>3000</v>
      </c>
      <c r="F35" s="123"/>
      <c r="G35" s="123"/>
      <c r="H35">
        <v>5</v>
      </c>
      <c r="J35" s="9"/>
      <c r="L35" s="149"/>
    </row>
    <row r="36" spans="1:12">
      <c r="A36" s="244" t="s">
        <v>186</v>
      </c>
      <c r="B36" s="123" t="b">
        <v>1</v>
      </c>
      <c r="C36" s="222">
        <f t="shared" si="13"/>
        <v>0</v>
      </c>
      <c r="D36" s="222">
        <f t="shared" si="14"/>
        <v>1000</v>
      </c>
      <c r="E36" s="183">
        <f t="shared" ref="E36:E40" si="16">SUM(C36:D36)</f>
        <v>1000</v>
      </c>
      <c r="F36" s="123"/>
      <c r="G36" s="123"/>
      <c r="H36">
        <v>1</v>
      </c>
      <c r="J36" s="9"/>
      <c r="L36" s="149"/>
    </row>
    <row r="37" spans="1:12">
      <c r="A37" s="244" t="s">
        <v>106</v>
      </c>
      <c r="B37" s="123" t="b">
        <v>1</v>
      </c>
      <c r="C37" s="222">
        <f t="shared" si="13"/>
        <v>0</v>
      </c>
      <c r="D37" s="222">
        <f t="shared" si="14"/>
        <v>1000</v>
      </c>
      <c r="E37" s="183">
        <f t="shared" si="16"/>
        <v>1000</v>
      </c>
      <c r="F37" s="123"/>
      <c r="G37" s="123"/>
      <c r="H37">
        <v>1</v>
      </c>
      <c r="J37" s="123"/>
      <c r="L37" s="149"/>
    </row>
    <row r="38" spans="1:12">
      <c r="A38" s="244" t="s">
        <v>108</v>
      </c>
      <c r="B38" s="123" t="b">
        <v>1</v>
      </c>
      <c r="C38" s="222">
        <f t="shared" si="13"/>
        <v>0</v>
      </c>
      <c r="D38" s="222">
        <f t="shared" si="14"/>
        <v>1000</v>
      </c>
      <c r="E38" s="183">
        <f t="shared" ref="E38" si="17">SUM(C38:D38)</f>
        <v>1000</v>
      </c>
      <c r="F38" s="123"/>
      <c r="G38" s="123"/>
      <c r="H38">
        <v>1</v>
      </c>
      <c r="J38" s="123"/>
      <c r="L38" s="149"/>
    </row>
    <row r="39" spans="1:12">
      <c r="A39" s="243" t="s">
        <v>185</v>
      </c>
      <c r="B39" s="123" t="b">
        <v>1</v>
      </c>
      <c r="C39" s="222">
        <f t="shared" si="13"/>
        <v>0</v>
      </c>
      <c r="D39" s="222">
        <f t="shared" si="14"/>
        <v>6000</v>
      </c>
      <c r="E39" s="183">
        <f t="shared" si="16"/>
        <v>6000</v>
      </c>
      <c r="F39" s="123"/>
      <c r="G39" s="123"/>
      <c r="H39">
        <v>10</v>
      </c>
      <c r="J39" s="123"/>
      <c r="L39" s="149"/>
    </row>
    <row r="40" spans="1:12">
      <c r="A40" s="187" t="s">
        <v>277</v>
      </c>
      <c r="B40" s="123" t="b">
        <v>1</v>
      </c>
      <c r="C40" s="222">
        <f t="shared" si="13"/>
        <v>0</v>
      </c>
      <c r="D40" s="222">
        <f t="shared" si="14"/>
        <v>6000</v>
      </c>
      <c r="E40" s="183">
        <f t="shared" si="16"/>
        <v>6000</v>
      </c>
      <c r="F40" s="123"/>
      <c r="G40" s="123"/>
      <c r="H40">
        <v>10</v>
      </c>
      <c r="J40" s="123"/>
      <c r="L40" s="149"/>
    </row>
    <row r="41" spans="1:12">
      <c r="A41" s="243" t="s">
        <v>92</v>
      </c>
      <c r="B41" s="123" t="b">
        <v>0</v>
      </c>
      <c r="C41" s="222">
        <f t="shared" si="13"/>
        <v>0</v>
      </c>
      <c r="D41" s="222">
        <f t="shared" si="14"/>
        <v>0</v>
      </c>
      <c r="E41" s="183">
        <f t="shared" si="9"/>
        <v>0</v>
      </c>
      <c r="F41" s="123"/>
      <c r="G41" s="123"/>
      <c r="H41">
        <v>5</v>
      </c>
      <c r="J41" s="9"/>
      <c r="L41" s="149"/>
    </row>
    <row r="42" spans="1:12">
      <c r="A42" s="243" t="s">
        <v>93</v>
      </c>
      <c r="B42" s="123" t="b">
        <v>1</v>
      </c>
      <c r="C42" s="222">
        <f t="shared" si="13"/>
        <v>0</v>
      </c>
      <c r="D42" s="222">
        <f t="shared" si="14"/>
        <v>3000</v>
      </c>
      <c r="E42" s="183">
        <f t="shared" si="9"/>
        <v>3000</v>
      </c>
      <c r="F42" s="123"/>
      <c r="G42" s="123"/>
      <c r="H42">
        <v>5</v>
      </c>
      <c r="J42" s="246"/>
      <c r="K42" s="147"/>
      <c r="L42" s="149"/>
    </row>
    <row r="43" spans="1:12">
      <c r="A43" s="188" t="s">
        <v>98</v>
      </c>
      <c r="B43" s="123"/>
      <c r="C43" s="123"/>
      <c r="D43" s="123"/>
      <c r="E43" s="183"/>
      <c r="F43" s="123"/>
      <c r="G43" s="123"/>
      <c r="J43" s="247"/>
      <c r="K43" s="25"/>
      <c r="L43" s="149"/>
    </row>
    <row r="44" spans="1:12">
      <c r="A44" s="187" t="s">
        <v>233</v>
      </c>
      <c r="B44" s="123" t="b">
        <v>0</v>
      </c>
      <c r="C44" s="222"/>
      <c r="D44" s="222"/>
      <c r="E44" s="183"/>
      <c r="F44" s="123"/>
      <c r="G44" s="123"/>
      <c r="J44" s="247"/>
      <c r="K44" s="25"/>
      <c r="L44" s="149"/>
    </row>
    <row r="45" spans="1:12">
      <c r="A45" s="243" t="s">
        <v>235</v>
      </c>
      <c r="B45" s="123" t="b">
        <v>0</v>
      </c>
      <c r="C45" s="222"/>
      <c r="D45" s="222"/>
      <c r="E45" s="183"/>
      <c r="F45" s="123"/>
      <c r="G45" s="123"/>
      <c r="J45" s="247"/>
      <c r="K45" s="25"/>
      <c r="L45" s="149"/>
    </row>
    <row r="46" spans="1:12">
      <c r="A46" s="244" t="s">
        <v>99</v>
      </c>
      <c r="B46" s="123" t="b">
        <v>1</v>
      </c>
      <c r="C46" s="222">
        <f t="shared" ref="C46:C63" si="18">ROUNDUP(IF(AND(B46=TRUE, $B$6=FALSE), IF(I46=0,H46/$B$4*$B$3*2,I46), 0),-3)</f>
        <v>0</v>
      </c>
      <c r="D46" s="222">
        <f t="shared" ref="D46:D63" si="19">ROUNDUP(IF(AND(B46=TRUE, $B$6=TRUE), H46/$B$4*$B$3, 0),-3)</f>
        <v>9000</v>
      </c>
      <c r="E46" s="183">
        <f t="shared" ref="E46:E104" si="20">SUM(C46:D46)</f>
        <v>9000</v>
      </c>
      <c r="F46" s="123"/>
      <c r="G46" s="123"/>
      <c r="H46">
        <v>15</v>
      </c>
      <c r="J46" s="247"/>
      <c r="K46" s="25"/>
      <c r="L46" s="149"/>
    </row>
    <row r="47" spans="1:12">
      <c r="A47" s="245" t="s">
        <v>236</v>
      </c>
      <c r="B47" s="123" t="b">
        <v>0</v>
      </c>
      <c r="C47" s="222">
        <f t="shared" si="18"/>
        <v>0</v>
      </c>
      <c r="D47" s="222">
        <f t="shared" si="19"/>
        <v>0</v>
      </c>
      <c r="E47" s="183">
        <f t="shared" si="20"/>
        <v>0</v>
      </c>
      <c r="F47" s="123"/>
      <c r="G47" s="123"/>
      <c r="H47">
        <v>5</v>
      </c>
      <c r="J47" s="247"/>
      <c r="K47" s="25"/>
      <c r="L47" s="149"/>
    </row>
    <row r="48" spans="1:12">
      <c r="A48" s="244" t="s">
        <v>237</v>
      </c>
      <c r="B48" s="123" t="b">
        <v>0</v>
      </c>
      <c r="C48" s="222">
        <f t="shared" si="18"/>
        <v>0</v>
      </c>
      <c r="D48" s="222">
        <f t="shared" si="19"/>
        <v>0</v>
      </c>
      <c r="E48" s="183">
        <f t="shared" si="20"/>
        <v>0</v>
      </c>
      <c r="F48" s="123"/>
      <c r="G48" s="123"/>
      <c r="H48">
        <v>5</v>
      </c>
      <c r="J48" s="247"/>
      <c r="K48" s="25"/>
      <c r="L48" s="149"/>
    </row>
    <row r="49" spans="1:12">
      <c r="A49" s="244" t="s">
        <v>238</v>
      </c>
      <c r="B49" s="123" t="b">
        <v>0</v>
      </c>
      <c r="C49" s="222">
        <f t="shared" si="18"/>
        <v>0</v>
      </c>
      <c r="D49" s="222">
        <f t="shared" si="19"/>
        <v>0</v>
      </c>
      <c r="E49" s="183">
        <f t="shared" si="20"/>
        <v>0</v>
      </c>
      <c r="F49" s="123"/>
      <c r="G49" s="123"/>
      <c r="H49">
        <v>5</v>
      </c>
      <c r="J49" s="247"/>
      <c r="K49" s="25"/>
      <c r="L49" s="149"/>
    </row>
    <row r="50" spans="1:12">
      <c r="A50" s="244" t="s">
        <v>281</v>
      </c>
      <c r="B50" s="123" t="b">
        <v>1</v>
      </c>
      <c r="C50" s="222">
        <f t="shared" si="18"/>
        <v>0</v>
      </c>
      <c r="D50" s="222">
        <f t="shared" si="19"/>
        <v>12000</v>
      </c>
      <c r="E50" s="183">
        <f t="shared" si="20"/>
        <v>12000</v>
      </c>
      <c r="F50" s="123"/>
      <c r="G50" s="123"/>
      <c r="H50">
        <v>20</v>
      </c>
      <c r="J50" s="247"/>
      <c r="K50" s="25"/>
      <c r="L50" s="149"/>
    </row>
    <row r="51" spans="1:12">
      <c r="A51" s="243" t="s">
        <v>94</v>
      </c>
      <c r="B51" s="123"/>
      <c r="C51" s="222"/>
      <c r="D51" s="222"/>
      <c r="E51" s="183"/>
      <c r="F51" s="123"/>
      <c r="G51" s="123"/>
      <c r="J51" s="247"/>
      <c r="K51" s="25"/>
      <c r="L51" s="149"/>
    </row>
    <row r="52" spans="1:12">
      <c r="A52" s="244" t="s">
        <v>99</v>
      </c>
      <c r="B52" s="123" t="b">
        <v>1</v>
      </c>
      <c r="C52" s="222">
        <f t="shared" si="18"/>
        <v>0</v>
      </c>
      <c r="D52" s="222">
        <f t="shared" si="19"/>
        <v>9000</v>
      </c>
      <c r="E52" s="183">
        <f t="shared" si="20"/>
        <v>9000</v>
      </c>
      <c r="F52" s="123"/>
      <c r="G52" s="123"/>
      <c r="H52">
        <v>15</v>
      </c>
      <c r="J52" s="247"/>
      <c r="K52" s="25"/>
      <c r="L52" s="149"/>
    </row>
    <row r="53" spans="1:12">
      <c r="A53" s="244" t="s">
        <v>281</v>
      </c>
      <c r="B53" s="123" t="b">
        <v>1</v>
      </c>
      <c r="C53" s="222">
        <f t="shared" si="18"/>
        <v>0</v>
      </c>
      <c r="D53" s="222">
        <f t="shared" si="19"/>
        <v>12000</v>
      </c>
      <c r="E53" s="183">
        <f t="shared" si="20"/>
        <v>12000</v>
      </c>
      <c r="F53" s="123"/>
      <c r="G53" s="123"/>
      <c r="H53">
        <v>20</v>
      </c>
      <c r="J53" s="247"/>
      <c r="K53" s="25"/>
      <c r="L53" s="149"/>
    </row>
    <row r="54" spans="1:12">
      <c r="A54" s="187" t="s">
        <v>244</v>
      </c>
      <c r="B54" s="123"/>
      <c r="C54" s="222"/>
      <c r="D54" s="222"/>
      <c r="E54" s="183"/>
      <c r="F54" s="123"/>
      <c r="G54" s="123"/>
      <c r="J54" s="247"/>
      <c r="K54" s="25"/>
      <c r="L54" s="149"/>
    </row>
    <row r="55" spans="1:12">
      <c r="A55" s="243" t="s">
        <v>239</v>
      </c>
      <c r="B55" s="123"/>
      <c r="C55" s="222"/>
      <c r="D55" s="222"/>
      <c r="E55" s="183"/>
      <c r="F55" s="123"/>
      <c r="G55" s="123"/>
      <c r="J55" s="247"/>
      <c r="K55" s="25"/>
      <c r="L55" s="149"/>
    </row>
    <row r="56" spans="1:12">
      <c r="A56" s="244" t="s">
        <v>99</v>
      </c>
      <c r="B56" s="123" t="b">
        <v>1</v>
      </c>
      <c r="C56" s="222">
        <f t="shared" si="18"/>
        <v>0</v>
      </c>
      <c r="D56" s="222">
        <f t="shared" si="19"/>
        <v>9000</v>
      </c>
      <c r="E56" s="183">
        <f t="shared" si="20"/>
        <v>9000</v>
      </c>
      <c r="F56" s="123"/>
      <c r="G56" s="123"/>
      <c r="H56">
        <v>15</v>
      </c>
      <c r="J56" s="247"/>
      <c r="K56" s="25"/>
      <c r="L56" s="149"/>
    </row>
    <row r="57" spans="1:12">
      <c r="A57" s="245" t="s">
        <v>240</v>
      </c>
      <c r="B57" s="123" t="b">
        <v>0</v>
      </c>
      <c r="C57" s="222">
        <f t="shared" si="18"/>
        <v>0</v>
      </c>
      <c r="D57" s="222">
        <f t="shared" si="19"/>
        <v>0</v>
      </c>
      <c r="E57" s="183">
        <f t="shared" si="20"/>
        <v>0</v>
      </c>
      <c r="F57" s="123"/>
      <c r="G57" s="123"/>
      <c r="H57">
        <v>5</v>
      </c>
      <c r="J57" s="247"/>
      <c r="K57" s="25"/>
      <c r="L57" s="149"/>
    </row>
    <row r="58" spans="1:12">
      <c r="A58" s="244" t="s">
        <v>241</v>
      </c>
      <c r="B58" s="123" t="b">
        <v>0</v>
      </c>
      <c r="C58" s="222">
        <f t="shared" si="18"/>
        <v>0</v>
      </c>
      <c r="D58" s="222">
        <f t="shared" si="19"/>
        <v>0</v>
      </c>
      <c r="E58" s="183">
        <f t="shared" si="20"/>
        <v>0</v>
      </c>
      <c r="F58" s="123"/>
      <c r="G58" s="123"/>
      <c r="H58">
        <v>5</v>
      </c>
      <c r="J58" s="247"/>
      <c r="K58" s="25"/>
      <c r="L58" s="149"/>
    </row>
    <row r="59" spans="1:12">
      <c r="A59" s="244" t="s">
        <v>242</v>
      </c>
      <c r="B59" s="123" t="b">
        <v>0</v>
      </c>
      <c r="C59" s="222">
        <f t="shared" si="18"/>
        <v>0</v>
      </c>
      <c r="D59" s="222">
        <f t="shared" si="19"/>
        <v>0</v>
      </c>
      <c r="E59" s="183">
        <f t="shared" si="20"/>
        <v>0</v>
      </c>
      <c r="F59" s="123"/>
      <c r="G59" s="123"/>
      <c r="H59">
        <v>5</v>
      </c>
      <c r="J59" s="247"/>
      <c r="K59" s="25"/>
      <c r="L59" s="149"/>
    </row>
    <row r="60" spans="1:12">
      <c r="A60" s="244" t="s">
        <v>281</v>
      </c>
      <c r="B60" s="123" t="b">
        <v>1</v>
      </c>
      <c r="C60" s="222">
        <f t="shared" si="18"/>
        <v>0</v>
      </c>
      <c r="D60" s="222">
        <f t="shared" si="19"/>
        <v>12000</v>
      </c>
      <c r="E60" s="183">
        <f t="shared" si="20"/>
        <v>12000</v>
      </c>
      <c r="F60" s="123"/>
      <c r="G60" s="123"/>
      <c r="H60">
        <v>20</v>
      </c>
      <c r="J60" s="247"/>
      <c r="K60" s="25"/>
      <c r="L60" s="149"/>
    </row>
    <row r="61" spans="1:12">
      <c r="A61" s="243" t="s">
        <v>95</v>
      </c>
      <c r="B61" s="123"/>
      <c r="C61" s="222"/>
      <c r="D61" s="222"/>
      <c r="E61" s="183"/>
      <c r="F61" s="123"/>
      <c r="G61" s="123"/>
      <c r="J61" s="247"/>
      <c r="K61" s="25"/>
      <c r="L61" s="149"/>
    </row>
    <row r="62" spans="1:12">
      <c r="A62" s="244" t="s">
        <v>99</v>
      </c>
      <c r="B62" s="123" t="b">
        <v>1</v>
      </c>
      <c r="C62" s="222">
        <f t="shared" si="18"/>
        <v>0</v>
      </c>
      <c r="D62" s="222">
        <f t="shared" si="19"/>
        <v>9000</v>
      </c>
      <c r="E62" s="183">
        <f t="shared" si="20"/>
        <v>9000</v>
      </c>
      <c r="F62" s="123"/>
      <c r="G62" s="123"/>
      <c r="H62">
        <v>15</v>
      </c>
      <c r="J62" s="247"/>
      <c r="K62" s="25"/>
      <c r="L62" s="149"/>
    </row>
    <row r="63" spans="1:12">
      <c r="A63" s="244" t="s">
        <v>281</v>
      </c>
      <c r="B63" s="123" t="b">
        <v>1</v>
      </c>
      <c r="C63" s="222">
        <f t="shared" si="18"/>
        <v>0</v>
      </c>
      <c r="D63" s="222">
        <f t="shared" si="19"/>
        <v>12000</v>
      </c>
      <c r="E63" s="183">
        <f t="shared" si="20"/>
        <v>12000</v>
      </c>
      <c r="F63" s="123"/>
      <c r="G63" s="123"/>
      <c r="H63">
        <v>20</v>
      </c>
      <c r="J63" s="247"/>
      <c r="K63" s="25"/>
      <c r="L63" s="149"/>
    </row>
    <row r="64" spans="1:12">
      <c r="A64" s="187" t="s">
        <v>248</v>
      </c>
      <c r="B64" s="123"/>
      <c r="C64" s="222"/>
      <c r="D64" s="222"/>
      <c r="E64" s="183"/>
      <c r="F64" s="123"/>
      <c r="G64" s="123"/>
      <c r="J64" s="247"/>
      <c r="K64" s="25"/>
      <c r="L64" s="149"/>
    </row>
    <row r="65" spans="1:12">
      <c r="A65" s="243" t="s">
        <v>243</v>
      </c>
      <c r="B65" s="123"/>
      <c r="C65" s="222"/>
      <c r="D65" s="222"/>
      <c r="E65" s="183"/>
      <c r="F65" s="123"/>
      <c r="G65" s="123"/>
      <c r="J65" s="247"/>
      <c r="K65" s="25"/>
      <c r="L65" s="149"/>
    </row>
    <row r="66" spans="1:12">
      <c r="A66" s="244" t="s">
        <v>279</v>
      </c>
      <c r="B66" s="123" t="b">
        <v>0</v>
      </c>
      <c r="C66" s="222">
        <f t="shared" ref="C66:C68" si="21">ROUNDUP(IF(AND(B66=TRUE, $B$6=FALSE), IF(I66=0,H66/$B$4*$B$3*2,I66), 0),-3)</f>
        <v>0</v>
      </c>
      <c r="D66" s="222">
        <f t="shared" ref="D66:D68" si="22">ROUNDUP(IF(AND(B66=TRUE, $B$6=TRUE), H66/$B$4*$B$3, 0),-3)</f>
        <v>0</v>
      </c>
      <c r="E66" s="183">
        <f t="shared" ref="E66:E68" si="23">SUM(C66:D66)</f>
        <v>0</v>
      </c>
      <c r="F66" s="123"/>
      <c r="G66" s="123"/>
      <c r="H66">
        <v>10</v>
      </c>
      <c r="J66" s="247"/>
      <c r="K66" s="25"/>
      <c r="L66" s="149"/>
    </row>
    <row r="67" spans="1:12">
      <c r="A67" s="244" t="s">
        <v>278</v>
      </c>
      <c r="B67" s="123" t="b">
        <v>0</v>
      </c>
      <c r="C67" s="222">
        <f t="shared" si="21"/>
        <v>0</v>
      </c>
      <c r="D67" s="222">
        <f t="shared" si="22"/>
        <v>0</v>
      </c>
      <c r="E67" s="183">
        <f t="shared" si="23"/>
        <v>0</v>
      </c>
      <c r="F67" s="123"/>
      <c r="G67" s="123"/>
      <c r="H67">
        <v>10</v>
      </c>
      <c r="J67" s="247"/>
      <c r="K67" s="25"/>
      <c r="L67" s="149"/>
    </row>
    <row r="68" spans="1:12">
      <c r="A68" s="244" t="s">
        <v>280</v>
      </c>
      <c r="B68" s="123" t="b">
        <v>0</v>
      </c>
      <c r="C68" s="222">
        <f t="shared" si="21"/>
        <v>0</v>
      </c>
      <c r="D68" s="222">
        <f t="shared" si="22"/>
        <v>0</v>
      </c>
      <c r="E68" s="183">
        <f t="shared" si="23"/>
        <v>0</v>
      </c>
      <c r="F68" s="123"/>
      <c r="G68" s="123"/>
      <c r="H68">
        <v>10</v>
      </c>
      <c r="J68" s="247"/>
      <c r="K68" s="25"/>
      <c r="L68" s="149"/>
    </row>
    <row r="69" spans="1:12">
      <c r="A69" s="243" t="s">
        <v>245</v>
      </c>
      <c r="B69" s="123"/>
      <c r="C69" s="222"/>
      <c r="D69" s="222"/>
      <c r="E69" s="183"/>
      <c r="F69" s="123"/>
      <c r="G69" s="123"/>
      <c r="J69" s="247"/>
      <c r="K69" s="25"/>
      <c r="L69" s="149"/>
    </row>
    <row r="70" spans="1:12">
      <c r="A70" s="244" t="s">
        <v>279</v>
      </c>
      <c r="B70" s="123" t="b">
        <v>0</v>
      </c>
      <c r="C70" s="222">
        <f t="shared" ref="C70:C104" si="24">ROUNDUP(IF(AND(B70=TRUE, $B$6=FALSE), IF(I70=0,H70/$B$4*$B$3*2,I70), 0),-3)</f>
        <v>0</v>
      </c>
      <c r="D70" s="222">
        <f t="shared" ref="D70:D104" si="25">ROUNDUP(IF(AND(B70=TRUE, $B$6=TRUE), H70/$B$4*$B$3, 0),-3)</f>
        <v>0</v>
      </c>
      <c r="E70" s="183">
        <f t="shared" ref="E70:E72" si="26">SUM(C70:D70)</f>
        <v>0</v>
      </c>
      <c r="F70" s="123"/>
      <c r="G70" s="123"/>
      <c r="H70">
        <v>10</v>
      </c>
      <c r="J70" s="247"/>
      <c r="K70" s="25"/>
      <c r="L70" s="149"/>
    </row>
    <row r="71" spans="1:12">
      <c r="A71" s="244" t="s">
        <v>278</v>
      </c>
      <c r="B71" s="123" t="b">
        <v>0</v>
      </c>
      <c r="C71" s="222">
        <f t="shared" si="24"/>
        <v>0</v>
      </c>
      <c r="D71" s="222">
        <f t="shared" si="25"/>
        <v>0</v>
      </c>
      <c r="E71" s="183">
        <f t="shared" si="26"/>
        <v>0</v>
      </c>
      <c r="F71" s="123"/>
      <c r="G71" s="123"/>
      <c r="H71">
        <v>10</v>
      </c>
      <c r="J71" s="247"/>
      <c r="K71" s="25"/>
      <c r="L71" s="149"/>
    </row>
    <row r="72" spans="1:12">
      <c r="A72" s="244" t="s">
        <v>280</v>
      </c>
      <c r="B72" s="123" t="b">
        <v>0</v>
      </c>
      <c r="C72" s="222">
        <f t="shared" si="24"/>
        <v>0</v>
      </c>
      <c r="D72" s="222">
        <f t="shared" si="25"/>
        <v>0</v>
      </c>
      <c r="E72" s="183">
        <f t="shared" si="26"/>
        <v>0</v>
      </c>
      <c r="F72" s="123"/>
      <c r="G72" s="123"/>
      <c r="H72">
        <v>10</v>
      </c>
      <c r="J72" s="247"/>
      <c r="K72" s="25"/>
      <c r="L72" s="149"/>
    </row>
    <row r="73" spans="1:12">
      <c r="A73" s="244" t="s">
        <v>246</v>
      </c>
      <c r="B73" s="123" t="b">
        <v>0</v>
      </c>
      <c r="C73" s="222">
        <f t="shared" si="24"/>
        <v>0</v>
      </c>
      <c r="D73" s="222">
        <f t="shared" si="25"/>
        <v>0</v>
      </c>
      <c r="E73" s="183">
        <f t="shared" si="20"/>
        <v>0</v>
      </c>
      <c r="F73" s="123"/>
      <c r="G73" s="123"/>
      <c r="H73">
        <v>5</v>
      </c>
      <c r="J73" s="247"/>
      <c r="K73" s="25"/>
      <c r="L73" s="149"/>
    </row>
    <row r="74" spans="1:12">
      <c r="A74" s="187" t="s">
        <v>247</v>
      </c>
      <c r="B74" s="123"/>
      <c r="C74" s="222"/>
      <c r="D74" s="222"/>
      <c r="E74" s="183"/>
      <c r="F74" s="123"/>
      <c r="G74" s="123"/>
      <c r="J74" s="247"/>
      <c r="K74" s="25"/>
      <c r="L74" s="149"/>
    </row>
    <row r="75" spans="1:12">
      <c r="A75" s="243" t="s">
        <v>249</v>
      </c>
      <c r="B75" s="123"/>
      <c r="C75" s="222"/>
      <c r="D75" s="222"/>
      <c r="E75" s="183"/>
      <c r="F75" s="123"/>
      <c r="G75" s="123"/>
      <c r="J75" s="247"/>
      <c r="K75" s="25"/>
      <c r="L75" s="149"/>
    </row>
    <row r="76" spans="1:12">
      <c r="A76" s="244" t="s">
        <v>99</v>
      </c>
      <c r="B76" s="123" t="b">
        <v>0</v>
      </c>
      <c r="C76" s="222">
        <f t="shared" si="24"/>
        <v>0</v>
      </c>
      <c r="D76" s="222">
        <f t="shared" si="25"/>
        <v>0</v>
      </c>
      <c r="E76" s="183">
        <f t="shared" si="20"/>
        <v>0</v>
      </c>
      <c r="F76" s="123"/>
      <c r="G76" s="123"/>
      <c r="H76">
        <v>10</v>
      </c>
      <c r="J76" s="247"/>
      <c r="K76" s="25"/>
      <c r="L76" s="149"/>
    </row>
    <row r="77" spans="1:12">
      <c r="A77" s="244" t="s">
        <v>250</v>
      </c>
      <c r="B77" s="123" t="b">
        <v>0</v>
      </c>
      <c r="C77" s="222">
        <f t="shared" si="24"/>
        <v>0</v>
      </c>
      <c r="D77" s="222">
        <f t="shared" si="25"/>
        <v>0</v>
      </c>
      <c r="E77" s="183">
        <f t="shared" si="20"/>
        <v>0</v>
      </c>
      <c r="F77" s="123"/>
      <c r="G77" s="123"/>
      <c r="H77">
        <v>15</v>
      </c>
      <c r="J77" s="247"/>
      <c r="K77" s="25"/>
      <c r="L77" s="149"/>
    </row>
    <row r="78" spans="1:12">
      <c r="A78" s="243" t="s">
        <v>97</v>
      </c>
      <c r="B78" s="123"/>
      <c r="C78" s="222"/>
      <c r="D78" s="222"/>
      <c r="E78" s="183"/>
      <c r="F78" s="123"/>
      <c r="G78" s="123"/>
      <c r="J78" s="247"/>
      <c r="K78" s="25"/>
      <c r="L78" s="149"/>
    </row>
    <row r="79" spans="1:12">
      <c r="A79" s="244" t="s">
        <v>99</v>
      </c>
      <c r="B79" s="123" t="b">
        <v>0</v>
      </c>
      <c r="C79" s="222">
        <f t="shared" si="24"/>
        <v>0</v>
      </c>
      <c r="D79" s="222">
        <f t="shared" si="25"/>
        <v>0</v>
      </c>
      <c r="E79" s="183">
        <f t="shared" si="20"/>
        <v>0</v>
      </c>
      <c r="F79" s="123"/>
      <c r="G79" s="123"/>
      <c r="H79">
        <v>10</v>
      </c>
      <c r="J79" s="247"/>
      <c r="K79" s="25"/>
      <c r="L79" s="149"/>
    </row>
    <row r="80" spans="1:12">
      <c r="A80" s="244" t="s">
        <v>250</v>
      </c>
      <c r="B80" s="123" t="b">
        <v>0</v>
      </c>
      <c r="C80" s="222">
        <f t="shared" si="24"/>
        <v>0</v>
      </c>
      <c r="D80" s="222">
        <f t="shared" si="25"/>
        <v>0</v>
      </c>
      <c r="E80" s="183">
        <f t="shared" si="20"/>
        <v>0</v>
      </c>
      <c r="F80" s="123"/>
      <c r="G80" s="123"/>
      <c r="H80">
        <v>15</v>
      </c>
      <c r="J80" s="247"/>
      <c r="K80" s="25"/>
      <c r="L80" s="149"/>
    </row>
    <row r="81" spans="1:12">
      <c r="A81" s="187" t="s">
        <v>251</v>
      </c>
      <c r="B81" s="123"/>
      <c r="C81" s="222"/>
      <c r="D81" s="222"/>
      <c r="E81" s="183"/>
      <c r="F81" s="123"/>
      <c r="G81" s="123"/>
      <c r="J81" s="247"/>
      <c r="K81" s="25"/>
      <c r="L81" s="149"/>
    </row>
    <row r="82" spans="1:12">
      <c r="A82" s="243" t="s">
        <v>252</v>
      </c>
      <c r="B82" s="123"/>
      <c r="C82" s="222"/>
      <c r="D82" s="222"/>
      <c r="E82" s="183"/>
      <c r="F82" s="123"/>
      <c r="G82" s="123"/>
      <c r="J82" s="247"/>
      <c r="K82" s="25"/>
      <c r="L82" s="149"/>
    </row>
    <row r="83" spans="1:12">
      <c r="A83" s="244" t="s">
        <v>99</v>
      </c>
      <c r="B83" s="123" t="b">
        <v>0</v>
      </c>
      <c r="C83" s="222">
        <f t="shared" si="24"/>
        <v>0</v>
      </c>
      <c r="D83" s="222">
        <f t="shared" si="25"/>
        <v>0</v>
      </c>
      <c r="E83" s="183">
        <f t="shared" si="20"/>
        <v>0</v>
      </c>
      <c r="F83" s="123"/>
      <c r="G83" s="123"/>
      <c r="H83">
        <v>10</v>
      </c>
      <c r="J83" s="247"/>
      <c r="K83" s="25"/>
      <c r="L83" s="149"/>
    </row>
    <row r="84" spans="1:12">
      <c r="A84" s="244" t="s">
        <v>257</v>
      </c>
      <c r="B84" s="123" t="b">
        <v>0</v>
      </c>
      <c r="C84" s="222">
        <f t="shared" si="24"/>
        <v>0</v>
      </c>
      <c r="D84" s="222">
        <f t="shared" si="25"/>
        <v>0</v>
      </c>
      <c r="E84" s="183">
        <f t="shared" si="20"/>
        <v>0</v>
      </c>
      <c r="F84" s="123"/>
      <c r="G84" s="123"/>
      <c r="H84">
        <v>15</v>
      </c>
      <c r="J84" s="247"/>
      <c r="K84" s="25"/>
      <c r="L84" s="149"/>
    </row>
    <row r="85" spans="1:12">
      <c r="A85" s="243" t="s">
        <v>96</v>
      </c>
      <c r="B85" s="123"/>
      <c r="C85" s="222"/>
      <c r="D85" s="222"/>
      <c r="E85" s="183"/>
      <c r="F85" s="123"/>
      <c r="G85" s="123"/>
      <c r="J85" s="247"/>
      <c r="K85" s="25"/>
      <c r="L85" s="149"/>
    </row>
    <row r="86" spans="1:12">
      <c r="A86" s="244" t="s">
        <v>99</v>
      </c>
      <c r="B86" s="123" t="b">
        <v>0</v>
      </c>
      <c r="C86" s="222">
        <f t="shared" si="24"/>
        <v>0</v>
      </c>
      <c r="D86" s="222">
        <f t="shared" si="25"/>
        <v>0</v>
      </c>
      <c r="E86" s="183">
        <f t="shared" si="20"/>
        <v>0</v>
      </c>
      <c r="F86" s="123"/>
      <c r="G86" s="123"/>
      <c r="H86">
        <v>10</v>
      </c>
      <c r="J86" s="247"/>
      <c r="K86" s="25"/>
      <c r="L86" s="149"/>
    </row>
    <row r="87" spans="1:12">
      <c r="A87" s="244" t="s">
        <v>256</v>
      </c>
      <c r="B87" s="123" t="b">
        <v>0</v>
      </c>
      <c r="C87" s="222">
        <f t="shared" si="24"/>
        <v>0</v>
      </c>
      <c r="D87" s="222">
        <f t="shared" si="25"/>
        <v>0</v>
      </c>
      <c r="E87" s="183">
        <f t="shared" si="20"/>
        <v>0</v>
      </c>
      <c r="F87" s="123"/>
      <c r="G87" s="123"/>
      <c r="H87">
        <v>15</v>
      </c>
      <c r="J87" s="247"/>
      <c r="K87" s="25"/>
      <c r="L87" s="149"/>
    </row>
    <row r="88" spans="1:12">
      <c r="A88" s="187" t="s">
        <v>253</v>
      </c>
      <c r="B88" s="123"/>
      <c r="C88" s="222"/>
      <c r="D88" s="222"/>
      <c r="E88" s="183"/>
      <c r="F88" s="123"/>
      <c r="G88" s="123"/>
      <c r="H88" s="123"/>
      <c r="I88" s="125"/>
      <c r="J88" s="247"/>
      <c r="K88" s="25"/>
      <c r="L88" s="149"/>
    </row>
    <row r="89" spans="1:12">
      <c r="A89" s="243" t="s">
        <v>254</v>
      </c>
      <c r="B89" s="123"/>
      <c r="C89" s="222"/>
      <c r="D89" s="222"/>
      <c r="E89" s="183"/>
      <c r="F89" s="123"/>
      <c r="G89" s="123"/>
      <c r="H89" s="123"/>
      <c r="I89" s="125"/>
      <c r="J89" s="247"/>
      <c r="K89" s="25"/>
      <c r="L89" s="149"/>
    </row>
    <row r="90" spans="1:12">
      <c r="A90" s="244" t="s">
        <v>99</v>
      </c>
      <c r="B90" s="123" t="b">
        <v>0</v>
      </c>
      <c r="C90" s="222">
        <f t="shared" si="24"/>
        <v>0</v>
      </c>
      <c r="D90" s="222">
        <f t="shared" si="25"/>
        <v>0</v>
      </c>
      <c r="E90" s="183">
        <f t="shared" si="20"/>
        <v>0</v>
      </c>
      <c r="F90" s="123"/>
      <c r="G90" s="123"/>
      <c r="H90" s="123">
        <v>10</v>
      </c>
      <c r="I90" s="125"/>
      <c r="J90" s="247"/>
      <c r="K90" s="25"/>
      <c r="L90" s="149"/>
    </row>
    <row r="91" spans="1:12">
      <c r="A91" s="244" t="s">
        <v>258</v>
      </c>
      <c r="B91" s="123" t="b">
        <v>0</v>
      </c>
      <c r="C91" s="222">
        <f t="shared" si="24"/>
        <v>0</v>
      </c>
      <c r="D91" s="222">
        <f t="shared" si="25"/>
        <v>0</v>
      </c>
      <c r="E91" s="183">
        <f t="shared" si="20"/>
        <v>0</v>
      </c>
      <c r="F91" s="123"/>
      <c r="G91" s="123"/>
      <c r="H91" s="123">
        <v>15</v>
      </c>
      <c r="I91" s="125"/>
      <c r="J91" s="247"/>
      <c r="K91" s="25"/>
      <c r="L91" s="149"/>
    </row>
    <row r="92" spans="1:12">
      <c r="A92" s="243" t="s">
        <v>255</v>
      </c>
      <c r="B92" s="123"/>
      <c r="C92" s="222"/>
      <c r="D92" s="222"/>
      <c r="E92" s="183"/>
      <c r="F92" s="123"/>
      <c r="G92" s="123"/>
      <c r="H92" s="123"/>
      <c r="I92" s="125"/>
      <c r="J92" s="247"/>
      <c r="K92" s="25"/>
      <c r="L92" s="149"/>
    </row>
    <row r="93" spans="1:12">
      <c r="A93" s="244" t="s">
        <v>99</v>
      </c>
      <c r="B93" s="123" t="b">
        <v>0</v>
      </c>
      <c r="C93" s="222">
        <f t="shared" si="24"/>
        <v>0</v>
      </c>
      <c r="D93" s="222">
        <f t="shared" si="25"/>
        <v>0</v>
      </c>
      <c r="E93" s="183">
        <f t="shared" si="20"/>
        <v>0</v>
      </c>
      <c r="F93" s="123"/>
      <c r="G93" s="123"/>
      <c r="H93" s="123">
        <v>10</v>
      </c>
      <c r="I93" s="125"/>
      <c r="J93" s="247"/>
      <c r="K93" s="25"/>
      <c r="L93" s="149"/>
    </row>
    <row r="94" spans="1:12">
      <c r="A94" s="244" t="s">
        <v>259</v>
      </c>
      <c r="B94" s="123" t="b">
        <v>0</v>
      </c>
      <c r="C94" s="222">
        <f t="shared" si="24"/>
        <v>0</v>
      </c>
      <c r="D94" s="222">
        <f t="shared" si="25"/>
        <v>0</v>
      </c>
      <c r="E94" s="183">
        <f t="shared" si="20"/>
        <v>0</v>
      </c>
      <c r="F94" s="123"/>
      <c r="G94" s="123"/>
      <c r="H94" s="123">
        <v>15</v>
      </c>
      <c r="I94" s="125"/>
      <c r="J94" s="247"/>
      <c r="K94" s="25"/>
      <c r="L94" s="149"/>
    </row>
    <row r="95" spans="1:12">
      <c r="A95" s="187" t="s">
        <v>19</v>
      </c>
      <c r="B95" s="123" t="b">
        <v>0</v>
      </c>
      <c r="C95" s="222">
        <f t="shared" si="24"/>
        <v>0</v>
      </c>
      <c r="D95" s="222">
        <f t="shared" si="25"/>
        <v>0</v>
      </c>
      <c r="E95" s="183">
        <f t="shared" si="20"/>
        <v>0</v>
      </c>
      <c r="F95" s="123"/>
      <c r="G95" s="123"/>
      <c r="H95" s="123">
        <v>10</v>
      </c>
      <c r="I95" s="125"/>
      <c r="J95" s="247"/>
      <c r="K95" s="25"/>
      <c r="L95" s="149"/>
    </row>
    <row r="96" spans="1:12">
      <c r="A96" s="187" t="s">
        <v>260</v>
      </c>
      <c r="B96" s="123" t="b">
        <v>0</v>
      </c>
      <c r="C96" s="222">
        <f t="shared" si="24"/>
        <v>0</v>
      </c>
      <c r="D96" s="222">
        <f t="shared" si="25"/>
        <v>0</v>
      </c>
      <c r="E96" s="183">
        <f t="shared" si="20"/>
        <v>0</v>
      </c>
      <c r="F96" s="123"/>
      <c r="G96" s="123"/>
      <c r="H96" s="123">
        <v>10</v>
      </c>
      <c r="I96" s="125"/>
      <c r="J96" s="247"/>
      <c r="K96" s="25"/>
      <c r="L96" s="149"/>
    </row>
    <row r="97" spans="1:12">
      <c r="A97" s="187" t="s">
        <v>261</v>
      </c>
      <c r="B97" s="123" t="b">
        <v>0</v>
      </c>
      <c r="C97" s="222">
        <f t="shared" si="24"/>
        <v>0</v>
      </c>
      <c r="D97" s="222">
        <f t="shared" si="25"/>
        <v>0</v>
      </c>
      <c r="E97" s="183">
        <f t="shared" si="20"/>
        <v>0</v>
      </c>
      <c r="F97" s="123"/>
      <c r="G97" s="123"/>
      <c r="H97" s="123">
        <v>10</v>
      </c>
      <c r="I97" s="125"/>
      <c r="J97" s="247"/>
      <c r="K97" s="25"/>
      <c r="L97" s="149"/>
    </row>
    <row r="98" spans="1:12">
      <c r="A98" s="187" t="s">
        <v>262</v>
      </c>
      <c r="B98" s="123" t="b">
        <v>0</v>
      </c>
      <c r="C98" s="222">
        <f t="shared" si="24"/>
        <v>0</v>
      </c>
      <c r="D98" s="222">
        <f t="shared" si="25"/>
        <v>0</v>
      </c>
      <c r="E98" s="183">
        <f t="shared" si="20"/>
        <v>0</v>
      </c>
      <c r="F98" s="123"/>
      <c r="G98" s="123"/>
      <c r="H98" s="123">
        <v>10</v>
      </c>
      <c r="I98" s="125"/>
      <c r="J98" s="247"/>
      <c r="K98" s="25"/>
      <c r="L98" s="149"/>
    </row>
    <row r="99" spans="1:12">
      <c r="A99" s="187" t="s">
        <v>263</v>
      </c>
      <c r="B99" s="123" t="b">
        <v>0</v>
      </c>
      <c r="C99" s="222">
        <f t="shared" si="24"/>
        <v>0</v>
      </c>
      <c r="D99" s="222">
        <f t="shared" si="25"/>
        <v>0</v>
      </c>
      <c r="E99" s="183">
        <f t="shared" si="20"/>
        <v>0</v>
      </c>
      <c r="F99" s="123"/>
      <c r="G99" s="123"/>
      <c r="H99" s="123">
        <v>10</v>
      </c>
      <c r="I99" s="125"/>
      <c r="J99" s="247"/>
      <c r="K99" s="25"/>
      <c r="L99" s="149"/>
    </row>
    <row r="100" spans="1:12">
      <c r="A100" s="187" t="s">
        <v>264</v>
      </c>
      <c r="B100" s="123" t="b">
        <v>0</v>
      </c>
      <c r="C100" s="222">
        <f t="shared" si="24"/>
        <v>0</v>
      </c>
      <c r="D100" s="222">
        <f t="shared" si="25"/>
        <v>0</v>
      </c>
      <c r="E100" s="183">
        <f t="shared" si="20"/>
        <v>0</v>
      </c>
      <c r="F100" s="123"/>
      <c r="G100" s="123"/>
      <c r="H100" s="123">
        <v>10</v>
      </c>
      <c r="I100" s="125"/>
      <c r="J100" s="247"/>
      <c r="K100" s="25"/>
      <c r="L100" s="149"/>
    </row>
    <row r="101" spans="1:12">
      <c r="A101" s="187" t="s">
        <v>265</v>
      </c>
      <c r="B101" s="123" t="b">
        <v>0</v>
      </c>
      <c r="C101" s="222">
        <f t="shared" si="24"/>
        <v>0</v>
      </c>
      <c r="D101" s="222">
        <f t="shared" si="25"/>
        <v>0</v>
      </c>
      <c r="E101" s="183">
        <f t="shared" si="20"/>
        <v>0</v>
      </c>
      <c r="F101" s="123"/>
      <c r="G101" s="123"/>
      <c r="H101" s="123">
        <v>10</v>
      </c>
      <c r="I101" s="125"/>
      <c r="J101" s="247"/>
      <c r="K101" s="25"/>
      <c r="L101" s="149"/>
    </row>
    <row r="102" spans="1:12">
      <c r="A102" s="187" t="s">
        <v>266</v>
      </c>
      <c r="B102" s="123" t="b">
        <v>0</v>
      </c>
      <c r="C102" s="222">
        <f t="shared" si="24"/>
        <v>0</v>
      </c>
      <c r="D102" s="222">
        <f t="shared" si="25"/>
        <v>0</v>
      </c>
      <c r="E102" s="183">
        <f t="shared" si="20"/>
        <v>0</v>
      </c>
      <c r="F102" s="123"/>
      <c r="G102" s="123"/>
      <c r="H102" s="123">
        <v>10</v>
      </c>
      <c r="I102" s="125"/>
      <c r="J102" s="247"/>
      <c r="K102" s="25"/>
      <c r="L102" s="149"/>
    </row>
    <row r="103" spans="1:12">
      <c r="A103" s="187" t="s">
        <v>267</v>
      </c>
      <c r="B103" s="123" t="b">
        <v>0</v>
      </c>
      <c r="C103" s="222">
        <f t="shared" si="24"/>
        <v>0</v>
      </c>
      <c r="D103" s="222">
        <f t="shared" si="25"/>
        <v>0</v>
      </c>
      <c r="E103" s="183">
        <f t="shared" si="20"/>
        <v>0</v>
      </c>
      <c r="F103" s="123"/>
      <c r="G103" s="123"/>
      <c r="H103" s="123">
        <v>10</v>
      </c>
      <c r="I103" s="125"/>
      <c r="J103" s="247"/>
      <c r="K103" s="25"/>
      <c r="L103" s="149"/>
    </row>
    <row r="104" spans="1:12">
      <c r="A104" s="187" t="s">
        <v>268</v>
      </c>
      <c r="B104" s="123" t="b">
        <v>0</v>
      </c>
      <c r="C104" s="222">
        <f t="shared" si="24"/>
        <v>0</v>
      </c>
      <c r="D104" s="222">
        <f t="shared" si="25"/>
        <v>0</v>
      </c>
      <c r="E104" s="183">
        <f t="shared" si="20"/>
        <v>0</v>
      </c>
      <c r="F104" s="123"/>
      <c r="G104" s="123"/>
      <c r="H104" s="123">
        <v>10</v>
      </c>
      <c r="I104" s="125"/>
      <c r="J104" s="247"/>
      <c r="K104" s="25"/>
      <c r="L104" s="149"/>
    </row>
    <row r="105" spans="1:12">
      <c r="A105" s="188" t="s">
        <v>105</v>
      </c>
      <c r="B105" s="123"/>
      <c r="C105" s="123"/>
      <c r="D105" s="123"/>
      <c r="E105" s="183"/>
      <c r="F105" s="123"/>
      <c r="G105" s="123"/>
      <c r="H105" s="123"/>
      <c r="I105" s="125"/>
      <c r="J105" s="248"/>
      <c r="K105" s="125"/>
      <c r="L105" s="149"/>
    </row>
    <row r="106" spans="1:12">
      <c r="A106" s="186" t="s">
        <v>194</v>
      </c>
      <c r="B106" s="123" t="b">
        <v>1</v>
      </c>
      <c r="C106" s="222">
        <f t="shared" ref="C106:C107" si="27">ROUNDUP(IF(AND(B106=TRUE, $B$6=FALSE), IF(I106=0,H106/$B$4*$B$3*2,I106), 0),-3)</f>
        <v>0</v>
      </c>
      <c r="D106" s="222">
        <f t="shared" ref="D106:D107" si="28">ROUNDUP(IF(AND(B106=TRUE, $B$6=TRUE), H106/$B$4*$B$3, 0),-3)</f>
        <v>6000</v>
      </c>
      <c r="E106" s="183">
        <f t="shared" ref="E106" si="29">SUM(C106:D106)</f>
        <v>6000</v>
      </c>
      <c r="F106" s="123"/>
      <c r="G106" s="123"/>
      <c r="H106" s="123">
        <v>10</v>
      </c>
      <c r="I106" s="125"/>
      <c r="J106" s="248"/>
      <c r="K106" s="125"/>
      <c r="L106" s="149"/>
    </row>
    <row r="107" spans="1:12">
      <c r="A107" s="187" t="s">
        <v>107</v>
      </c>
      <c r="B107" s="123" t="b">
        <v>1</v>
      </c>
      <c r="C107" s="222">
        <f t="shared" si="27"/>
        <v>0</v>
      </c>
      <c r="D107" s="222">
        <f t="shared" si="28"/>
        <v>3000</v>
      </c>
      <c r="E107" s="183">
        <f t="shared" si="9"/>
        <v>3000</v>
      </c>
      <c r="F107" s="123"/>
      <c r="G107" s="123"/>
      <c r="H107" s="123">
        <v>5</v>
      </c>
      <c r="I107" s="125"/>
      <c r="J107" s="248"/>
      <c r="K107" s="125"/>
      <c r="L107" s="149"/>
    </row>
    <row r="108" spans="1:12">
      <c r="A108" s="188" t="s">
        <v>118</v>
      </c>
      <c r="B108" s="123"/>
      <c r="C108" s="123"/>
      <c r="D108" s="123"/>
      <c r="E108" s="183"/>
      <c r="F108" s="123"/>
      <c r="G108" s="123"/>
      <c r="H108" s="123"/>
      <c r="I108" s="125"/>
      <c r="J108" s="248"/>
      <c r="K108" s="125"/>
      <c r="L108" s="149"/>
    </row>
    <row r="109" spans="1:12">
      <c r="A109" s="187" t="s">
        <v>109</v>
      </c>
      <c r="B109" s="123" t="b">
        <v>1</v>
      </c>
      <c r="C109" s="222">
        <f t="shared" ref="C109:C117" si="30">ROUNDUP(IF(AND(B109=TRUE, $B$6=FALSE), IF(I109=0,H109/$B$4*$B$3*2,I109), 0),-3)</f>
        <v>0</v>
      </c>
      <c r="D109" s="222">
        <f t="shared" ref="D109:D117" si="31">ROUNDUP(IF(AND(B109=TRUE, $B$6=TRUE), H109/$B$4*$B$3, 0),-3)</f>
        <v>9000</v>
      </c>
      <c r="E109" s="183">
        <f t="shared" si="9"/>
        <v>9000</v>
      </c>
      <c r="F109" s="123"/>
      <c r="G109" s="123"/>
      <c r="H109" s="123">
        <v>15</v>
      </c>
      <c r="I109" s="125"/>
      <c r="J109" s="248"/>
      <c r="K109" s="125"/>
      <c r="L109" s="149"/>
    </row>
    <row r="110" spans="1:12">
      <c r="A110" s="187" t="s">
        <v>115</v>
      </c>
      <c r="B110" s="123" t="b">
        <v>1</v>
      </c>
      <c r="C110" s="222">
        <f t="shared" si="30"/>
        <v>0</v>
      </c>
      <c r="D110" s="222">
        <f t="shared" si="31"/>
        <v>3000</v>
      </c>
      <c r="E110" s="183">
        <f t="shared" si="9"/>
        <v>3000</v>
      </c>
      <c r="F110" s="123"/>
      <c r="G110" s="123"/>
      <c r="H110" s="123">
        <v>5</v>
      </c>
      <c r="I110" s="125"/>
      <c r="J110" s="248"/>
      <c r="K110" s="125"/>
      <c r="L110" s="149"/>
    </row>
    <row r="111" spans="1:12">
      <c r="A111" s="187" t="s">
        <v>110</v>
      </c>
      <c r="B111" s="123" t="b">
        <v>0</v>
      </c>
      <c r="C111" s="222">
        <f t="shared" si="30"/>
        <v>0</v>
      </c>
      <c r="D111" s="222">
        <f t="shared" si="31"/>
        <v>0</v>
      </c>
      <c r="E111" s="183">
        <f t="shared" si="9"/>
        <v>0</v>
      </c>
      <c r="F111" s="123"/>
      <c r="G111" s="123"/>
      <c r="H111" s="123">
        <v>5</v>
      </c>
      <c r="I111" s="125"/>
      <c r="J111" s="248"/>
      <c r="K111" s="125"/>
      <c r="L111" s="149"/>
    </row>
    <row r="112" spans="1:12">
      <c r="A112" s="187" t="s">
        <v>111</v>
      </c>
      <c r="B112" s="123" t="b">
        <v>0</v>
      </c>
      <c r="C112" s="222">
        <f t="shared" si="30"/>
        <v>0</v>
      </c>
      <c r="D112" s="222">
        <f t="shared" si="31"/>
        <v>0</v>
      </c>
      <c r="E112" s="183">
        <f t="shared" si="9"/>
        <v>0</v>
      </c>
      <c r="F112" s="123"/>
      <c r="G112" s="123"/>
      <c r="H112" s="123">
        <v>10</v>
      </c>
      <c r="I112" s="125"/>
      <c r="J112" s="248"/>
      <c r="K112" s="125"/>
      <c r="L112" s="149"/>
    </row>
    <row r="113" spans="1:12">
      <c r="A113" s="187" t="s">
        <v>112</v>
      </c>
      <c r="B113" s="123" t="b">
        <v>0</v>
      </c>
      <c r="C113" s="222">
        <f t="shared" si="30"/>
        <v>0</v>
      </c>
      <c r="D113" s="222">
        <f t="shared" si="31"/>
        <v>0</v>
      </c>
      <c r="E113" s="183">
        <f t="shared" si="9"/>
        <v>0</v>
      </c>
      <c r="F113" s="123"/>
      <c r="G113" s="123"/>
      <c r="H113" s="123">
        <v>1</v>
      </c>
      <c r="I113" s="125"/>
      <c r="J113" s="248"/>
      <c r="K113" s="125"/>
      <c r="L113" s="149"/>
    </row>
    <row r="114" spans="1:12">
      <c r="A114" s="187" t="s">
        <v>113</v>
      </c>
      <c r="B114" s="123" t="b">
        <v>1</v>
      </c>
      <c r="C114" s="222">
        <f t="shared" si="30"/>
        <v>0</v>
      </c>
      <c r="D114" s="222">
        <f t="shared" si="31"/>
        <v>3000</v>
      </c>
      <c r="E114" s="183">
        <f t="shared" si="9"/>
        <v>3000</v>
      </c>
      <c r="F114" s="123"/>
      <c r="G114" s="123"/>
      <c r="H114" s="123">
        <v>5</v>
      </c>
      <c r="I114" s="125">
        <v>15000</v>
      </c>
      <c r="J114" s="248"/>
      <c r="K114" s="125"/>
      <c r="L114" s="149"/>
    </row>
    <row r="115" spans="1:12">
      <c r="A115" s="187" t="s">
        <v>114</v>
      </c>
      <c r="B115" s="123" t="b">
        <v>0</v>
      </c>
      <c r="C115" s="222">
        <f t="shared" si="30"/>
        <v>0</v>
      </c>
      <c r="D115" s="222">
        <f t="shared" si="31"/>
        <v>0</v>
      </c>
      <c r="E115" s="183">
        <f t="shared" si="9"/>
        <v>0</v>
      </c>
      <c r="F115" s="123"/>
      <c r="G115" s="123"/>
      <c r="H115" s="123">
        <v>5</v>
      </c>
      <c r="I115" s="125"/>
      <c r="J115" s="248"/>
      <c r="K115" s="125"/>
      <c r="L115" s="149"/>
    </row>
    <row r="116" spans="1:12">
      <c r="A116" s="187" t="s">
        <v>116</v>
      </c>
      <c r="B116" s="123" t="b">
        <v>0</v>
      </c>
      <c r="C116" s="222">
        <f t="shared" si="30"/>
        <v>0</v>
      </c>
      <c r="D116" s="222">
        <f t="shared" si="31"/>
        <v>0</v>
      </c>
      <c r="E116" s="183">
        <f t="shared" si="9"/>
        <v>0</v>
      </c>
      <c r="F116" s="123"/>
      <c r="G116" s="123"/>
      <c r="H116" s="123">
        <v>5</v>
      </c>
      <c r="I116" s="125"/>
      <c r="J116" s="248"/>
      <c r="K116" s="125"/>
      <c r="L116" s="149"/>
    </row>
    <row r="117" spans="1:12">
      <c r="A117" s="189" t="s">
        <v>117</v>
      </c>
      <c r="B117" s="190" t="b">
        <v>0</v>
      </c>
      <c r="C117" s="228">
        <f t="shared" si="30"/>
        <v>0</v>
      </c>
      <c r="D117" s="228">
        <f t="shared" si="31"/>
        <v>0</v>
      </c>
      <c r="E117" s="191">
        <f t="shared" si="9"/>
        <v>0</v>
      </c>
      <c r="F117" s="123"/>
      <c r="G117" s="123"/>
      <c r="H117" s="123">
        <v>5</v>
      </c>
      <c r="I117" s="125"/>
      <c r="J117" s="248"/>
      <c r="K117" s="125"/>
      <c r="L117" s="149"/>
    </row>
    <row r="118" spans="1:12" ht="15.75" thickBot="1">
      <c r="A118" s="123"/>
      <c r="B118" s="123"/>
      <c r="C118" s="123"/>
      <c r="D118" s="123"/>
      <c r="E118" s="123"/>
      <c r="F118" s="123"/>
      <c r="G118" s="123"/>
      <c r="H118" s="123"/>
      <c r="I118" s="125"/>
      <c r="J118" s="248"/>
      <c r="K118" s="125"/>
      <c r="L118" s="149"/>
    </row>
    <row r="119" spans="1:12" ht="15.75" thickBot="1">
      <c r="A119" s="110" t="s">
        <v>199</v>
      </c>
      <c r="B119" s="2"/>
      <c r="C119" s="123"/>
      <c r="D119" s="123"/>
      <c r="E119" s="123"/>
      <c r="F119" s="123"/>
      <c r="G119" s="123"/>
      <c r="H119" s="123"/>
      <c r="I119" s="125"/>
      <c r="J119" s="248"/>
      <c r="K119" s="125"/>
      <c r="L119" s="149"/>
    </row>
    <row r="120" spans="1:12">
      <c r="A120" s="1">
        <v>0</v>
      </c>
      <c r="B120" s="2">
        <v>0</v>
      </c>
      <c r="C120" s="123"/>
      <c r="D120" s="123"/>
      <c r="E120" s="123"/>
      <c r="F120" s="123"/>
      <c r="G120" s="123"/>
      <c r="H120" s="123"/>
      <c r="I120" s="125"/>
      <c r="J120" s="248"/>
      <c r="K120" s="125"/>
      <c r="L120" s="149"/>
    </row>
    <row r="121" spans="1:12">
      <c r="A121" s="3">
        <v>1</v>
      </c>
      <c r="B121" s="4">
        <f>IF($B$6=TRUE,10000,20000)</f>
        <v>10000</v>
      </c>
      <c r="C121" s="123"/>
      <c r="D121" s="123"/>
      <c r="E121" s="123"/>
      <c r="F121" s="123"/>
      <c r="G121" s="123"/>
      <c r="H121" s="123"/>
      <c r="I121" s="125"/>
      <c r="J121" s="248"/>
      <c r="K121" s="125"/>
      <c r="L121" s="149"/>
    </row>
    <row r="122" spans="1:12">
      <c r="A122" s="3">
        <v>2</v>
      </c>
      <c r="B122" s="4">
        <f>IF($B$6=TRUE,9000,18000)</f>
        <v>9000</v>
      </c>
      <c r="C122" s="123"/>
      <c r="D122" s="123"/>
      <c r="E122" s="123"/>
      <c r="F122" s="123"/>
      <c r="G122" s="123"/>
      <c r="H122" s="123"/>
      <c r="I122" s="125"/>
      <c r="J122" s="248"/>
      <c r="K122" s="125"/>
      <c r="L122" s="149"/>
    </row>
    <row r="123" spans="1:12">
      <c r="A123" s="3">
        <v>3</v>
      </c>
      <c r="B123" s="4">
        <f>IF($B$6=TRUE,8000,15000)</f>
        <v>8000</v>
      </c>
      <c r="C123" s="123"/>
      <c r="D123" s="123"/>
      <c r="E123" s="123"/>
      <c r="F123" s="123"/>
      <c r="G123" s="123"/>
      <c r="H123" s="123"/>
      <c r="I123" s="125"/>
      <c r="J123" s="248"/>
      <c r="K123" s="125"/>
      <c r="L123" s="149"/>
    </row>
    <row r="124" spans="1:12">
      <c r="A124" s="3">
        <v>4</v>
      </c>
      <c r="B124" s="4">
        <f>IF($B$6=TRUE,7000,13000)</f>
        <v>7000</v>
      </c>
      <c r="C124" s="123"/>
      <c r="D124" s="123"/>
      <c r="E124" s="123"/>
      <c r="F124" s="123"/>
      <c r="G124" s="123"/>
      <c r="H124" s="123"/>
      <c r="I124" s="125"/>
      <c r="J124" s="248"/>
      <c r="K124" s="125"/>
      <c r="L124" s="149"/>
    </row>
    <row r="125" spans="1:12">
      <c r="A125" s="3">
        <v>5</v>
      </c>
      <c r="B125" s="4">
        <f>IF($B$6=TRUE,6000,12000)</f>
        <v>6000</v>
      </c>
      <c r="C125" s="123"/>
      <c r="D125" s="123"/>
      <c r="E125" s="123"/>
      <c r="F125" s="123"/>
      <c r="G125" s="123"/>
      <c r="H125" s="123"/>
      <c r="I125" s="125"/>
      <c r="J125" s="248"/>
      <c r="K125" s="125"/>
      <c r="L125" s="149"/>
    </row>
    <row r="126" spans="1:12">
      <c r="A126" s="3">
        <v>6</v>
      </c>
      <c r="B126" s="4">
        <f>IF($B$6=TRUE,5500,11000)</f>
        <v>5500</v>
      </c>
      <c r="C126" s="123"/>
      <c r="D126" s="123"/>
      <c r="E126" s="123"/>
      <c r="F126" s="123"/>
      <c r="G126" s="123"/>
      <c r="H126" s="123"/>
      <c r="I126" s="125"/>
      <c r="J126" s="248"/>
      <c r="K126" s="125"/>
      <c r="L126" s="149"/>
    </row>
    <row r="127" spans="1:12">
      <c r="A127" s="3">
        <v>7</v>
      </c>
      <c r="B127" s="4">
        <f>IF($B$6=TRUE,5000,10000)</f>
        <v>5000</v>
      </c>
      <c r="C127" s="123"/>
      <c r="D127" s="123"/>
      <c r="E127" s="123"/>
      <c r="F127" s="123"/>
      <c r="G127" s="123"/>
      <c r="H127" s="123"/>
      <c r="I127" s="125"/>
      <c r="J127" s="248"/>
      <c r="K127" s="125"/>
      <c r="L127" s="149"/>
    </row>
    <row r="128" spans="1:12">
      <c r="A128" s="3">
        <v>8</v>
      </c>
      <c r="B128" s="4">
        <f>IF($B$6=TRUE,4700,9500)</f>
        <v>4700</v>
      </c>
      <c r="C128" s="123"/>
      <c r="D128" s="123"/>
      <c r="E128" s="123"/>
      <c r="F128" s="123"/>
      <c r="G128" s="123"/>
      <c r="H128" s="123"/>
      <c r="I128" s="125"/>
      <c r="J128" s="248"/>
      <c r="K128" s="125"/>
      <c r="L128" s="149"/>
    </row>
    <row r="129" spans="1:12">
      <c r="A129" s="3">
        <v>9</v>
      </c>
      <c r="B129" s="4">
        <f>IF($B$6=TRUE,4500,9000)</f>
        <v>4500</v>
      </c>
      <c r="C129" s="145" t="s">
        <v>1</v>
      </c>
      <c r="D129" s="8">
        <f>IF(B6=TRUE,TWO!B114-1,TWO!B114)</f>
        <v>1</v>
      </c>
      <c r="E129" s="123"/>
      <c r="F129" s="123"/>
      <c r="G129" s="123"/>
      <c r="H129" s="123"/>
      <c r="I129" s="125"/>
      <c r="J129" s="248"/>
      <c r="K129" s="125"/>
      <c r="L129" s="149"/>
    </row>
    <row r="130" spans="1:12">
      <c r="A130" s="3">
        <v>10</v>
      </c>
      <c r="B130" s="4">
        <f>IF($B$6=TRUE,4200,8600)</f>
        <v>4200</v>
      </c>
      <c r="C130" s="123">
        <f>MATCH(D129,A120:A131,1)</f>
        <v>2</v>
      </c>
      <c r="E130" s="123"/>
      <c r="F130" s="123"/>
      <c r="G130" s="123"/>
      <c r="H130" s="123"/>
      <c r="I130" s="125"/>
      <c r="J130" s="248"/>
      <c r="K130" s="125"/>
      <c r="L130" s="149"/>
    </row>
    <row r="131" spans="1:12" ht="15.75" thickBot="1">
      <c r="A131" s="138">
        <v>11</v>
      </c>
      <c r="B131" s="4">
        <f>IF($B$6=TRUE,4000,5000)</f>
        <v>4000</v>
      </c>
      <c r="C131" s="123">
        <f>INDEX(B120:B131,C130)</f>
        <v>10000</v>
      </c>
      <c r="E131" s="123"/>
      <c r="F131" s="123"/>
      <c r="G131" s="123"/>
      <c r="H131" s="123"/>
      <c r="I131" s="125"/>
      <c r="J131" s="248"/>
      <c r="K131" s="125"/>
      <c r="L131" s="149"/>
    </row>
    <row r="132" spans="1:12" ht="15.75" thickBot="1">
      <c r="A132" s="144" t="s">
        <v>173</v>
      </c>
      <c r="B132" s="143">
        <f>IF(OR(D129&lt;10,D129=10),D129*C131,(B130*10)+(D129-10)*B131)</f>
        <v>10000</v>
      </c>
      <c r="C132" s="123"/>
      <c r="D132" s="123"/>
      <c r="E132" s="123"/>
      <c r="F132" s="123"/>
      <c r="G132" s="123"/>
      <c r="H132" s="123"/>
      <c r="I132" s="125"/>
      <c r="J132" s="248"/>
      <c r="K132" s="125"/>
      <c r="L132" s="149"/>
    </row>
    <row r="133" spans="1:12" ht="15.75" thickBot="1">
      <c r="A133" s="147"/>
      <c r="B133" s="147"/>
      <c r="C133" s="123"/>
      <c r="D133" s="123"/>
      <c r="E133" s="123"/>
      <c r="F133" s="123"/>
      <c r="G133" s="123"/>
      <c r="H133" s="123"/>
      <c r="I133" s="125"/>
      <c r="J133" s="248"/>
      <c r="K133" s="125"/>
      <c r="L133" s="149"/>
    </row>
    <row r="134" spans="1:12" ht="15.75" thickBot="1">
      <c r="A134" s="110" t="s">
        <v>200</v>
      </c>
      <c r="B134" s="2"/>
      <c r="C134" s="123"/>
      <c r="D134" s="123"/>
      <c r="E134" s="123"/>
      <c r="F134" s="123"/>
      <c r="G134" s="123"/>
      <c r="H134" s="123"/>
      <c r="I134" s="125"/>
      <c r="J134" s="248"/>
      <c r="K134" s="125"/>
      <c r="L134" s="149"/>
    </row>
    <row r="135" spans="1:12">
      <c r="A135" s="1">
        <v>0</v>
      </c>
      <c r="B135" s="2">
        <v>0</v>
      </c>
      <c r="C135" s="123"/>
      <c r="D135" s="123"/>
      <c r="E135" s="123"/>
      <c r="F135" s="123"/>
      <c r="G135" s="123"/>
      <c r="H135" s="123"/>
      <c r="I135" s="125"/>
      <c r="J135" s="248"/>
      <c r="K135" s="125"/>
      <c r="L135" s="149"/>
    </row>
    <row r="136" spans="1:12">
      <c r="A136" s="3">
        <v>1</v>
      </c>
      <c r="B136" s="4">
        <f>IF($B$6=TRUE,5000,10000)</f>
        <v>5000</v>
      </c>
      <c r="C136" s="123"/>
      <c r="D136" s="123"/>
      <c r="E136" s="123"/>
      <c r="F136" s="123"/>
      <c r="G136" s="123"/>
      <c r="H136" s="123"/>
      <c r="I136" s="125"/>
      <c r="J136" s="248"/>
      <c r="K136" s="125"/>
      <c r="L136" s="149"/>
    </row>
    <row r="137" spans="1:12">
      <c r="A137" s="3">
        <v>2</v>
      </c>
      <c r="B137" s="4">
        <f>IF($B$6=TRUE,4500,9000)</f>
        <v>4500</v>
      </c>
      <c r="C137" s="123"/>
      <c r="D137" s="123"/>
      <c r="E137" s="123"/>
      <c r="F137" s="123"/>
      <c r="G137" s="123"/>
      <c r="H137" s="123"/>
      <c r="I137" s="125"/>
      <c r="J137" s="248"/>
      <c r="K137" s="125"/>
      <c r="L137" s="149"/>
    </row>
    <row r="138" spans="1:12">
      <c r="A138" s="3">
        <v>3</v>
      </c>
      <c r="B138" s="4">
        <f>IF($B$6=TRUE,4000,7500)</f>
        <v>4000</v>
      </c>
      <c r="C138" s="123"/>
      <c r="D138" s="123"/>
      <c r="E138" s="123"/>
      <c r="F138" s="123"/>
      <c r="G138" s="123"/>
      <c r="H138" s="123"/>
      <c r="I138" s="125"/>
      <c r="J138" s="248"/>
      <c r="K138" s="125"/>
      <c r="L138" s="149"/>
    </row>
    <row r="139" spans="1:12">
      <c r="A139" s="3">
        <v>4</v>
      </c>
      <c r="B139" s="4">
        <f>IF($B$6=TRUE,3500,6500)</f>
        <v>3500</v>
      </c>
      <c r="C139" s="123"/>
      <c r="D139" s="123"/>
      <c r="E139" s="123"/>
      <c r="F139" s="123"/>
      <c r="G139" s="123"/>
      <c r="H139" s="123"/>
      <c r="I139" s="125"/>
      <c r="J139" s="248"/>
      <c r="K139" s="125"/>
      <c r="L139" s="149"/>
    </row>
    <row r="140" spans="1:12">
      <c r="A140" s="3">
        <v>5</v>
      </c>
      <c r="B140" s="4">
        <f>IF($B$6=TRUE,3000,6000)</f>
        <v>3000</v>
      </c>
      <c r="C140" s="123"/>
      <c r="D140" s="123"/>
      <c r="E140" s="123"/>
      <c r="F140" s="123"/>
      <c r="G140" s="123"/>
      <c r="H140" s="123"/>
      <c r="I140" s="125"/>
      <c r="J140" s="248"/>
      <c r="K140" s="125"/>
      <c r="L140" s="149"/>
    </row>
    <row r="141" spans="1:12">
      <c r="A141" s="3">
        <v>6</v>
      </c>
      <c r="B141" s="4">
        <f>IF($B$6=TRUE,2750,5500)</f>
        <v>2750</v>
      </c>
      <c r="C141" s="123"/>
      <c r="D141" s="123"/>
      <c r="E141" s="123"/>
      <c r="F141" s="123"/>
      <c r="G141" s="123"/>
      <c r="H141" s="123"/>
      <c r="I141" s="125"/>
      <c r="J141" s="248"/>
      <c r="K141" s="125"/>
      <c r="L141" s="149"/>
    </row>
    <row r="142" spans="1:12">
      <c r="A142" s="3">
        <v>7</v>
      </c>
      <c r="B142" s="4">
        <f>IF($B$6=TRUE,2500,5000)</f>
        <v>2500</v>
      </c>
      <c r="C142" s="123"/>
      <c r="D142" s="123"/>
      <c r="E142" s="123"/>
      <c r="F142" s="123"/>
      <c r="G142" s="123"/>
      <c r="H142" s="123"/>
      <c r="I142" s="125"/>
      <c r="J142" s="248"/>
      <c r="K142" s="125"/>
      <c r="L142" s="149"/>
    </row>
    <row r="143" spans="1:12">
      <c r="A143" s="3">
        <v>8</v>
      </c>
      <c r="B143" s="4">
        <f>IF($B$6=TRUE,2350,4750)</f>
        <v>2350</v>
      </c>
      <c r="C143" s="123"/>
      <c r="D143" s="123"/>
      <c r="E143" s="123"/>
      <c r="F143" s="123"/>
      <c r="G143" s="123"/>
      <c r="H143" s="123"/>
      <c r="I143" s="125"/>
      <c r="J143" s="248"/>
      <c r="K143" s="125"/>
      <c r="L143" s="149"/>
    </row>
    <row r="144" spans="1:12">
      <c r="A144" s="3">
        <v>9</v>
      </c>
      <c r="B144" s="4">
        <f>IF($B$6=TRUE,2250,4500)</f>
        <v>2250</v>
      </c>
      <c r="C144" s="145" t="s">
        <v>1</v>
      </c>
      <c r="D144" s="8">
        <f>TWO!B115</f>
        <v>0</v>
      </c>
      <c r="E144" s="123"/>
      <c r="F144" s="123"/>
      <c r="G144" s="123"/>
      <c r="H144" s="123"/>
      <c r="I144" s="125"/>
      <c r="J144" s="248"/>
      <c r="K144" s="125"/>
      <c r="L144" s="149"/>
    </row>
    <row r="145" spans="1:12">
      <c r="A145" s="3">
        <v>10</v>
      </c>
      <c r="B145" s="4">
        <f>IF($B$6=TRUE,2100,4300)</f>
        <v>2100</v>
      </c>
      <c r="C145" s="123">
        <f>MATCH(D144,A135:A146,1)</f>
        <v>1</v>
      </c>
      <c r="E145" s="123"/>
      <c r="F145" s="123"/>
      <c r="G145" s="123"/>
      <c r="H145" s="123"/>
      <c r="I145" s="125"/>
      <c r="J145" s="248"/>
      <c r="K145" s="125"/>
      <c r="L145" s="149"/>
    </row>
    <row r="146" spans="1:12" ht="15.75" thickBot="1">
      <c r="A146" s="138">
        <v>11</v>
      </c>
      <c r="B146" s="4">
        <f>IF($B$6=TRUE,2000,2500)</f>
        <v>2000</v>
      </c>
      <c r="C146" s="123">
        <f>INDEX(B135:B146,C145)</f>
        <v>0</v>
      </c>
      <c r="E146" s="123"/>
      <c r="F146" s="123"/>
      <c r="G146" s="123"/>
      <c r="H146" s="123"/>
      <c r="I146" s="125"/>
      <c r="J146" s="248"/>
      <c r="K146" s="125"/>
      <c r="L146" s="149"/>
    </row>
    <row r="147" spans="1:12" ht="15.75" thickBot="1">
      <c r="A147" s="144" t="s">
        <v>173</v>
      </c>
      <c r="B147" s="143">
        <f>IF(OR(D144&lt;10,D144=10),D144*C146,(B145*10)+(D144-10)*B146)</f>
        <v>0</v>
      </c>
      <c r="C147" s="123"/>
      <c r="D147" s="123"/>
      <c r="E147" s="123"/>
      <c r="F147" s="123"/>
      <c r="G147" s="123"/>
      <c r="H147" s="123"/>
      <c r="I147" s="125"/>
      <c r="J147" s="248"/>
      <c r="K147" s="125"/>
      <c r="L147" s="149"/>
    </row>
    <row r="148" spans="1:12" ht="15.75" thickBot="1">
      <c r="A148" s="147"/>
      <c r="B148" s="147"/>
      <c r="C148" s="123"/>
      <c r="D148" s="123"/>
      <c r="E148" s="123"/>
      <c r="F148" s="123"/>
      <c r="G148" s="123"/>
      <c r="H148" s="123"/>
      <c r="I148" s="125"/>
      <c r="J148" s="248"/>
      <c r="K148" s="125"/>
      <c r="L148" s="149"/>
    </row>
    <row r="149" spans="1:12" ht="15.75" thickBot="1">
      <c r="A149" s="110" t="s">
        <v>201</v>
      </c>
      <c r="B149" s="2"/>
      <c r="C149" s="123"/>
      <c r="D149" s="123"/>
      <c r="E149" s="123"/>
      <c r="F149" s="123"/>
      <c r="G149" s="123"/>
      <c r="H149" s="123"/>
      <c r="I149" s="125"/>
      <c r="J149" s="248"/>
      <c r="K149" s="125"/>
      <c r="L149" s="149"/>
    </row>
    <row r="150" spans="1:12">
      <c r="A150" s="1">
        <v>0</v>
      </c>
      <c r="B150" s="2">
        <v>0</v>
      </c>
      <c r="C150" s="123"/>
      <c r="D150" s="123"/>
      <c r="E150" s="123"/>
      <c r="F150" s="123"/>
      <c r="G150" s="123"/>
      <c r="H150" s="123"/>
      <c r="I150" s="125"/>
      <c r="J150" s="248"/>
      <c r="K150" s="125"/>
      <c r="L150" s="149"/>
    </row>
    <row r="151" spans="1:12">
      <c r="A151" s="3">
        <v>1</v>
      </c>
      <c r="B151" s="4">
        <f>IF($B$6=TRUE,1000,2000)</f>
        <v>1000</v>
      </c>
      <c r="C151" s="123"/>
      <c r="D151" s="123"/>
      <c r="E151" s="123"/>
      <c r="F151" s="123"/>
      <c r="G151" s="123"/>
      <c r="H151" s="123"/>
      <c r="I151" s="125"/>
      <c r="J151" s="248"/>
      <c r="K151" s="125"/>
      <c r="L151" s="149"/>
    </row>
    <row r="152" spans="1:12">
      <c r="A152" s="3">
        <v>2</v>
      </c>
      <c r="B152" s="4">
        <f>IF($B$6=TRUE,900,1800)</f>
        <v>900</v>
      </c>
      <c r="C152" s="123"/>
      <c r="D152" s="123"/>
      <c r="E152" s="123"/>
      <c r="F152" s="123"/>
      <c r="G152" s="123"/>
      <c r="H152" s="123"/>
      <c r="I152" s="125"/>
      <c r="J152" s="248"/>
      <c r="K152" s="125"/>
      <c r="L152" s="149"/>
    </row>
    <row r="153" spans="1:12">
      <c r="A153" s="3">
        <v>3</v>
      </c>
      <c r="B153" s="4">
        <f>IF($B$6=TRUE,800,1500)</f>
        <v>800</v>
      </c>
      <c r="C153" s="123"/>
      <c r="D153" s="123"/>
      <c r="E153" s="123"/>
      <c r="F153" s="123"/>
      <c r="G153" s="123"/>
      <c r="H153" s="123"/>
      <c r="I153" s="125"/>
      <c r="J153" s="248"/>
      <c r="K153" s="125"/>
      <c r="L153" s="149"/>
    </row>
    <row r="154" spans="1:12">
      <c r="A154" s="3">
        <v>4</v>
      </c>
      <c r="B154" s="4">
        <f>IF($B$6=TRUE,700,1300)</f>
        <v>700</v>
      </c>
      <c r="C154" s="123"/>
      <c r="D154" s="123"/>
      <c r="E154" s="123"/>
      <c r="F154" s="123"/>
      <c r="G154" s="123"/>
      <c r="H154" s="123"/>
      <c r="I154" s="125"/>
      <c r="J154" s="248"/>
      <c r="K154" s="125"/>
      <c r="L154" s="149"/>
    </row>
    <row r="155" spans="1:12">
      <c r="A155" s="3">
        <v>5</v>
      </c>
      <c r="B155" s="4">
        <f>IF($B$6=TRUE,600,1200)</f>
        <v>600</v>
      </c>
      <c r="C155" s="123"/>
      <c r="D155" s="123"/>
      <c r="E155" s="123"/>
      <c r="F155" s="123"/>
      <c r="G155" s="123"/>
      <c r="H155" s="123"/>
      <c r="I155" s="125"/>
      <c r="J155" s="248"/>
      <c r="K155" s="125"/>
      <c r="L155" s="149"/>
    </row>
    <row r="156" spans="1:12">
      <c r="A156" s="3">
        <v>6</v>
      </c>
      <c r="B156" s="4">
        <f>IF($B$6=TRUE,550,1100)</f>
        <v>550</v>
      </c>
      <c r="C156" s="123"/>
      <c r="D156" s="123"/>
      <c r="E156" s="123"/>
      <c r="F156" s="123"/>
      <c r="G156" s="123"/>
      <c r="H156" s="123"/>
      <c r="I156" s="125"/>
      <c r="J156" s="248"/>
      <c r="K156" s="125"/>
      <c r="L156" s="149"/>
    </row>
    <row r="157" spans="1:12">
      <c r="A157" s="3">
        <v>7</v>
      </c>
      <c r="B157" s="4">
        <f>IF($B$6=TRUE,500,1000)</f>
        <v>500</v>
      </c>
      <c r="C157" s="123"/>
      <c r="D157" s="123"/>
      <c r="E157" s="123"/>
      <c r="F157" s="123"/>
      <c r="G157" s="123"/>
      <c r="H157" s="123"/>
      <c r="I157" s="125"/>
      <c r="J157" s="248"/>
      <c r="K157" s="125"/>
      <c r="L157" s="149"/>
    </row>
    <row r="158" spans="1:12">
      <c r="A158" s="3">
        <v>8</v>
      </c>
      <c r="B158" s="4">
        <f>IF($B$6=TRUE,470,950)</f>
        <v>470</v>
      </c>
      <c r="C158" s="123"/>
      <c r="D158" s="123"/>
      <c r="E158" s="123"/>
      <c r="F158" s="123"/>
      <c r="G158" s="123"/>
      <c r="H158" s="123"/>
      <c r="I158" s="125"/>
      <c r="J158" s="248"/>
      <c r="K158" s="125"/>
      <c r="L158" s="149"/>
    </row>
    <row r="159" spans="1:12">
      <c r="A159" s="3">
        <v>9</v>
      </c>
      <c r="B159" s="4">
        <f>IF($B$6=TRUE,450,900)</f>
        <v>450</v>
      </c>
      <c r="C159" s="145" t="s">
        <v>1</v>
      </c>
      <c r="D159" s="8">
        <f>IF(B6=TRUE, TWO!B116-2,TWO!B116)</f>
        <v>3</v>
      </c>
      <c r="E159" s="123"/>
      <c r="F159" s="123"/>
      <c r="G159" s="123"/>
      <c r="H159" s="123"/>
      <c r="I159" s="125"/>
      <c r="J159" s="248"/>
      <c r="K159" s="125"/>
      <c r="L159" s="149"/>
    </row>
    <row r="160" spans="1:12">
      <c r="A160" s="3">
        <v>10</v>
      </c>
      <c r="B160" s="4">
        <f>IF($B$6=TRUE,420,860)</f>
        <v>420</v>
      </c>
      <c r="C160" s="123">
        <f>MATCH(D159,A150:A161,1)</f>
        <v>4</v>
      </c>
      <c r="E160" s="123"/>
      <c r="F160" s="123"/>
      <c r="G160" s="123"/>
      <c r="H160" s="123"/>
      <c r="I160" s="125"/>
      <c r="J160" s="248"/>
      <c r="K160" s="125"/>
      <c r="L160" s="149"/>
    </row>
    <row r="161" spans="1:12" ht="15.75" thickBot="1">
      <c r="A161" s="138">
        <v>11</v>
      </c>
      <c r="B161" s="4">
        <f>IF($B$6=TRUE,400,500)</f>
        <v>400</v>
      </c>
      <c r="C161" s="123">
        <f>INDEX(B150:B161,C160)</f>
        <v>800</v>
      </c>
      <c r="E161" s="123"/>
      <c r="F161" s="123"/>
      <c r="G161" s="123"/>
      <c r="H161" s="123"/>
      <c r="I161" s="125"/>
      <c r="J161" s="248"/>
      <c r="K161" s="125"/>
      <c r="L161" s="149"/>
    </row>
    <row r="162" spans="1:12" ht="15.75" thickBot="1">
      <c r="A162" s="144" t="s">
        <v>173</v>
      </c>
      <c r="B162" s="143">
        <f>IF(OR(D159&lt;10,D159=10),D159*C161,(B160*10)+(D159-10)*B161)</f>
        <v>2400</v>
      </c>
      <c r="C162" s="123"/>
      <c r="D162" s="123"/>
      <c r="E162" s="123"/>
      <c r="F162" s="123"/>
      <c r="G162" s="123"/>
      <c r="H162" s="123"/>
      <c r="I162" s="125"/>
      <c r="J162" s="248"/>
      <c r="K162" s="125"/>
      <c r="L162" s="149"/>
    </row>
    <row r="163" spans="1:12" ht="15.75" thickBot="1">
      <c r="A163" s="147"/>
      <c r="B163" s="147"/>
      <c r="C163" s="123"/>
      <c r="D163" s="123"/>
      <c r="E163" s="123"/>
      <c r="F163" s="123"/>
      <c r="G163" s="123"/>
      <c r="H163" s="123"/>
      <c r="I163" s="125"/>
      <c r="J163" s="248"/>
      <c r="K163" s="125"/>
      <c r="L163" s="149"/>
    </row>
    <row r="164" spans="1:12" ht="15.75" thickBot="1">
      <c r="A164" s="110" t="s">
        <v>202</v>
      </c>
      <c r="B164" s="2"/>
      <c r="C164" s="123"/>
      <c r="D164" s="123"/>
      <c r="E164" s="123"/>
      <c r="F164" s="123"/>
      <c r="G164" s="123"/>
      <c r="H164" s="123"/>
      <c r="I164" s="125"/>
      <c r="J164" s="248"/>
      <c r="K164" s="125"/>
      <c r="L164" s="149"/>
    </row>
    <row r="165" spans="1:12">
      <c r="A165" s="1">
        <v>0</v>
      </c>
      <c r="B165" s="2">
        <v>0</v>
      </c>
      <c r="C165" s="123"/>
      <c r="D165" s="123"/>
      <c r="E165" s="123"/>
      <c r="F165" s="123"/>
      <c r="G165" s="123"/>
      <c r="H165" s="123"/>
      <c r="I165" s="125"/>
      <c r="J165" s="248"/>
      <c r="K165" s="125"/>
      <c r="L165" s="149"/>
    </row>
    <row r="166" spans="1:12">
      <c r="A166" s="3">
        <v>1</v>
      </c>
      <c r="B166" s="4">
        <f>IF($B$6=TRUE,3300,6600)</f>
        <v>3300</v>
      </c>
      <c r="C166" s="123"/>
      <c r="D166" s="123"/>
      <c r="E166" s="123"/>
      <c r="F166" s="25"/>
      <c r="G166" s="123"/>
      <c r="H166" s="123"/>
      <c r="I166" s="125"/>
      <c r="J166" s="248"/>
      <c r="K166" s="125"/>
      <c r="L166" s="149"/>
    </row>
    <row r="167" spans="1:12">
      <c r="A167" s="3">
        <v>2</v>
      </c>
      <c r="B167" s="4">
        <f>IF($B$6=TRUE,3000,6000)</f>
        <v>3000</v>
      </c>
      <c r="C167" s="123"/>
      <c r="D167" s="123"/>
      <c r="E167" s="123"/>
      <c r="F167" s="25"/>
      <c r="G167" s="123"/>
      <c r="H167" s="123"/>
      <c r="I167" s="125"/>
      <c r="J167" s="248"/>
      <c r="K167" s="125"/>
      <c r="L167" s="149"/>
    </row>
    <row r="168" spans="1:12">
      <c r="A168" s="3">
        <v>3</v>
      </c>
      <c r="B168" s="4">
        <f>IF($B$6=TRUE,2600,5000)</f>
        <v>2600</v>
      </c>
      <c r="C168" s="123"/>
      <c r="D168" s="123"/>
      <c r="E168" s="123"/>
      <c r="F168" s="25"/>
      <c r="G168" s="123"/>
      <c r="H168" s="123"/>
      <c r="I168" s="125"/>
      <c r="J168" s="248"/>
      <c r="K168" s="125"/>
      <c r="L168" s="149"/>
    </row>
    <row r="169" spans="1:12">
      <c r="A169" s="3">
        <v>4</v>
      </c>
      <c r="B169" s="4">
        <f>IF($B$6=TRUE,2300,4300)</f>
        <v>2300</v>
      </c>
      <c r="C169" s="123"/>
      <c r="D169" s="123"/>
      <c r="E169" s="123"/>
      <c r="F169" s="25"/>
      <c r="G169" s="123"/>
      <c r="H169" s="123"/>
      <c r="I169" s="125"/>
      <c r="J169" s="248"/>
      <c r="K169" s="125"/>
      <c r="L169" s="149"/>
    </row>
    <row r="170" spans="1:12">
      <c r="A170" s="3">
        <v>5</v>
      </c>
      <c r="B170" s="4">
        <f>IF($B$6=TRUE,2000,4000)</f>
        <v>2000</v>
      </c>
      <c r="C170" s="123"/>
      <c r="D170" s="123"/>
      <c r="E170" s="123"/>
      <c r="F170" s="25"/>
      <c r="G170" s="123"/>
      <c r="H170" s="123"/>
      <c r="I170" s="125"/>
      <c r="J170" s="248"/>
      <c r="K170" s="125"/>
      <c r="L170" s="149"/>
    </row>
    <row r="171" spans="1:12">
      <c r="A171" s="3">
        <v>6</v>
      </c>
      <c r="B171" s="4">
        <f>IF($B$6=TRUE,1800,3600)</f>
        <v>1800</v>
      </c>
      <c r="C171" s="123"/>
      <c r="D171" s="123"/>
      <c r="E171" s="123"/>
      <c r="F171" s="25"/>
      <c r="G171" s="123"/>
      <c r="H171" s="123"/>
      <c r="I171" s="125"/>
      <c r="J171" s="248"/>
      <c r="K171" s="125"/>
      <c r="L171" s="149"/>
    </row>
    <row r="172" spans="1:12">
      <c r="A172" s="3">
        <v>7</v>
      </c>
      <c r="B172" s="4">
        <f>IF($B$6=TRUE,1600,3300)</f>
        <v>1600</v>
      </c>
      <c r="C172" s="123"/>
      <c r="D172" s="123"/>
      <c r="E172" s="123"/>
      <c r="F172" s="25"/>
      <c r="G172" s="123"/>
      <c r="H172" s="123"/>
      <c r="I172" s="125"/>
      <c r="J172" s="248"/>
      <c r="K172" s="125"/>
      <c r="L172" s="149"/>
    </row>
    <row r="173" spans="1:12">
      <c r="A173" s="3">
        <v>8</v>
      </c>
      <c r="B173" s="4">
        <f>IF($B$6=TRUE,1550,3100)</f>
        <v>1550</v>
      </c>
      <c r="C173" s="123"/>
      <c r="D173" s="123"/>
      <c r="E173" s="123"/>
      <c r="F173" s="25"/>
      <c r="G173" s="123"/>
      <c r="H173" s="123"/>
      <c r="I173" s="125"/>
      <c r="J173" s="248"/>
      <c r="K173" s="125"/>
      <c r="L173" s="149"/>
    </row>
    <row r="174" spans="1:12">
      <c r="A174" s="3">
        <v>9</v>
      </c>
      <c r="B174" s="4">
        <f>IF($B$6=TRUE,1500,3000)</f>
        <v>1500</v>
      </c>
      <c r="C174" s="145" t="s">
        <v>1</v>
      </c>
      <c r="D174" s="8">
        <f>IF(B6=TRUE, TWO!B117-1,TWO!B117)</f>
        <v>0</v>
      </c>
      <c r="E174" s="123"/>
      <c r="F174" s="25"/>
      <c r="G174" s="123"/>
      <c r="H174" s="123"/>
      <c r="I174" s="125"/>
      <c r="J174" s="248"/>
      <c r="K174" s="125"/>
      <c r="L174" s="149"/>
    </row>
    <row r="175" spans="1:12">
      <c r="A175" s="3">
        <v>10</v>
      </c>
      <c r="B175" s="4">
        <f>IF($B$6=TRUE,1400,2800)</f>
        <v>1400</v>
      </c>
      <c r="C175" s="123">
        <f>MATCH(D174,A165:A176,1)</f>
        <v>1</v>
      </c>
      <c r="E175" s="123"/>
      <c r="F175" s="25"/>
      <c r="G175" s="123"/>
      <c r="H175" s="123"/>
      <c r="I175" s="125"/>
      <c r="J175" s="248"/>
      <c r="K175" s="125"/>
      <c r="L175" s="149"/>
    </row>
    <row r="176" spans="1:12" ht="15.75" thickBot="1">
      <c r="A176" s="138">
        <v>11</v>
      </c>
      <c r="B176" s="4">
        <f>IF($B$6=TRUE,1300,1600)</f>
        <v>1300</v>
      </c>
      <c r="C176" s="123">
        <f>INDEX(B165:B176,C175)</f>
        <v>0</v>
      </c>
      <c r="E176" s="123"/>
      <c r="F176" s="25"/>
      <c r="G176" s="123"/>
      <c r="H176" s="123"/>
      <c r="I176" s="125"/>
      <c r="J176" s="248"/>
      <c r="K176" s="125"/>
      <c r="L176" s="149"/>
    </row>
    <row r="177" spans="1:12" ht="15.75" thickBot="1">
      <c r="A177" s="144" t="s">
        <v>173</v>
      </c>
      <c r="B177" s="143">
        <f>IF(OR(D174&lt;10,D174=10),D174*C176,(B175*10)+(D174-10)*B176)</f>
        <v>0</v>
      </c>
      <c r="C177" s="123"/>
      <c r="D177" s="123"/>
      <c r="E177" s="123"/>
      <c r="F177" s="123"/>
      <c r="G177" s="123"/>
      <c r="H177" s="123"/>
      <c r="I177" s="125"/>
      <c r="J177" s="248"/>
      <c r="K177" s="125"/>
      <c r="L177" s="149"/>
    </row>
    <row r="178" spans="1:12" ht="15.75" thickBot="1">
      <c r="A178" s="147"/>
      <c r="B178" s="147"/>
      <c r="C178" s="123"/>
      <c r="D178" s="123"/>
      <c r="E178" s="123"/>
      <c r="F178" s="123"/>
      <c r="G178" s="123"/>
      <c r="H178" s="123"/>
      <c r="I178" s="125"/>
      <c r="J178" s="248"/>
      <c r="K178" s="125"/>
      <c r="L178" s="149"/>
    </row>
    <row r="179" spans="1:12" ht="15.75" thickBot="1">
      <c r="A179" s="110" t="s">
        <v>203</v>
      </c>
      <c r="B179" s="7"/>
      <c r="C179" s="123"/>
      <c r="D179" s="123"/>
      <c r="E179" s="123"/>
      <c r="F179" s="123"/>
      <c r="G179" s="123"/>
      <c r="H179" s="123"/>
      <c r="I179" s="125"/>
      <c r="J179" s="248"/>
      <c r="K179" s="125"/>
      <c r="L179" s="149"/>
    </row>
    <row r="180" spans="1:12">
      <c r="A180" s="1">
        <v>0</v>
      </c>
      <c r="B180" s="4">
        <v>300</v>
      </c>
      <c r="C180" s="123"/>
      <c r="D180" s="123"/>
      <c r="E180" s="123"/>
      <c r="F180" s="123"/>
      <c r="G180" s="123"/>
      <c r="H180" s="123"/>
      <c r="I180" s="125"/>
      <c r="J180" s="248"/>
      <c r="K180" s="125"/>
      <c r="L180" s="149"/>
    </row>
    <row r="181" spans="1:12">
      <c r="A181" s="3">
        <v>30</v>
      </c>
      <c r="B181" s="4">
        <v>270</v>
      </c>
      <c r="C181" s="123"/>
      <c r="D181" s="123"/>
      <c r="E181" s="123"/>
      <c r="F181" s="123"/>
      <c r="G181" s="123"/>
      <c r="H181" s="123"/>
      <c r="I181" s="125"/>
      <c r="J181" s="248"/>
      <c r="K181" s="125"/>
      <c r="L181" s="149"/>
    </row>
    <row r="182" spans="1:12">
      <c r="A182" s="3">
        <v>60</v>
      </c>
      <c r="B182" s="4">
        <v>240</v>
      </c>
      <c r="C182" s="123"/>
      <c r="D182" s="123"/>
      <c r="E182" s="123"/>
      <c r="F182" s="123"/>
      <c r="G182" s="123"/>
      <c r="H182" s="123"/>
      <c r="I182" s="125"/>
      <c r="J182" s="248"/>
      <c r="K182" s="125"/>
      <c r="L182" s="149"/>
    </row>
    <row r="183" spans="1:12">
      <c r="A183" s="3">
        <v>90</v>
      </c>
      <c r="B183" s="4">
        <v>220</v>
      </c>
      <c r="C183" s="123"/>
      <c r="D183" s="123"/>
      <c r="E183" s="123"/>
      <c r="F183" s="123"/>
      <c r="G183" s="123"/>
      <c r="H183" s="123"/>
      <c r="I183" s="125"/>
      <c r="J183" s="248"/>
      <c r="K183" s="125"/>
      <c r="L183" s="149"/>
    </row>
    <row r="184" spans="1:12">
      <c r="A184" s="3">
        <v>120</v>
      </c>
      <c r="B184" s="4">
        <v>200</v>
      </c>
      <c r="C184" s="123"/>
      <c r="D184" s="123"/>
      <c r="E184" s="123"/>
      <c r="F184" s="123"/>
      <c r="G184" s="123"/>
      <c r="H184" s="123"/>
      <c r="I184" s="125"/>
      <c r="J184" s="248"/>
      <c r="K184" s="125"/>
      <c r="L184" s="149"/>
    </row>
    <row r="185" spans="1:12">
      <c r="A185" s="3">
        <v>150</v>
      </c>
      <c r="B185" s="4">
        <v>180</v>
      </c>
      <c r="C185" s="123"/>
      <c r="D185" s="123"/>
      <c r="E185" s="123"/>
      <c r="F185" s="123"/>
      <c r="G185" s="123"/>
      <c r="H185" s="123"/>
      <c r="I185" s="125"/>
      <c r="J185" s="248"/>
      <c r="K185" s="125"/>
      <c r="L185" s="149"/>
    </row>
    <row r="186" spans="1:12">
      <c r="A186" s="3">
        <v>180</v>
      </c>
      <c r="B186" s="4">
        <v>170</v>
      </c>
      <c r="C186" s="123"/>
      <c r="D186" s="123"/>
      <c r="E186" s="123"/>
      <c r="F186" s="123"/>
      <c r="G186" s="123"/>
      <c r="H186" s="123"/>
      <c r="I186" s="125"/>
      <c r="J186" s="248"/>
      <c r="K186" s="125"/>
      <c r="L186" s="149"/>
    </row>
    <row r="187" spans="1:12">
      <c r="A187" s="3">
        <v>210</v>
      </c>
      <c r="B187" s="4">
        <v>160</v>
      </c>
      <c r="C187" s="123"/>
      <c r="D187" s="123"/>
      <c r="E187" s="123"/>
      <c r="F187" s="123"/>
      <c r="G187" s="123"/>
      <c r="H187" s="123"/>
      <c r="I187" s="125"/>
      <c r="J187" s="248"/>
      <c r="K187" s="125"/>
      <c r="L187" s="149"/>
    </row>
    <row r="188" spans="1:12">
      <c r="A188" s="3">
        <v>240</v>
      </c>
      <c r="B188" s="4">
        <v>150</v>
      </c>
      <c r="C188" s="123"/>
      <c r="D188" s="123"/>
      <c r="E188" s="123"/>
      <c r="F188" s="123"/>
      <c r="G188" s="123"/>
      <c r="H188" s="123"/>
      <c r="I188" s="125"/>
      <c r="J188" s="248"/>
      <c r="K188" s="125"/>
      <c r="L188" s="149"/>
    </row>
    <row r="189" spans="1:12">
      <c r="A189" s="3">
        <v>270</v>
      </c>
      <c r="B189" s="4">
        <v>140</v>
      </c>
      <c r="C189" s="145" t="s">
        <v>1</v>
      </c>
      <c r="D189" s="8">
        <f>TWO!B124</f>
        <v>20</v>
      </c>
      <c r="E189" s="123"/>
      <c r="F189" s="123"/>
      <c r="G189" s="123"/>
      <c r="H189" s="123"/>
      <c r="I189" s="125"/>
      <c r="J189" s="248"/>
      <c r="K189" s="125"/>
      <c r="L189" s="149"/>
    </row>
    <row r="190" spans="1:12">
      <c r="A190" s="3">
        <v>300</v>
      </c>
      <c r="B190" s="4">
        <v>130</v>
      </c>
      <c r="C190" s="123">
        <f>MATCH(D189,A180:A191,1)</f>
        <v>1</v>
      </c>
      <c r="E190" s="123"/>
      <c r="F190" s="123"/>
      <c r="G190" s="123"/>
      <c r="H190" s="123"/>
      <c r="I190" s="125"/>
      <c r="J190" s="248"/>
      <c r="K190" s="125"/>
      <c r="L190" s="149"/>
    </row>
    <row r="191" spans="1:12" ht="15.75" thickBot="1">
      <c r="A191" s="138">
        <v>330</v>
      </c>
      <c r="B191" s="4">
        <v>100</v>
      </c>
      <c r="C191" s="123">
        <f>INDEX(B180:B191,C190)</f>
        <v>300</v>
      </c>
      <c r="E191" s="123"/>
      <c r="F191" s="123"/>
      <c r="G191" s="123"/>
      <c r="H191" s="123"/>
      <c r="I191" s="125"/>
      <c r="J191" s="125"/>
      <c r="K191" s="125"/>
      <c r="L191" s="149"/>
    </row>
    <row r="192" spans="1:12" ht="15.75" thickBot="1">
      <c r="A192" s="144" t="s">
        <v>173</v>
      </c>
      <c r="B192" s="143">
        <f>IF(OR(D189&lt;329,D189=329),D189*C191,(B190*329)+(D189-329)*B191)</f>
        <v>6000</v>
      </c>
      <c r="C192" s="123"/>
      <c r="D192" s="123"/>
      <c r="E192" s="123"/>
      <c r="F192" s="123"/>
      <c r="G192" s="123"/>
      <c r="H192" s="123"/>
      <c r="I192" s="125"/>
      <c r="J192" s="125"/>
      <c r="K192" s="125"/>
      <c r="L192" s="149"/>
    </row>
    <row r="193" spans="1:16" ht="15.75" thickBot="1">
      <c r="A193" s="147"/>
      <c r="B193" s="147"/>
      <c r="C193" s="123"/>
      <c r="D193" s="123"/>
      <c r="E193" s="123"/>
      <c r="F193" s="123"/>
      <c r="G193" s="123"/>
      <c r="H193" s="123"/>
      <c r="I193" s="125"/>
      <c r="J193" s="125"/>
      <c r="K193" s="125"/>
      <c r="L193" s="149"/>
    </row>
    <row r="194" spans="1:16" ht="15.75" thickBot="1">
      <c r="A194" s="144" t="s">
        <v>205</v>
      </c>
      <c r="B194" s="7"/>
      <c r="C194" s="24"/>
      <c r="D194" s="24" t="s">
        <v>2</v>
      </c>
      <c r="E194" s="24"/>
      <c r="F194" s="24"/>
      <c r="G194" s="24"/>
      <c r="H194" s="24"/>
      <c r="I194" s="2"/>
      <c r="O194" s="10"/>
    </row>
    <row r="195" spans="1:16">
      <c r="A195" s="147" t="s">
        <v>206</v>
      </c>
      <c r="B195" s="25"/>
      <c r="C195" s="25"/>
      <c r="D195" s="26">
        <f>ROUNDUP(E197,-3)</f>
        <v>48000</v>
      </c>
      <c r="E195" s="25"/>
      <c r="F195" s="25"/>
      <c r="G195" s="25"/>
      <c r="H195" s="25"/>
      <c r="I195" s="4"/>
      <c r="O195" s="10"/>
    </row>
    <row r="196" spans="1:16" ht="23.25">
      <c r="A196" s="27" t="s">
        <v>23</v>
      </c>
      <c r="B196" s="27" t="s">
        <v>24</v>
      </c>
      <c r="C196" s="27" t="s">
        <v>25</v>
      </c>
      <c r="D196" s="27" t="s">
        <v>26</v>
      </c>
      <c r="E196" s="27" t="s">
        <v>27</v>
      </c>
      <c r="F196" s="28" t="s">
        <v>207</v>
      </c>
      <c r="G196" s="29" t="s">
        <v>208</v>
      </c>
      <c r="H196" s="30" t="s">
        <v>31</v>
      </c>
      <c r="I196" s="4"/>
      <c r="O196" s="10"/>
    </row>
    <row r="197" spans="1:16">
      <c r="A197" s="31"/>
      <c r="B197" s="31">
        <f>MATCH(TWO_Current_ATM,TWO_ATM_Volume,1)</f>
        <v>1</v>
      </c>
      <c r="C197" s="31">
        <f>MATCH(TWO_New_ATM+TWO_Current_ATM,TWO_ATM_Volume,1)</f>
        <v>5</v>
      </c>
      <c r="D197" s="31">
        <f>INDEX(TWO_Total_Price_ATM,B197)+INDEX(TWO_Price_per_ATM,B197)*(CEILING((TWO_Current_ATM-INDEX(TWO_ATM_Volume,B197))/1,1))</f>
        <v>0</v>
      </c>
      <c r="E197" s="31">
        <f>INDEX(TWO_Total_Price_ATM,C197)+INDEX(TWO_Price_per_ATM,C197)*(CEILING((TWO_New_ATM+TWO_Current_ATM-INDEX(TWO_ATM_Volume,C197))/1,1))</f>
        <v>47400</v>
      </c>
      <c r="F197" s="12">
        <v>0</v>
      </c>
      <c r="G197" s="201">
        <v>0</v>
      </c>
      <c r="H197" s="14">
        <v>0</v>
      </c>
      <c r="I197" s="4"/>
      <c r="N197" t="s">
        <v>209</v>
      </c>
      <c r="O197" s="10"/>
    </row>
    <row r="198" spans="1:16">
      <c r="A198" s="31"/>
      <c r="B198" s="31"/>
      <c r="C198" s="31"/>
      <c r="D198" s="31"/>
      <c r="E198" s="31"/>
      <c r="F198" s="17">
        <v>50</v>
      </c>
      <c r="G198" s="202">
        <v>300</v>
      </c>
      <c r="H198" s="18">
        <f t="shared" ref="H198:H207" si="32">(F198-F197)/1*G198+H197</f>
        <v>15000</v>
      </c>
      <c r="I198" s="4"/>
      <c r="N198" s="11">
        <v>50</v>
      </c>
      <c r="O198" s="150">
        <v>300</v>
      </c>
    </row>
    <row r="199" spans="1:16">
      <c r="A199" s="31"/>
      <c r="B199" s="31"/>
      <c r="C199" s="32" t="s">
        <v>33</v>
      </c>
      <c r="D199" s="31">
        <f>INDEX(TWO_Total_Price_ATM,B197)</f>
        <v>0</v>
      </c>
      <c r="E199" s="31">
        <f>INDEX(TWCMS_Total_Price_clients,C197)</f>
        <v>27200</v>
      </c>
      <c r="F199" s="17">
        <v>100</v>
      </c>
      <c r="G199" s="202">
        <v>140</v>
      </c>
      <c r="H199" s="18">
        <f t="shared" si="32"/>
        <v>22000</v>
      </c>
      <c r="I199" s="4"/>
      <c r="N199" s="11">
        <v>80</v>
      </c>
      <c r="O199" s="150">
        <v>233.33333333333334</v>
      </c>
      <c r="P199">
        <f>N199*O199</f>
        <v>18666.666666666668</v>
      </c>
    </row>
    <row r="200" spans="1:16">
      <c r="A200" s="31"/>
      <c r="B200" s="31"/>
      <c r="C200" s="32" t="s">
        <v>32</v>
      </c>
      <c r="D200" s="31">
        <f>INDEX(TWO_Price_per_ATM,B197)</f>
        <v>300</v>
      </c>
      <c r="E200" s="31">
        <f>INDEX(TWO_Price_per_ATM,C197)</f>
        <v>42</v>
      </c>
      <c r="F200" s="17">
        <v>150</v>
      </c>
      <c r="G200" s="203">
        <v>130</v>
      </c>
      <c r="H200" s="18">
        <f t="shared" si="32"/>
        <v>28500</v>
      </c>
      <c r="I200" s="4"/>
      <c r="N200" s="11">
        <v>100</v>
      </c>
      <c r="O200" s="150">
        <v>220</v>
      </c>
      <c r="P200">
        <f t="shared" ref="P200:P210" si="33">N200*O200</f>
        <v>22000</v>
      </c>
    </row>
    <row r="201" spans="1:16">
      <c r="A201" s="31"/>
      <c r="B201" s="31"/>
      <c r="C201" s="31"/>
      <c r="D201" s="32" t="s">
        <v>34</v>
      </c>
      <c r="E201" s="31">
        <f>CEILING(TWO_New_ATM+TWO_Current_ATM-INDEX(TWO_ATM_Volume,C197)/1,1)</f>
        <v>200</v>
      </c>
      <c r="F201" s="17">
        <v>300</v>
      </c>
      <c r="G201" s="203">
        <v>70</v>
      </c>
      <c r="H201" s="18">
        <f t="shared" si="32"/>
        <v>39000</v>
      </c>
      <c r="I201" s="4"/>
      <c r="N201" s="11">
        <v>160</v>
      </c>
      <c r="O201" s="150">
        <v>181.81818181818181</v>
      </c>
      <c r="P201">
        <f t="shared" si="33"/>
        <v>29090.909090909088</v>
      </c>
    </row>
    <row r="202" spans="1:16">
      <c r="A202" s="31"/>
      <c r="B202" s="31"/>
      <c r="C202" s="31"/>
      <c r="D202" s="31"/>
      <c r="E202" s="31"/>
      <c r="F202" s="17">
        <v>600</v>
      </c>
      <c r="G202" s="203">
        <v>42</v>
      </c>
      <c r="H202" s="18">
        <f t="shared" si="32"/>
        <v>51600</v>
      </c>
      <c r="I202" s="4"/>
      <c r="N202" s="11">
        <v>280</v>
      </c>
      <c r="O202" s="150">
        <v>130.43478260869566</v>
      </c>
      <c r="P202">
        <f t="shared" si="33"/>
        <v>36521.739130434784</v>
      </c>
    </row>
    <row r="203" spans="1:16">
      <c r="A203" s="31"/>
      <c r="B203" s="31"/>
      <c r="C203" s="31"/>
      <c r="D203" s="31"/>
      <c r="E203" s="31"/>
      <c r="F203" s="17">
        <v>1000</v>
      </c>
      <c r="G203" s="203">
        <v>31</v>
      </c>
      <c r="H203" s="18">
        <f t="shared" si="32"/>
        <v>64000</v>
      </c>
      <c r="I203" s="4"/>
      <c r="N203">
        <v>390</v>
      </c>
      <c r="O203" s="25">
        <v>100</v>
      </c>
      <c r="P203">
        <f t="shared" si="33"/>
        <v>39000</v>
      </c>
    </row>
    <row r="204" spans="1:16">
      <c r="A204" s="31"/>
      <c r="B204" s="31"/>
      <c r="C204" s="31"/>
      <c r="D204" s="31"/>
      <c r="E204" s="31">
        <f>INDEX(TWO_ATM_Volume,C197)</f>
        <v>300</v>
      </c>
      <c r="F204" s="17">
        <v>2000</v>
      </c>
      <c r="G204" s="203">
        <v>20</v>
      </c>
      <c r="H204" s="18">
        <f t="shared" si="32"/>
        <v>84000</v>
      </c>
      <c r="I204" s="4"/>
      <c r="N204" s="11">
        <v>630</v>
      </c>
      <c r="O204" s="150">
        <v>68.965517241379317</v>
      </c>
      <c r="P204">
        <f t="shared" si="33"/>
        <v>43448.275862068971</v>
      </c>
    </row>
    <row r="205" spans="1:16">
      <c r="A205" s="31"/>
      <c r="B205" s="31"/>
      <c r="C205" s="31"/>
      <c r="D205" s="31"/>
      <c r="E205" s="31"/>
      <c r="F205" s="17">
        <v>4000</v>
      </c>
      <c r="G205" s="203">
        <v>15</v>
      </c>
      <c r="H205" s="18">
        <f t="shared" si="32"/>
        <v>114000</v>
      </c>
      <c r="I205" s="4"/>
      <c r="N205" s="11">
        <v>1090</v>
      </c>
      <c r="O205" s="150">
        <v>51.92307692307692</v>
      </c>
      <c r="P205">
        <f t="shared" si="33"/>
        <v>56596.153846153844</v>
      </c>
    </row>
    <row r="206" spans="1:16">
      <c r="A206" s="31"/>
      <c r="B206" s="31"/>
      <c r="C206" s="31"/>
      <c r="D206" s="31"/>
      <c r="E206" s="31"/>
      <c r="F206" s="17">
        <v>10000</v>
      </c>
      <c r="G206" s="203">
        <v>7.5</v>
      </c>
      <c r="H206" s="18">
        <f t="shared" si="32"/>
        <v>159000</v>
      </c>
      <c r="I206" s="4"/>
      <c r="N206" s="11">
        <v>2030</v>
      </c>
      <c r="O206" s="150">
        <v>39.393939393939391</v>
      </c>
      <c r="P206">
        <f t="shared" si="33"/>
        <v>79969.696969696961</v>
      </c>
    </row>
    <row r="207" spans="1:16">
      <c r="A207" s="33"/>
      <c r="B207" s="33"/>
      <c r="C207" s="33"/>
      <c r="D207" s="34"/>
      <c r="E207" s="33"/>
      <c r="F207" s="17">
        <v>15000</v>
      </c>
      <c r="G207" s="203">
        <v>3.5</v>
      </c>
      <c r="H207" s="18">
        <f t="shared" si="32"/>
        <v>176500</v>
      </c>
      <c r="I207" s="4"/>
      <c r="N207" s="11">
        <v>3890</v>
      </c>
      <c r="O207" s="150">
        <v>26.041666666666668</v>
      </c>
      <c r="P207">
        <f t="shared" si="33"/>
        <v>101302.08333333334</v>
      </c>
    </row>
    <row r="208" spans="1:16">
      <c r="A208" s="31"/>
      <c r="B208" s="31"/>
      <c r="C208" s="31"/>
      <c r="D208" s="31"/>
      <c r="E208" s="31"/>
      <c r="F208" s="23" t="s">
        <v>28</v>
      </c>
      <c r="G208" s="203">
        <v>2.5</v>
      </c>
      <c r="H208" s="20"/>
      <c r="I208" s="4"/>
      <c r="N208" s="11">
        <v>7630</v>
      </c>
      <c r="O208" s="150">
        <v>17.678100263852244</v>
      </c>
      <c r="P208">
        <f t="shared" si="33"/>
        <v>134883.90501319262</v>
      </c>
    </row>
    <row r="209" spans="1:16">
      <c r="A209" s="31"/>
      <c r="B209" s="31"/>
      <c r="C209" s="31"/>
      <c r="D209" s="31"/>
      <c r="E209" s="31"/>
      <c r="F209" s="15" t="s">
        <v>29</v>
      </c>
      <c r="G209" s="21"/>
      <c r="H209" s="22"/>
      <c r="I209" s="4"/>
      <c r="N209">
        <v>15090</v>
      </c>
      <c r="O209" s="25">
        <v>10.638297872340425</v>
      </c>
      <c r="P209">
        <f t="shared" si="33"/>
        <v>160531.91489361701</v>
      </c>
    </row>
    <row r="210" spans="1:16" ht="15.75" thickBot="1">
      <c r="A210" s="35"/>
      <c r="B210" s="35"/>
      <c r="C210" s="35"/>
      <c r="D210" s="35"/>
      <c r="E210" s="35"/>
      <c r="F210" s="35"/>
      <c r="G210" s="35"/>
      <c r="H210" s="35"/>
      <c r="I210" s="6"/>
      <c r="N210">
        <v>30030</v>
      </c>
      <c r="O210" s="25">
        <v>6.6711140760507002</v>
      </c>
      <c r="P210">
        <f t="shared" si="33"/>
        <v>200333.55570380253</v>
      </c>
    </row>
    <row r="211" spans="1:16" ht="15.75" thickBot="1"/>
    <row r="212" spans="1:16" ht="15.75" thickBot="1">
      <c r="A212" s="144" t="s">
        <v>210</v>
      </c>
      <c r="B212" s="139"/>
      <c r="C212" s="1"/>
      <c r="D212" s="24" t="s">
        <v>2</v>
      </c>
      <c r="E212" s="24"/>
      <c r="F212" s="24"/>
      <c r="G212" s="24"/>
      <c r="H212" s="24"/>
      <c r="I212" s="2"/>
      <c r="N212" t="s">
        <v>209</v>
      </c>
      <c r="O212" s="10"/>
    </row>
    <row r="213" spans="1:16">
      <c r="A213" s="25" t="s">
        <v>211</v>
      </c>
      <c r="B213" s="25"/>
      <c r="C213" s="25"/>
      <c r="D213" s="26">
        <f>ROUNDUP(E215,-3)</f>
        <v>26000</v>
      </c>
      <c r="E213" s="25"/>
      <c r="F213" s="25"/>
      <c r="G213" s="25"/>
      <c r="H213" s="25"/>
      <c r="I213" s="4"/>
      <c r="N213" s="11">
        <v>100</v>
      </c>
      <c r="O213" s="150">
        <v>65</v>
      </c>
      <c r="P213">
        <f>N213*O213</f>
        <v>6500</v>
      </c>
    </row>
    <row r="214" spans="1:16" ht="23.25">
      <c r="A214" s="27" t="s">
        <v>23</v>
      </c>
      <c r="B214" s="27" t="s">
        <v>24</v>
      </c>
      <c r="C214" s="27" t="s">
        <v>25</v>
      </c>
      <c r="D214" s="27" t="s">
        <v>26</v>
      </c>
      <c r="E214" s="27" t="s">
        <v>27</v>
      </c>
      <c r="F214" s="28" t="s">
        <v>212</v>
      </c>
      <c r="G214" s="29" t="s">
        <v>178</v>
      </c>
      <c r="H214" s="30" t="s">
        <v>31</v>
      </c>
      <c r="I214" s="4"/>
      <c r="N214" s="11">
        <v>300</v>
      </c>
      <c r="O214" s="150">
        <v>26.25</v>
      </c>
      <c r="P214">
        <f>N214*O214</f>
        <v>7875</v>
      </c>
    </row>
    <row r="215" spans="1:16">
      <c r="A215" s="31"/>
      <c r="B215" s="31">
        <f>MATCH(TWO_Current_Number_of_POS,TWO_POS_volume,1)</f>
        <v>1</v>
      </c>
      <c r="C215" s="31">
        <f>MATCH(TWO_Additional_POS+TWO_Current_Number_of_POS,TWO_POS_volume,1)</f>
        <v>5</v>
      </c>
      <c r="D215" s="31">
        <f>INDEX(TWO_POS_Total_Price,B215)+INDEX(TWO_price_per_POS,B215)*(CEILING((TWO_Current_Number_of_POS-INDEX(TWO_POS_volume,B215))/1,1))</f>
        <v>0</v>
      </c>
      <c r="E215" s="31">
        <f>INDEX(TWO_POS_Total_Price,C215)+INDEX(TWO_price_per_POS,C215)*(CEILING((TWO_Additional_POS+TWO_Current_Number_of_POS-INDEX(TWO_POS_volume,C215))/1,1))</f>
        <v>25200</v>
      </c>
      <c r="F215" s="12">
        <v>0</v>
      </c>
      <c r="G215" s="16">
        <v>0</v>
      </c>
      <c r="H215" s="14">
        <v>0</v>
      </c>
      <c r="I215" s="4"/>
      <c r="N215" s="11">
        <v>500</v>
      </c>
      <c r="O215" s="150">
        <v>20.625</v>
      </c>
      <c r="P215">
        <f t="shared" ref="P215:P225" si="34">N215*O215</f>
        <v>10312.5</v>
      </c>
    </row>
    <row r="216" spans="1:16">
      <c r="A216" s="31"/>
      <c r="B216" s="31"/>
      <c r="C216" s="31"/>
      <c r="D216" s="31"/>
      <c r="E216" s="31"/>
      <c r="F216" s="17">
        <v>100</v>
      </c>
      <c r="G216" s="205">
        <v>65</v>
      </c>
      <c r="H216" s="18">
        <f t="shared" ref="H216:H226" si="35">(F216-F215)/1*G216+H215</f>
        <v>6500</v>
      </c>
      <c r="I216" s="4"/>
      <c r="J216" s="11"/>
      <c r="K216" s="116"/>
      <c r="L216" s="151"/>
      <c r="N216" s="11">
        <v>1000</v>
      </c>
      <c r="O216" s="150">
        <v>16.666666666666668</v>
      </c>
      <c r="P216">
        <f t="shared" si="34"/>
        <v>16666.666666666668</v>
      </c>
    </row>
    <row r="217" spans="1:16">
      <c r="A217" s="31"/>
      <c r="B217" s="31"/>
      <c r="C217" s="32" t="s">
        <v>33</v>
      </c>
      <c r="D217" s="31">
        <f>INDEX(TWO_POS_Total_Price,B215)</f>
        <v>0</v>
      </c>
      <c r="E217" s="31">
        <f>INDEX(TWO_POS_Total_Price,C215)</f>
        <v>19200</v>
      </c>
      <c r="F217" s="17">
        <v>300</v>
      </c>
      <c r="G217" s="205">
        <v>22</v>
      </c>
      <c r="H217" s="18">
        <f t="shared" si="35"/>
        <v>10900</v>
      </c>
      <c r="I217" s="4"/>
      <c r="J217" s="11"/>
      <c r="K217" s="116"/>
      <c r="L217" s="151"/>
      <c r="N217" s="11">
        <v>2000</v>
      </c>
      <c r="O217" s="150">
        <v>11.842105263157896</v>
      </c>
      <c r="P217">
        <f t="shared" si="34"/>
        <v>23684.21052631579</v>
      </c>
    </row>
    <row r="218" spans="1:16">
      <c r="A218" s="31"/>
      <c r="B218" s="31"/>
      <c r="C218" s="32" t="s">
        <v>32</v>
      </c>
      <c r="D218" s="31">
        <f>INDEX(TWO_price_per_POS,B215)</f>
        <v>65</v>
      </c>
      <c r="E218" s="31">
        <f>INDEX(TWO_price_per_POS,C215)</f>
        <v>6</v>
      </c>
      <c r="F218" s="17">
        <v>500</v>
      </c>
      <c r="G218" s="206">
        <v>14</v>
      </c>
      <c r="H218" s="18">
        <f t="shared" si="35"/>
        <v>13700</v>
      </c>
      <c r="I218" s="4"/>
      <c r="J218" s="11"/>
      <c r="K218" s="116"/>
      <c r="L218" s="151"/>
      <c r="N218">
        <v>3000</v>
      </c>
      <c r="O218" s="25">
        <v>8.7931034482758612</v>
      </c>
      <c r="P218">
        <f t="shared" si="34"/>
        <v>26379.310344827583</v>
      </c>
    </row>
    <row r="219" spans="1:16">
      <c r="A219" s="31"/>
      <c r="B219" s="31"/>
      <c r="C219" s="31"/>
      <c r="D219" s="32" t="s">
        <v>34</v>
      </c>
      <c r="E219" s="31">
        <f>CEILING(TWO_Additional_POS+TWO_Current_Number_of_POS-INDEX(TWO_POS_volume,C215)/1,1)</f>
        <v>1000</v>
      </c>
      <c r="F219" s="17">
        <v>1000</v>
      </c>
      <c r="G219" s="206">
        <v>11</v>
      </c>
      <c r="H219" s="18">
        <f t="shared" si="35"/>
        <v>19200</v>
      </c>
      <c r="I219" s="4"/>
      <c r="J219" s="11"/>
      <c r="K219" s="116"/>
      <c r="L219" s="151"/>
      <c r="N219" s="11">
        <v>5000</v>
      </c>
      <c r="O219" s="150">
        <v>6.1224489795918364</v>
      </c>
      <c r="P219">
        <f t="shared" si="34"/>
        <v>30612.244897959183</v>
      </c>
    </row>
    <row r="220" spans="1:16">
      <c r="A220" s="31"/>
      <c r="B220" s="31"/>
      <c r="C220" s="31"/>
      <c r="D220" s="31"/>
      <c r="E220" s="31"/>
      <c r="F220" s="17">
        <v>3000</v>
      </c>
      <c r="G220" s="206">
        <v>6</v>
      </c>
      <c r="H220" s="18">
        <f t="shared" si="35"/>
        <v>31200</v>
      </c>
      <c r="I220" s="4"/>
      <c r="J220" s="11"/>
      <c r="K220" s="116"/>
      <c r="L220" s="151"/>
      <c r="N220" s="11">
        <v>9000</v>
      </c>
      <c r="O220" s="150">
        <v>4.5505617977528088</v>
      </c>
      <c r="P220">
        <f t="shared" si="34"/>
        <v>40955.056179775282</v>
      </c>
    </row>
    <row r="221" spans="1:16">
      <c r="A221" s="31"/>
      <c r="B221" s="31"/>
      <c r="C221" s="31"/>
      <c r="D221" s="31"/>
      <c r="E221" s="31"/>
      <c r="F221" s="17">
        <v>5000</v>
      </c>
      <c r="G221" s="206">
        <v>4</v>
      </c>
      <c r="H221" s="18">
        <f t="shared" si="35"/>
        <v>39200</v>
      </c>
      <c r="I221" s="4"/>
      <c r="J221" s="11"/>
      <c r="K221" s="116"/>
      <c r="L221" s="151"/>
      <c r="N221" s="11">
        <v>17000</v>
      </c>
      <c r="O221" s="150">
        <v>3.4615384615384617</v>
      </c>
      <c r="P221">
        <f t="shared" si="34"/>
        <v>58846.153846153851</v>
      </c>
    </row>
    <row r="222" spans="1:16">
      <c r="A222" s="31"/>
      <c r="B222" s="31"/>
      <c r="C222" s="31"/>
      <c r="D222" s="31"/>
      <c r="E222" s="31">
        <f>INDEX(TWO_POS_volume,C215)</f>
        <v>1000</v>
      </c>
      <c r="F222" s="17">
        <v>10000</v>
      </c>
      <c r="G222" s="206">
        <v>2</v>
      </c>
      <c r="H222" s="18">
        <f t="shared" si="35"/>
        <v>49200</v>
      </c>
      <c r="I222" s="4"/>
      <c r="J222" s="11"/>
      <c r="K222" s="116"/>
      <c r="L222" s="151"/>
      <c r="N222" s="11">
        <v>33000</v>
      </c>
      <c r="O222" s="150">
        <v>2.2796352583586628</v>
      </c>
      <c r="P222">
        <f t="shared" si="34"/>
        <v>75227.963525835876</v>
      </c>
    </row>
    <row r="223" spans="1:16">
      <c r="A223" s="31"/>
      <c r="B223" s="31"/>
      <c r="C223" s="31"/>
      <c r="D223" s="31"/>
      <c r="E223" s="31"/>
      <c r="F223" s="17">
        <v>20000</v>
      </c>
      <c r="G223" s="206">
        <v>1.2</v>
      </c>
      <c r="H223" s="18">
        <f t="shared" si="35"/>
        <v>61200</v>
      </c>
      <c r="I223" s="4"/>
      <c r="J223" s="11"/>
      <c r="K223" s="116"/>
      <c r="L223" s="151"/>
      <c r="N223" s="11">
        <v>65000</v>
      </c>
      <c r="O223" s="150">
        <v>1.5485362095531587</v>
      </c>
      <c r="P223">
        <f t="shared" si="34"/>
        <v>100654.85362095531</v>
      </c>
    </row>
    <row r="224" spans="1:16">
      <c r="A224" s="31"/>
      <c r="B224" s="31"/>
      <c r="C224" s="31"/>
      <c r="D224" s="31"/>
      <c r="E224" s="31"/>
      <c r="F224" s="17">
        <v>50000</v>
      </c>
      <c r="G224" s="206">
        <v>0.6</v>
      </c>
      <c r="H224" s="18">
        <f t="shared" si="35"/>
        <v>79200</v>
      </c>
      <c r="I224" s="4"/>
      <c r="J224" s="11"/>
      <c r="K224" s="116"/>
      <c r="L224" s="151"/>
      <c r="N224">
        <v>129000</v>
      </c>
      <c r="O224" s="25">
        <v>0.93095422808378592</v>
      </c>
      <c r="P224">
        <f t="shared" si="34"/>
        <v>120093.09542280839</v>
      </c>
    </row>
    <row r="225" spans="1:16">
      <c r="A225" s="33"/>
      <c r="B225" s="33"/>
      <c r="C225" s="33"/>
      <c r="D225" s="34"/>
      <c r="E225" s="33"/>
      <c r="F225" s="17">
        <v>100000</v>
      </c>
      <c r="G225" s="206">
        <v>0.45</v>
      </c>
      <c r="H225" s="18">
        <f t="shared" si="35"/>
        <v>101700</v>
      </c>
      <c r="I225" s="4"/>
      <c r="J225" s="11"/>
      <c r="K225" s="116"/>
      <c r="L225" s="151"/>
      <c r="N225">
        <v>257000</v>
      </c>
      <c r="O225" s="25">
        <v>0.58388478007006617</v>
      </c>
      <c r="P225">
        <f t="shared" si="34"/>
        <v>150058.38847800699</v>
      </c>
    </row>
    <row r="226" spans="1:16">
      <c r="A226" s="33"/>
      <c r="B226" s="33"/>
      <c r="C226" s="33"/>
      <c r="D226" s="34"/>
      <c r="E226" s="33"/>
      <c r="F226" s="17">
        <v>200000</v>
      </c>
      <c r="G226" s="206">
        <v>0.37</v>
      </c>
      <c r="H226" s="18">
        <f t="shared" si="35"/>
        <v>138700</v>
      </c>
      <c r="I226" s="4"/>
      <c r="J226" s="11"/>
      <c r="K226" s="116"/>
      <c r="L226" s="151"/>
      <c r="O226" s="25"/>
    </row>
    <row r="227" spans="1:16">
      <c r="A227" s="31"/>
      <c r="B227" s="31"/>
      <c r="C227" s="31"/>
      <c r="D227" s="31"/>
      <c r="E227" s="31"/>
      <c r="F227" s="23" t="s">
        <v>28</v>
      </c>
      <c r="G227" s="206">
        <v>0.2</v>
      </c>
      <c r="H227" s="18"/>
      <c r="I227" s="4"/>
    </row>
    <row r="228" spans="1:16">
      <c r="A228" s="31"/>
      <c r="B228" s="31"/>
      <c r="C228" s="31"/>
      <c r="D228" s="31"/>
      <c r="E228" s="31"/>
      <c r="F228" s="15" t="s">
        <v>29</v>
      </c>
      <c r="G228" s="21"/>
      <c r="H228" s="22"/>
      <c r="I228" s="4"/>
    </row>
    <row r="229" spans="1:16" ht="15.75" thickBot="1">
      <c r="A229" s="35"/>
      <c r="B229" s="35"/>
      <c r="C229" s="35"/>
      <c r="D229" s="35"/>
      <c r="E229" s="35"/>
      <c r="F229" s="35"/>
      <c r="G229" s="35"/>
      <c r="H229" s="35"/>
      <c r="I229" s="6"/>
    </row>
    <row r="230" spans="1:16" ht="15.75" thickBot="1">
      <c r="A230" s="25"/>
      <c r="B230" s="25"/>
      <c r="C230" s="25"/>
      <c r="D230" s="25"/>
      <c r="E230" s="25"/>
      <c r="F230" s="25"/>
      <c r="G230" s="25"/>
      <c r="H230" s="25"/>
      <c r="I230" s="25"/>
    </row>
    <row r="231" spans="1:16" ht="15.75" thickBot="1">
      <c r="A231" s="144" t="s">
        <v>216</v>
      </c>
      <c r="B231" s="139"/>
      <c r="C231" s="1"/>
      <c r="D231" s="24" t="s">
        <v>2</v>
      </c>
      <c r="E231" s="24"/>
      <c r="F231" s="24"/>
      <c r="G231" s="24"/>
      <c r="H231" s="24"/>
      <c r="I231" s="2"/>
      <c r="N231" t="s">
        <v>209</v>
      </c>
      <c r="O231" s="10"/>
    </row>
    <row r="232" spans="1:16">
      <c r="A232" s="25" t="s">
        <v>215</v>
      </c>
      <c r="B232" s="25"/>
      <c r="C232" s="25"/>
      <c r="D232" s="26">
        <f>ROUNDUP(E234,-3)</f>
        <v>79000</v>
      </c>
      <c r="E232" s="25"/>
      <c r="F232" s="25"/>
      <c r="G232" s="25"/>
      <c r="H232" s="25"/>
      <c r="I232" s="4"/>
      <c r="N232" s="11">
        <v>100000</v>
      </c>
      <c r="O232" s="211">
        <v>0.14000000000000001</v>
      </c>
      <c r="P232">
        <f>N232*O232</f>
        <v>14000.000000000002</v>
      </c>
    </row>
    <row r="233" spans="1:16" ht="23.25">
      <c r="A233" s="27" t="s">
        <v>23</v>
      </c>
      <c r="B233" s="27" t="s">
        <v>24</v>
      </c>
      <c r="C233" s="27" t="s">
        <v>25</v>
      </c>
      <c r="D233" s="27" t="s">
        <v>26</v>
      </c>
      <c r="E233" s="27" t="s">
        <v>27</v>
      </c>
      <c r="F233" s="28" t="s">
        <v>213</v>
      </c>
      <c r="G233" s="29" t="s">
        <v>214</v>
      </c>
      <c r="H233" s="30" t="s">
        <v>31</v>
      </c>
      <c r="I233" s="4"/>
      <c r="N233" s="11">
        <v>200000</v>
      </c>
      <c r="O233" s="211">
        <v>0.11375</v>
      </c>
      <c r="P233">
        <f>N233*O233</f>
        <v>22750</v>
      </c>
    </row>
    <row r="234" spans="1:16">
      <c r="A234" s="31"/>
      <c r="B234" s="31">
        <f>MATCH(TWO_Current_Number_of_transactions_per_month,TWO_trx_volume,1)</f>
        <v>1</v>
      </c>
      <c r="C234" s="31">
        <f>MATCH(TWO_Current_Number_of_transactions_per_month+TWO_Additional_transactions_per_month,TWO_trx_volume,1)</f>
        <v>5</v>
      </c>
      <c r="D234" s="31">
        <f>INDEX(TWO_trx_Total_Price,B234)+INDEX(TWO_price_per_trx,B234)*(CEILING((TWO_Current_Number_of_transactions_per_month-INDEX(TWO_trx_volume,B234))/1,1))</f>
        <v>0</v>
      </c>
      <c r="E234" s="31">
        <f>INDEX(TWO_trx_Total_Price,C234)+INDEX(TWO_price_per_trx,C234)*(CEILING((TWO_Additional_transactions_per_month+TWO_Current_Number_of_transactions_per_month-INDEX(TWO_trx_volume,C234))/1,1))</f>
        <v>78500</v>
      </c>
      <c r="F234" s="12">
        <v>0</v>
      </c>
      <c r="G234" s="16">
        <v>0</v>
      </c>
      <c r="H234" s="14">
        <v>0</v>
      </c>
      <c r="I234" s="4"/>
      <c r="N234" s="11">
        <v>400000</v>
      </c>
      <c r="O234" s="211">
        <v>8.9374999999999996E-2</v>
      </c>
      <c r="P234">
        <f t="shared" ref="P234:P244" si="36">N234*O234</f>
        <v>35750</v>
      </c>
    </row>
    <row r="235" spans="1:16">
      <c r="A235" s="31"/>
      <c r="B235" s="31"/>
      <c r="C235" s="31"/>
      <c r="D235" s="31"/>
      <c r="E235" s="31"/>
      <c r="F235" s="17">
        <v>100000</v>
      </c>
      <c r="G235" s="212">
        <v>0.14000000000000001</v>
      </c>
      <c r="H235" s="18">
        <f t="shared" ref="H235:H245" si="37">(F235-F234)/1*G235+H234</f>
        <v>14000.000000000002</v>
      </c>
      <c r="I235" s="4"/>
      <c r="N235" s="11">
        <v>900000</v>
      </c>
      <c r="O235" s="211">
        <v>7.2222222222222215E-2</v>
      </c>
      <c r="P235">
        <f t="shared" si="36"/>
        <v>64999.999999999993</v>
      </c>
    </row>
    <row r="236" spans="1:16">
      <c r="A236" s="31"/>
      <c r="B236" s="31"/>
      <c r="C236" s="32" t="s">
        <v>33</v>
      </c>
      <c r="D236" s="31">
        <f>INDEX(TWO_trx_Total_Price,B234)</f>
        <v>0</v>
      </c>
      <c r="E236" s="31">
        <f>INDEX(TWO_trx_Total_Price,C234)</f>
        <v>67000</v>
      </c>
      <c r="F236" s="17">
        <v>300000</v>
      </c>
      <c r="G236" s="212">
        <v>0.08</v>
      </c>
      <c r="H236" s="18">
        <f t="shared" si="37"/>
        <v>30000</v>
      </c>
      <c r="I236" s="4"/>
      <c r="N236" s="11">
        <v>1900000</v>
      </c>
      <c r="O236" s="211">
        <v>5.131578947368421E-2</v>
      </c>
      <c r="P236">
        <f t="shared" si="36"/>
        <v>97500</v>
      </c>
    </row>
    <row r="237" spans="1:16">
      <c r="A237" s="31"/>
      <c r="B237" s="31"/>
      <c r="C237" s="32" t="s">
        <v>32</v>
      </c>
      <c r="D237" s="31">
        <f>INDEX(TWO_price_per_trx,B234)</f>
        <v>0.14000000000000001</v>
      </c>
      <c r="E237" s="31">
        <f>INDEX(TWO_price_per_trx,C234)</f>
        <v>2.3E-2</v>
      </c>
      <c r="F237" s="17">
        <v>500000</v>
      </c>
      <c r="G237" s="213">
        <v>0.06</v>
      </c>
      <c r="H237" s="18">
        <f t="shared" si="37"/>
        <v>42000</v>
      </c>
      <c r="I237" s="4"/>
      <c r="N237">
        <v>2900000</v>
      </c>
      <c r="O237" s="211">
        <v>3.8103448275862067E-2</v>
      </c>
      <c r="P237">
        <f t="shared" si="36"/>
        <v>110500</v>
      </c>
    </row>
    <row r="238" spans="1:16">
      <c r="A238" s="31"/>
      <c r="B238" s="31"/>
      <c r="C238" s="31"/>
      <c r="D238" s="32" t="s">
        <v>34</v>
      </c>
      <c r="E238" s="31">
        <f>CEILING(TWO_Additional_transactions_per_month+TWO_Current_Number_of_transactions_per_month-INDEX(TWO_trx_volume,C234)/1,1)</f>
        <v>500000</v>
      </c>
      <c r="F238" s="17">
        <v>1000000</v>
      </c>
      <c r="G238" s="213">
        <v>0.05</v>
      </c>
      <c r="H238" s="18">
        <f t="shared" si="37"/>
        <v>67000</v>
      </c>
      <c r="I238" s="4"/>
      <c r="N238" s="11">
        <v>4900000</v>
      </c>
      <c r="O238" s="211">
        <v>2.6530612244897958E-2</v>
      </c>
      <c r="P238">
        <f t="shared" si="36"/>
        <v>130000</v>
      </c>
    </row>
    <row r="239" spans="1:16">
      <c r="A239" s="31"/>
      <c r="B239" s="31"/>
      <c r="C239" s="31"/>
      <c r="D239" s="31"/>
      <c r="E239" s="31"/>
      <c r="F239" s="17">
        <v>3000000</v>
      </c>
      <c r="G239" s="213">
        <v>2.3E-2</v>
      </c>
      <c r="H239" s="18">
        <f t="shared" si="37"/>
        <v>113000</v>
      </c>
      <c r="I239" s="4"/>
      <c r="N239" s="11">
        <v>8900000</v>
      </c>
      <c r="O239" s="211">
        <v>1.9719101123595505E-2</v>
      </c>
      <c r="P239">
        <f t="shared" si="36"/>
        <v>175500</v>
      </c>
    </row>
    <row r="240" spans="1:16">
      <c r="A240" s="31"/>
      <c r="B240" s="31"/>
      <c r="C240" s="31"/>
      <c r="D240" s="31"/>
      <c r="E240" s="31"/>
      <c r="F240" s="17">
        <v>5000000</v>
      </c>
      <c r="G240" s="213">
        <v>1.0999999999999999E-2</v>
      </c>
      <c r="H240" s="18">
        <f t="shared" si="37"/>
        <v>135000</v>
      </c>
      <c r="I240" s="4"/>
      <c r="N240" s="11">
        <v>16900000</v>
      </c>
      <c r="O240" s="211">
        <v>1.4999999999999999E-2</v>
      </c>
      <c r="P240">
        <f t="shared" si="36"/>
        <v>253500</v>
      </c>
    </row>
    <row r="241" spans="1:16">
      <c r="A241" s="31"/>
      <c r="B241" s="31"/>
      <c r="C241" s="31"/>
      <c r="D241" s="31"/>
      <c r="E241" s="31">
        <f>INDEX(TWO_trx_volume,C234)</f>
        <v>1000000</v>
      </c>
      <c r="F241" s="17">
        <v>10000000</v>
      </c>
      <c r="G241" s="213">
        <v>9.4999999999999998E-3</v>
      </c>
      <c r="H241" s="18">
        <f t="shared" si="37"/>
        <v>182500</v>
      </c>
      <c r="I241" s="4"/>
      <c r="N241" s="11">
        <v>32900000</v>
      </c>
      <c r="O241" s="211">
        <v>9.8784194528875376E-3</v>
      </c>
      <c r="P241">
        <f t="shared" si="36"/>
        <v>325000</v>
      </c>
    </row>
    <row r="242" spans="1:16">
      <c r="A242" s="31"/>
      <c r="B242" s="31"/>
      <c r="C242" s="31"/>
      <c r="D242" s="31"/>
      <c r="E242" s="31"/>
      <c r="F242" s="17">
        <v>15000000</v>
      </c>
      <c r="G242" s="213">
        <v>8.0000000000000002E-3</v>
      </c>
      <c r="H242" s="18">
        <f t="shared" si="37"/>
        <v>222500</v>
      </c>
      <c r="I242" s="4"/>
      <c r="N242" s="11">
        <v>64900000</v>
      </c>
      <c r="O242" s="211">
        <v>6.7103235747303543E-3</v>
      </c>
      <c r="P242">
        <f t="shared" si="36"/>
        <v>435500</v>
      </c>
    </row>
    <row r="243" spans="1:16">
      <c r="A243" s="31"/>
      <c r="B243" s="31"/>
      <c r="C243" s="31"/>
      <c r="D243" s="31"/>
      <c r="E243" s="31"/>
      <c r="F243" s="17">
        <v>30000000</v>
      </c>
      <c r="G243" s="213">
        <v>6.4999999999999997E-3</v>
      </c>
      <c r="H243" s="18">
        <f t="shared" si="37"/>
        <v>320000</v>
      </c>
      <c r="I243" s="4"/>
      <c r="N243">
        <v>128900000</v>
      </c>
      <c r="O243" s="211">
        <v>4.0341349883630719E-3</v>
      </c>
      <c r="P243">
        <f t="shared" si="36"/>
        <v>520000</v>
      </c>
    </row>
    <row r="244" spans="1:16">
      <c r="A244" s="33"/>
      <c r="B244" s="33"/>
      <c r="C244" s="33"/>
      <c r="D244" s="34"/>
      <c r="E244" s="33"/>
      <c r="F244" s="17">
        <v>60000000</v>
      </c>
      <c r="G244" s="213">
        <v>3.5000000000000001E-3</v>
      </c>
      <c r="H244" s="18">
        <f t="shared" si="37"/>
        <v>425000</v>
      </c>
      <c r="I244" s="4"/>
      <c r="N244">
        <v>256900000</v>
      </c>
      <c r="O244" s="211">
        <v>2.53016738030362E-3</v>
      </c>
      <c r="P244">
        <f t="shared" si="36"/>
        <v>650000</v>
      </c>
    </row>
    <row r="245" spans="1:16">
      <c r="A245" s="33"/>
      <c r="B245" s="33"/>
      <c r="C245" s="33"/>
      <c r="D245" s="34"/>
      <c r="E245" s="33"/>
      <c r="F245" s="17">
        <v>90000000</v>
      </c>
      <c r="G245" s="213">
        <v>2E-3</v>
      </c>
      <c r="H245" s="18">
        <f t="shared" si="37"/>
        <v>485000</v>
      </c>
      <c r="I245" s="4"/>
      <c r="O245" s="211"/>
    </row>
    <row r="246" spans="1:16">
      <c r="A246" s="33"/>
      <c r="B246" s="33"/>
      <c r="C246" s="33"/>
      <c r="D246" s="34"/>
      <c r="E246" s="33"/>
      <c r="F246" s="17">
        <v>120000000</v>
      </c>
      <c r="G246" s="213">
        <v>1.1999999999999999E-3</v>
      </c>
      <c r="H246" s="18">
        <f>(F246-F244)/1*G246+H244</f>
        <v>497000</v>
      </c>
      <c r="I246" s="4"/>
    </row>
    <row r="247" spans="1:16">
      <c r="A247" s="33"/>
      <c r="B247" s="33"/>
      <c r="C247" s="33"/>
      <c r="D247" s="34"/>
      <c r="E247" s="33"/>
      <c r="F247" s="17">
        <v>200000000</v>
      </c>
      <c r="G247" s="213">
        <v>1E-3</v>
      </c>
      <c r="H247" s="18">
        <f>(F247-F245)/1*G247+H245</f>
        <v>595000</v>
      </c>
      <c r="I247" s="4"/>
    </row>
    <row r="248" spans="1:16">
      <c r="A248" s="31"/>
      <c r="B248" s="31"/>
      <c r="C248" s="31"/>
      <c r="D248" s="31"/>
      <c r="E248" s="31"/>
      <c r="F248" s="23" t="s">
        <v>28</v>
      </c>
      <c r="G248" s="213">
        <v>8.0000000000000004E-4</v>
      </c>
      <c r="H248" s="18"/>
      <c r="I248" s="4"/>
    </row>
    <row r="249" spans="1:16">
      <c r="A249" s="31"/>
      <c r="B249" s="31"/>
      <c r="C249" s="31"/>
      <c r="D249" s="31"/>
      <c r="E249" s="31"/>
      <c r="F249" s="15" t="s">
        <v>29</v>
      </c>
      <c r="G249" s="21"/>
      <c r="H249" s="22"/>
      <c r="I249" s="4"/>
    </row>
    <row r="250" spans="1:16" ht="15.75" thickBot="1">
      <c r="A250" s="35"/>
      <c r="B250" s="35"/>
      <c r="C250" s="35"/>
      <c r="D250" s="35"/>
      <c r="E250" s="35"/>
      <c r="F250" s="35"/>
      <c r="G250" s="35"/>
      <c r="H250" s="35"/>
      <c r="I250" s="6"/>
    </row>
    <row r="251" spans="1:16" ht="15.75" thickBot="1">
      <c r="A251" s="147"/>
      <c r="B251" s="147"/>
      <c r="C251" s="123"/>
      <c r="D251" s="123"/>
      <c r="E251" s="123"/>
      <c r="F251" s="123"/>
      <c r="G251" s="123"/>
      <c r="H251" s="123"/>
      <c r="I251" s="125"/>
      <c r="J251" s="125"/>
      <c r="K251" s="125"/>
      <c r="L251" s="149"/>
    </row>
    <row r="252" spans="1:16" ht="15.75" thickBot="1">
      <c r="A252" s="146" t="s">
        <v>21</v>
      </c>
      <c r="B252" s="125"/>
      <c r="C252" s="125"/>
      <c r="D252" s="123"/>
      <c r="E252" s="123"/>
      <c r="F252" s="123"/>
      <c r="G252" s="123"/>
      <c r="H252" s="123"/>
      <c r="I252" s="125"/>
      <c r="J252" s="125"/>
      <c r="K252" s="125"/>
      <c r="L252" s="149"/>
    </row>
    <row r="253" spans="1:16" ht="15.75" thickBot="1">
      <c r="A253" s="110" t="s">
        <v>119</v>
      </c>
      <c r="B253" s="2"/>
      <c r="C253" s="25"/>
      <c r="D253" s="123"/>
      <c r="E253" s="123"/>
      <c r="F253" s="123"/>
      <c r="G253" s="123"/>
      <c r="H253" s="123"/>
      <c r="I253" s="125"/>
      <c r="J253" s="125"/>
      <c r="K253" s="125"/>
      <c r="L253" s="149"/>
    </row>
    <row r="254" spans="1:16">
      <c r="A254" s="1">
        <v>0</v>
      </c>
      <c r="B254" s="2">
        <v>0</v>
      </c>
      <c r="C254" s="25"/>
      <c r="D254" s="123"/>
      <c r="E254" s="123"/>
      <c r="F254" s="123"/>
      <c r="G254" s="123"/>
      <c r="H254" s="123"/>
      <c r="I254" s="125"/>
      <c r="J254" s="125"/>
      <c r="K254" s="125"/>
      <c r="L254" s="149"/>
    </row>
    <row r="255" spans="1:16">
      <c r="A255" s="3">
        <v>1</v>
      </c>
      <c r="B255" s="4">
        <f>IF(B6=TRUE,10000,20000)</f>
        <v>10000</v>
      </c>
      <c r="C255" s="25"/>
      <c r="D255" s="123"/>
      <c r="E255" s="123"/>
      <c r="F255" s="123"/>
      <c r="G255" s="123"/>
      <c r="H255" s="123"/>
      <c r="I255" s="125"/>
      <c r="J255" s="125"/>
      <c r="K255" s="125"/>
      <c r="L255" s="149"/>
    </row>
    <row r="256" spans="1:16">
      <c r="A256" s="3">
        <v>2</v>
      </c>
      <c r="B256" s="4">
        <f>IF(B6=TRUE,8500,17000)</f>
        <v>8500</v>
      </c>
      <c r="C256" s="25"/>
      <c r="D256" s="123"/>
      <c r="E256" s="123"/>
      <c r="F256" s="123"/>
      <c r="G256" s="123"/>
      <c r="H256" s="123"/>
      <c r="I256" s="125"/>
      <c r="J256" s="125"/>
      <c r="K256" s="125"/>
      <c r="L256" s="149"/>
    </row>
    <row r="257" spans="1:12">
      <c r="A257" s="3">
        <v>3</v>
      </c>
      <c r="B257" s="4">
        <f>IF(B6=TRUE,8250,16500)</f>
        <v>8250</v>
      </c>
      <c r="C257" s="25"/>
      <c r="D257" s="123"/>
      <c r="E257" s="123"/>
      <c r="F257" s="123"/>
      <c r="G257" s="123"/>
      <c r="H257" s="123"/>
      <c r="I257" s="125"/>
      <c r="J257" s="125"/>
      <c r="K257" s="125"/>
      <c r="L257" s="149"/>
    </row>
    <row r="258" spans="1:12">
      <c r="A258" s="3">
        <v>4</v>
      </c>
      <c r="B258" s="4">
        <f>IF(B6=TRUE,7850,15700)</f>
        <v>7850</v>
      </c>
      <c r="C258" s="25"/>
      <c r="D258" s="123"/>
      <c r="E258" s="123"/>
      <c r="F258" s="123"/>
      <c r="G258" s="123"/>
      <c r="H258" s="123"/>
      <c r="I258" s="125"/>
      <c r="J258" s="125"/>
      <c r="K258" s="125"/>
      <c r="L258" s="149"/>
    </row>
    <row r="259" spans="1:12">
      <c r="A259" s="3">
        <v>5</v>
      </c>
      <c r="B259" s="4">
        <f>IF(B6=TRUE,7325,14650)</f>
        <v>7325</v>
      </c>
      <c r="C259" s="25"/>
      <c r="D259" s="123"/>
      <c r="E259" s="123"/>
      <c r="F259" s="123"/>
      <c r="G259" s="123"/>
      <c r="H259" s="123"/>
      <c r="I259" s="125"/>
      <c r="J259" s="125"/>
      <c r="K259" s="125"/>
      <c r="L259" s="149"/>
    </row>
    <row r="260" spans="1:12">
      <c r="A260" s="3">
        <v>6</v>
      </c>
      <c r="B260" s="4">
        <f>IF(B6=TRUE,6750,13500)</f>
        <v>6750</v>
      </c>
      <c r="C260" s="25"/>
      <c r="D260" s="123"/>
      <c r="E260" s="123"/>
      <c r="F260" s="123"/>
      <c r="G260" s="123"/>
      <c r="H260" s="123"/>
      <c r="I260" s="125"/>
      <c r="J260" s="125"/>
      <c r="K260" s="125"/>
      <c r="L260" s="149"/>
    </row>
    <row r="261" spans="1:12">
      <c r="A261" s="3">
        <v>7</v>
      </c>
      <c r="B261" s="4">
        <f>IF(B6=TRUE,6450,12900)</f>
        <v>6450</v>
      </c>
      <c r="C261" s="25"/>
      <c r="D261" s="123"/>
      <c r="E261" s="123"/>
      <c r="F261" s="123"/>
      <c r="G261" s="123"/>
      <c r="H261" s="123"/>
      <c r="I261" s="125"/>
      <c r="J261" s="125"/>
      <c r="K261" s="125"/>
      <c r="L261" s="149"/>
    </row>
    <row r="262" spans="1:12">
      <c r="A262" s="3">
        <v>8</v>
      </c>
      <c r="B262" s="4">
        <f>IF(B6=TRUE,6050,12100)</f>
        <v>6050</v>
      </c>
      <c r="C262" s="25"/>
      <c r="D262" s="123"/>
      <c r="E262" s="123"/>
      <c r="F262" s="123"/>
      <c r="G262" s="123"/>
      <c r="H262" s="123"/>
      <c r="I262" s="125"/>
      <c r="J262" s="125"/>
      <c r="K262" s="125"/>
      <c r="L262" s="149"/>
    </row>
    <row r="263" spans="1:12">
      <c r="A263" s="3">
        <v>9</v>
      </c>
      <c r="B263" s="4">
        <f>IF(B6=TRUE,5700,11400)</f>
        <v>5700</v>
      </c>
      <c r="C263" s="145" t="s">
        <v>1</v>
      </c>
      <c r="D263" s="8">
        <f>IF(B6=TRUE, SUM(TWO!B127:B184)-'TWO Formulae'!B268, SUM(TWO!B127:B184))</f>
        <v>-1</v>
      </c>
      <c r="E263" s="123"/>
      <c r="F263" s="123"/>
      <c r="G263" s="123"/>
      <c r="H263" s="123"/>
      <c r="I263" s="125"/>
      <c r="J263" s="125"/>
      <c r="K263" s="125"/>
      <c r="L263" s="149"/>
    </row>
    <row r="264" spans="1:12">
      <c r="A264" s="3">
        <v>10</v>
      </c>
      <c r="B264" s="4">
        <f>IF(B6=TRUE,5400,10800)</f>
        <v>5400</v>
      </c>
      <c r="C264" s="123" t="e">
        <f>MATCH(D263,A254:A265,1)</f>
        <v>#N/A</v>
      </c>
      <c r="E264" s="123"/>
      <c r="F264" s="123"/>
      <c r="G264" s="123"/>
      <c r="H264" s="123"/>
      <c r="I264" s="125"/>
      <c r="J264" s="125"/>
      <c r="K264" s="125"/>
      <c r="L264" s="149"/>
    </row>
    <row r="265" spans="1:12" ht="15.75" thickBot="1">
      <c r="A265" s="138">
        <v>11</v>
      </c>
      <c r="B265" s="6">
        <f>IF(B6=TRUE,2000,4000)</f>
        <v>2000</v>
      </c>
      <c r="C265" s="123" t="e">
        <f>INDEX(B254:B265,C264)</f>
        <v>#N/A</v>
      </c>
      <c r="E265" s="123"/>
      <c r="F265" s="123"/>
      <c r="G265" s="123"/>
      <c r="H265" s="123"/>
      <c r="I265" s="125"/>
      <c r="J265" s="125"/>
      <c r="K265" s="125"/>
      <c r="L265" s="149"/>
    </row>
    <row r="266" spans="1:12" ht="15.75" thickBot="1">
      <c r="A266" s="144" t="s">
        <v>173</v>
      </c>
      <c r="B266" s="143" t="e">
        <f>IF(OR(D263&lt;10,D263=10),D263*C265,(B264*10)+(D263-10)*B265)</f>
        <v>#N/A</v>
      </c>
      <c r="C266" s="147"/>
      <c r="D266" s="123"/>
      <c r="E266" s="123"/>
      <c r="F266" s="123"/>
      <c r="G266" s="123"/>
      <c r="H266" s="123"/>
      <c r="I266" s="125"/>
      <c r="J266" s="125"/>
      <c r="K266" s="125"/>
      <c r="L266" s="149"/>
    </row>
    <row r="267" spans="1:12" ht="15.75" thickBot="1">
      <c r="A267" s="123"/>
      <c r="B267" s="125"/>
      <c r="C267" s="125"/>
      <c r="D267" s="123"/>
      <c r="E267" s="123"/>
      <c r="F267" s="123"/>
      <c r="G267" s="123"/>
      <c r="H267" s="123"/>
      <c r="I267" s="125"/>
      <c r="J267" s="125"/>
      <c r="K267" s="125"/>
      <c r="L267" s="149"/>
    </row>
    <row r="268" spans="1:12" ht="15.75" thickBot="1">
      <c r="A268" s="161" t="s">
        <v>174</v>
      </c>
      <c r="B268" s="162">
        <f>SUM(B269:B287)</f>
        <v>4</v>
      </c>
      <c r="C268" s="123"/>
      <c r="D268" s="123"/>
      <c r="E268" s="123"/>
      <c r="F268" s="123"/>
      <c r="G268" s="123"/>
      <c r="H268" s="123"/>
      <c r="I268" s="125"/>
      <c r="J268" s="125"/>
      <c r="K268" s="125"/>
      <c r="L268" s="149"/>
    </row>
    <row r="269" spans="1:12">
      <c r="A269" s="163" t="s">
        <v>13</v>
      </c>
      <c r="B269" s="2">
        <f>IF(AND($B$6=TRUE,OR('TWO Formulae'!B53,'TWO Formulae'!B50)),1,0)</f>
        <v>1</v>
      </c>
      <c r="C269" s="123"/>
      <c r="D269" s="123"/>
      <c r="E269" s="123"/>
      <c r="F269" s="123"/>
      <c r="G269" s="123"/>
      <c r="H269" s="123"/>
      <c r="I269" s="125"/>
      <c r="J269" s="125"/>
      <c r="K269" s="125"/>
      <c r="L269" s="149"/>
    </row>
    <row r="270" spans="1:12">
      <c r="A270" s="140" t="s">
        <v>14</v>
      </c>
      <c r="B270" s="4">
        <f>IF(AND($B$6=TRUE,OR(B60,B63)),1,0)</f>
        <v>1</v>
      </c>
      <c r="C270" s="123"/>
      <c r="D270" s="123"/>
      <c r="E270" s="123"/>
      <c r="F270" s="123"/>
      <c r="G270" s="123"/>
      <c r="H270" s="123"/>
      <c r="I270" s="125"/>
      <c r="J270" s="125"/>
      <c r="K270" s="125"/>
      <c r="L270" s="149"/>
    </row>
    <row r="271" spans="1:12">
      <c r="A271" s="140" t="s">
        <v>15</v>
      </c>
      <c r="B271" s="4">
        <f>IF(AND($B$6=TRUE,TWO!B164&gt;0),1,0)</f>
        <v>0</v>
      </c>
      <c r="C271" s="123"/>
      <c r="D271" s="123"/>
      <c r="E271" s="123"/>
      <c r="F271" s="123"/>
      <c r="G271" s="123"/>
      <c r="H271" s="125"/>
      <c r="I271" s="125"/>
      <c r="J271" s="125"/>
      <c r="K271" s="125"/>
      <c r="L271" s="149"/>
    </row>
    <row r="272" spans="1:12">
      <c r="A272" s="140" t="s">
        <v>16</v>
      </c>
      <c r="B272" s="4">
        <f>IF(AND($B$6=TRUE,TWO!B165&gt;0),1,0)</f>
        <v>0</v>
      </c>
      <c r="C272" s="125"/>
      <c r="D272" s="125"/>
      <c r="E272" s="125"/>
      <c r="F272" s="125"/>
      <c r="G272" s="125"/>
      <c r="J272" s="125"/>
      <c r="K272" s="125"/>
    </row>
    <row r="273" spans="1:15">
      <c r="A273" s="140" t="s">
        <v>17</v>
      </c>
      <c r="B273" s="4">
        <f>IF(AND($B$6=TRUE,TWO!B166&gt;0),1,0)</f>
        <v>0</v>
      </c>
    </row>
    <row r="274" spans="1:15">
      <c r="A274" s="140" t="s">
        <v>121</v>
      </c>
      <c r="B274" s="4">
        <f>IF(AND($B$6=TRUE,TWO!B167&gt;0),1,0)</f>
        <v>0</v>
      </c>
    </row>
    <row r="275" spans="1:15">
      <c r="A275" s="140" t="s">
        <v>122</v>
      </c>
      <c r="B275" s="4">
        <f>IF(AND($B$6=TRUE,TWO!B168&gt;0),1,0)</f>
        <v>0</v>
      </c>
    </row>
    <row r="276" spans="1:15">
      <c r="A276" s="140" t="s">
        <v>130</v>
      </c>
      <c r="B276" s="4">
        <f>IF(AND($B$6=TRUE,TWO!B169&gt;0),1,0)</f>
        <v>0</v>
      </c>
    </row>
    <row r="277" spans="1:15">
      <c r="A277" s="140" t="s">
        <v>175</v>
      </c>
      <c r="B277" s="4">
        <f>IF(AND($B$6=TRUE,TWO!B170&gt;0),1,0)</f>
        <v>0</v>
      </c>
    </row>
    <row r="278" spans="1:15">
      <c r="A278" s="140" t="s">
        <v>126</v>
      </c>
      <c r="B278" s="4">
        <f>IF(AND($B$6=TRUE,TWO!B171&gt;0),1,0)</f>
        <v>0</v>
      </c>
    </row>
    <row r="279" spans="1:15">
      <c r="A279" s="140" t="s">
        <v>131</v>
      </c>
      <c r="B279" s="4">
        <f>IF(AND($B$6=TRUE,TWO!B172&gt;0),1,0)</f>
        <v>0</v>
      </c>
    </row>
    <row r="280" spans="1:15">
      <c r="A280" s="140" t="s">
        <v>132</v>
      </c>
      <c r="B280" s="4">
        <f>IF(AND($B$6=TRUE,TWO!B173&gt;0),1,0)</f>
        <v>0</v>
      </c>
    </row>
    <row r="281" spans="1:15">
      <c r="A281" s="140" t="s">
        <v>133</v>
      </c>
      <c r="B281" s="4">
        <f>IF(AND($B$6=TRUE,TWO!B174&gt;0),1,0)</f>
        <v>0</v>
      </c>
    </row>
    <row r="282" spans="1:15">
      <c r="A282" s="140" t="s">
        <v>134</v>
      </c>
      <c r="B282" s="4">
        <f>IF(AND($B$6=TRUE,TWO!B175&gt;0),1,0)</f>
        <v>0</v>
      </c>
    </row>
    <row r="283" spans="1:15">
      <c r="A283" s="140" t="s">
        <v>135</v>
      </c>
      <c r="B283" s="4">
        <f>IF(AND($B$6=TRUE,TWO!B176&gt;0),1,0)</f>
        <v>0</v>
      </c>
    </row>
    <row r="284" spans="1:15">
      <c r="A284" s="140" t="s">
        <v>136</v>
      </c>
      <c r="B284" s="4">
        <f>IF(AND($B$6=TRUE,TWO!B177&gt;0),1,0)</f>
        <v>0</v>
      </c>
    </row>
    <row r="285" spans="1:15">
      <c r="A285" s="141" t="s">
        <v>137</v>
      </c>
      <c r="B285" s="4">
        <f>IF(AND($B$6=TRUE,TWO!B127&gt;0),1,0)</f>
        <v>1</v>
      </c>
    </row>
    <row r="286" spans="1:15">
      <c r="A286" s="126" t="s">
        <v>176</v>
      </c>
      <c r="B286" s="4">
        <f>IF(AND($B$6=TRUE,TWO!B151&gt;0),1,0)</f>
        <v>1</v>
      </c>
    </row>
    <row r="287" spans="1:15" ht="15.75" thickBot="1">
      <c r="A287" s="142" t="s">
        <v>195</v>
      </c>
      <c r="B287" s="6">
        <f>IF(AND($B$6=TRUE,TWO!B184&gt;0),1,0)</f>
        <v>0</v>
      </c>
    </row>
    <row r="288" spans="1:15">
      <c r="O288" s="10"/>
    </row>
    <row r="289" spans="15:15">
      <c r="O289" s="10"/>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25</vt:i4>
      </vt:variant>
    </vt:vector>
  </HeadingPairs>
  <TitlesOfParts>
    <vt:vector size="31" baseType="lpstr">
      <vt:lpstr>Overview</vt:lpstr>
      <vt:lpstr>TW CMS</vt:lpstr>
      <vt:lpstr>TWCMS Formulae</vt:lpstr>
      <vt:lpstr>TWO</vt:lpstr>
      <vt:lpstr>TWO Formulae</vt:lpstr>
      <vt:lpstr>Sheet1</vt:lpstr>
      <vt:lpstr>TWCMS_Clients_volume</vt:lpstr>
      <vt:lpstr>TWCMS_Current_clients_volume</vt:lpstr>
      <vt:lpstr>TWCMS_Current_ITC</vt:lpstr>
      <vt:lpstr>TWCMS_ITC_Price_per_5</vt:lpstr>
      <vt:lpstr>TWCMS_ITC_Total_price</vt:lpstr>
      <vt:lpstr>TWCMS_ITC_Volume</vt:lpstr>
      <vt:lpstr>TWCMS_New_clients_volume</vt:lpstr>
      <vt:lpstr>TWCMS_New_ITC</vt:lpstr>
      <vt:lpstr>TWCMS_Price_per_10K_clients</vt:lpstr>
      <vt:lpstr>TWCMS_Total_Price_clients</vt:lpstr>
      <vt:lpstr>TWO_Additional_POS</vt:lpstr>
      <vt:lpstr>TWO_Additional_transactions_per_month</vt:lpstr>
      <vt:lpstr>TWO_ATM_Volume</vt:lpstr>
      <vt:lpstr>TWO_Current_ATM</vt:lpstr>
      <vt:lpstr>TWO_Current_Number_of_POS</vt:lpstr>
      <vt:lpstr>TWO_Current_Number_of_transactions_per_month</vt:lpstr>
      <vt:lpstr>TWO_New_ATM</vt:lpstr>
      <vt:lpstr>TWO_POS_Total_Price</vt:lpstr>
      <vt:lpstr>TWO_POS_volume</vt:lpstr>
      <vt:lpstr>TWO_Price_per_ATM</vt:lpstr>
      <vt:lpstr>TWO_price_per_POS</vt:lpstr>
      <vt:lpstr>TWO_price_per_trx</vt:lpstr>
      <vt:lpstr>TWO_Total_Price_ATM</vt:lpstr>
      <vt:lpstr>TWO_trx_Total_Price</vt:lpstr>
      <vt:lpstr>TWO_trx_volume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2011-08-15T11:43:11Z</dcterms:modified>
</cp:coreProperties>
</file>