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X_Project\Control Board Components\"/>
    </mc:Choice>
  </mc:AlternateContent>
  <bookViews>
    <workbookView xWindow="0" yWindow="0" windowWidth="19170" windowHeight="7170"/>
  </bookViews>
  <sheets>
    <sheet name="ADC Channels" sheetId="1" r:id="rId1"/>
    <sheet name="ADC Channels (2)" sheetId="8" r:id="rId2"/>
    <sheet name="ADC_Formulas" sheetId="3" r:id="rId3"/>
    <sheet name="Sheet1" sheetId="4" r:id="rId4"/>
    <sheet name="FF6 - DAB" sheetId="5" r:id="rId5"/>
    <sheet name="FF8 - AFC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0" i="3" l="1"/>
  <c r="C144" i="3" s="1"/>
  <c r="C145" i="3" s="1"/>
  <c r="D145" i="3"/>
  <c r="D144" i="3"/>
  <c r="G143" i="3"/>
  <c r="G142" i="3"/>
  <c r="G141" i="3"/>
  <c r="E10" i="6" l="1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B5" i="6"/>
  <c r="E4" i="6"/>
  <c r="D4" i="6"/>
  <c r="C4" i="6"/>
  <c r="B4" i="6"/>
  <c r="C2" i="6"/>
  <c r="B2" i="6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B4" i="5"/>
  <c r="C2" i="5"/>
  <c r="B2" i="5"/>
  <c r="C127" i="3" l="1"/>
  <c r="Q126" i="3"/>
  <c r="C126" i="3"/>
  <c r="Q125" i="3"/>
  <c r="Q124" i="3"/>
  <c r="F121" i="3"/>
  <c r="F134" i="3"/>
  <c r="C130" i="3" s="1"/>
  <c r="C131" i="3" l="1"/>
  <c r="C112" i="3"/>
  <c r="Q111" i="3"/>
  <c r="C111" i="3"/>
  <c r="Q110" i="3"/>
  <c r="Q109" i="3"/>
  <c r="F106" i="3"/>
  <c r="Q98" i="3"/>
  <c r="Q96" i="3"/>
  <c r="F93" i="3"/>
  <c r="C93" i="3" s="1"/>
  <c r="F80" i="3"/>
  <c r="C80" i="3" s="1"/>
  <c r="F61" i="3"/>
  <c r="C59" i="3"/>
  <c r="N53" i="3"/>
  <c r="N52" i="3"/>
  <c r="N51" i="3"/>
  <c r="E45" i="3"/>
  <c r="F43" i="3"/>
  <c r="C41" i="3"/>
  <c r="F25" i="3"/>
  <c r="C23" i="3"/>
  <c r="F7" i="3"/>
  <c r="C5" i="3"/>
  <c r="C43" i="3" l="1"/>
  <c r="C48" i="3" s="1"/>
  <c r="C86" i="3"/>
  <c r="C85" i="3"/>
  <c r="C98" i="3"/>
  <c r="C99" i="3"/>
  <c r="Q97" i="3"/>
  <c r="C25" i="3"/>
  <c r="C30" i="3" s="1"/>
  <c r="C61" i="3"/>
  <c r="C65" i="3" s="1"/>
  <c r="C7" i="3"/>
  <c r="C15" i="3" s="1"/>
  <c r="C12" i="3" l="1"/>
</calcChain>
</file>

<file path=xl/sharedStrings.xml><?xml version="1.0" encoding="utf-8"?>
<sst xmlns="http://schemas.openxmlformats.org/spreadsheetml/2006/main" count="1389" uniqueCount="358">
  <si>
    <t>Group0Ch0</t>
  </si>
  <si>
    <t>Group8Ch8</t>
  </si>
  <si>
    <t>Group9Ch9</t>
  </si>
  <si>
    <t>Group11Ch11</t>
  </si>
  <si>
    <t>Group0Ch1</t>
  </si>
  <si>
    <t>Group0Ch2</t>
  </si>
  <si>
    <t>Group0Ch3</t>
  </si>
  <si>
    <t>Group1Ch4</t>
  </si>
  <si>
    <t>Group1Ch5</t>
  </si>
  <si>
    <t>Group1Ch6</t>
  </si>
  <si>
    <t>Group1Ch7</t>
  </si>
  <si>
    <t>Group9Ch0</t>
  </si>
  <si>
    <t>Group9Ch1</t>
  </si>
  <si>
    <t>Group9Ch2</t>
  </si>
  <si>
    <t>Group9Ch3</t>
  </si>
  <si>
    <t>Group9Ch4</t>
  </si>
  <si>
    <t>Group9Ch5</t>
  </si>
  <si>
    <t>Group9Ch6</t>
  </si>
  <si>
    <t>Group9Ch7</t>
  </si>
  <si>
    <t>Group9Ch8</t>
  </si>
  <si>
    <t>Group9Ch10</t>
  </si>
  <si>
    <t>Group9Ch11</t>
  </si>
  <si>
    <t>Group8Ch0</t>
  </si>
  <si>
    <t>Group8Ch1</t>
  </si>
  <si>
    <t>Group8Ch2</t>
  </si>
  <si>
    <t>Group8Ch3</t>
  </si>
  <si>
    <t>Group8Ch4</t>
  </si>
  <si>
    <t>Group8Ch5</t>
  </si>
  <si>
    <t>Group8Ch6</t>
  </si>
  <si>
    <t>Group8Ch7</t>
  </si>
  <si>
    <t>Group8Ch9</t>
  </si>
  <si>
    <t>Group8Ch10</t>
  </si>
  <si>
    <t>Group8Ch11</t>
  </si>
  <si>
    <t>Group8Ch12</t>
  </si>
  <si>
    <t>Group8Ch13</t>
  </si>
  <si>
    <t>Group8Ch14</t>
  </si>
  <si>
    <t>Group8Ch15</t>
  </si>
  <si>
    <t>Group11Ch0</t>
  </si>
  <si>
    <t>Group11Ch1</t>
  </si>
  <si>
    <t>Group11Ch2</t>
  </si>
  <si>
    <t>Group11Ch3</t>
  </si>
  <si>
    <t>Group11Ch4</t>
  </si>
  <si>
    <t>Group11Ch5</t>
  </si>
  <si>
    <t>Group11Ch6</t>
  </si>
  <si>
    <t>Group11Ch7</t>
  </si>
  <si>
    <t>Group11Ch8</t>
  </si>
  <si>
    <t>Group11Ch9</t>
  </si>
  <si>
    <t>Group11Ch10</t>
  </si>
  <si>
    <t>P00.1</t>
  </si>
  <si>
    <t>P00.2</t>
  </si>
  <si>
    <t>P00.3</t>
  </si>
  <si>
    <t>P00.4</t>
  </si>
  <si>
    <t>P00.5</t>
  </si>
  <si>
    <t>P00.6</t>
  </si>
  <si>
    <t>P00.7</t>
  </si>
  <si>
    <t>P00.8</t>
  </si>
  <si>
    <t>P00.9</t>
  </si>
  <si>
    <t>P00.10</t>
  </si>
  <si>
    <t>P00.11</t>
  </si>
  <si>
    <t>P00.12</t>
  </si>
  <si>
    <t>AN0</t>
  </si>
  <si>
    <t>AN1</t>
  </si>
  <si>
    <t>AN2</t>
  </si>
  <si>
    <t>AN3</t>
  </si>
  <si>
    <t>AN4</t>
  </si>
  <si>
    <t>AN5</t>
  </si>
  <si>
    <t>AN6</t>
  </si>
  <si>
    <t>AN7</t>
  </si>
  <si>
    <t>AN8</t>
  </si>
  <si>
    <t>AN9</t>
  </si>
  <si>
    <t>AN10</t>
  </si>
  <si>
    <t>AN11</t>
  </si>
  <si>
    <t>AN12</t>
  </si>
  <si>
    <t>AN13</t>
  </si>
  <si>
    <t>AN14</t>
  </si>
  <si>
    <t>AN15</t>
  </si>
  <si>
    <t>AN32/P40.4</t>
  </si>
  <si>
    <t>AN33/P40.5</t>
  </si>
  <si>
    <t>AN34</t>
  </si>
  <si>
    <t>AN35</t>
  </si>
  <si>
    <t>AN36/P40.6</t>
  </si>
  <si>
    <t>AN37/P40.7</t>
  </si>
  <si>
    <t>AN38/P40.8</t>
  </si>
  <si>
    <t>AN39/P40.9</t>
  </si>
  <si>
    <t>AN40</t>
  </si>
  <si>
    <t>AN41</t>
  </si>
  <si>
    <t>AN42</t>
  </si>
  <si>
    <t>AN43</t>
  </si>
  <si>
    <t>AN44</t>
  </si>
  <si>
    <t>AN45</t>
  </si>
  <si>
    <t>AN46</t>
  </si>
  <si>
    <t>AN47</t>
  </si>
  <si>
    <t>AN18/P40.11</t>
  </si>
  <si>
    <t>AN19/P40.12</t>
  </si>
  <si>
    <t>AN26/P40.2</t>
  </si>
  <si>
    <t>AN27/P40.3</t>
  </si>
  <si>
    <t>Array Index</t>
  </si>
  <si>
    <t>Pin Name</t>
  </si>
  <si>
    <t>Group</t>
  </si>
  <si>
    <t>Signal Name</t>
  </si>
  <si>
    <t>VAC1_SNS_PM1IN</t>
  </si>
  <si>
    <t>VAC2_SNS_PM1IN</t>
  </si>
  <si>
    <t>VAC3_SNS_PM1IN</t>
  </si>
  <si>
    <t>VDC_SNS_PM1IN</t>
  </si>
  <si>
    <t>IPH1_SNS_PM1IN</t>
  </si>
  <si>
    <t>IPH2_SNS_PM1IN</t>
  </si>
  <si>
    <t>IPH3_SNS_PM1IN</t>
  </si>
  <si>
    <t>VDC_SNS_PM3IN</t>
  </si>
  <si>
    <t>ILEG1_SNS_PM1IN</t>
  </si>
  <si>
    <t>ILEG2_SNS_PM1IN</t>
  </si>
  <si>
    <t>ILEG3_SNS_PM1IN</t>
  </si>
  <si>
    <t>TEMP_HS_SNS_PM1IN</t>
  </si>
  <si>
    <t>TEMP_PCB_SNS_PM1IN</t>
  </si>
  <si>
    <t>TEMP_LEG1_SNS_PM1IN</t>
  </si>
  <si>
    <t>TEMP_LEG2_SNS_PM1IN</t>
  </si>
  <si>
    <t>TEMP_LEG3_SNS_PM1IN</t>
  </si>
  <si>
    <t>24V_SNS_PM1IN</t>
  </si>
  <si>
    <t>VAC1_SNS_PM2IN</t>
  </si>
  <si>
    <t>VAC2_SNS_PM2IN</t>
  </si>
  <si>
    <t>VAC3_SNS_PM2IN</t>
  </si>
  <si>
    <t>VDC_SNS_PM2IN</t>
  </si>
  <si>
    <t>ILEG1_SNS_PM2IN</t>
  </si>
  <si>
    <t>ILEG2_SNS_PM2IN</t>
  </si>
  <si>
    <t>ILEG2_SNS_PM3IN</t>
  </si>
  <si>
    <t>ILEG3_SNS_PM2IN</t>
  </si>
  <si>
    <t>ILEG1_SNS_PM3IN</t>
  </si>
  <si>
    <t>ILEG3_SNS_PM3IN</t>
  </si>
  <si>
    <t>IPH3_SNS_PM3IN</t>
  </si>
  <si>
    <t>IPH2_SNS_PM3IN</t>
  </si>
  <si>
    <t>IPH1_SNS_PM2IN</t>
  </si>
  <si>
    <t>IPH1_SNS_PM3IN</t>
  </si>
  <si>
    <t>IPH3_SNS_PM2IN</t>
  </si>
  <si>
    <t>TEMP_HS_SNS_PM2IN</t>
  </si>
  <si>
    <t>TEMP_PCB_SNS_PM2IN</t>
  </si>
  <si>
    <t>TEMP_LEG1_SNS_PM2IN</t>
  </si>
  <si>
    <t>TEMP_LEG2_SNS_PM2IN</t>
  </si>
  <si>
    <t>TEMP_LEG3_SNS_PM2IN</t>
  </si>
  <si>
    <t>24V_SNS_PM2IN</t>
  </si>
  <si>
    <t>VAC1_SNS_PM3IN</t>
  </si>
  <si>
    <t>VAC2_SNS_PM3IN</t>
  </si>
  <si>
    <t>VAC3_SNS_PM3IN</t>
  </si>
  <si>
    <t>TEMP_LEG2_SNS_PM3IN</t>
  </si>
  <si>
    <t>TEMP_LEG1_SNS_PM3IN</t>
  </si>
  <si>
    <t>TEMP_PCB_SNS_PM3IN</t>
  </si>
  <si>
    <t>TEMP_HS_SNS_PM3IN</t>
  </si>
  <si>
    <t>TEMP_LEG3_SNS_PM3IN</t>
  </si>
  <si>
    <t>24V_SNS_PM3IN</t>
  </si>
  <si>
    <t>IPH2_SNS_PM2IN</t>
  </si>
  <si>
    <t>Channel</t>
  </si>
  <si>
    <t>Primary</t>
  </si>
  <si>
    <t>Secondary</t>
  </si>
  <si>
    <t>Array Index / Signal ID</t>
  </si>
  <si>
    <t>Verified</t>
  </si>
  <si>
    <t>Primary Channels Order</t>
  </si>
  <si>
    <t>g_staADCGroupChannel, Secondary Channels</t>
  </si>
  <si>
    <t>Software Implementation</t>
  </si>
  <si>
    <t>Formulas to back track the AC line to line voltage from Vout P , Vout N and Vout_Diff</t>
  </si>
  <si>
    <t xml:space="preserve">AC Line - Line Voltage </t>
  </si>
  <si>
    <t>ADC Input From Software</t>
  </si>
  <si>
    <t>Gain</t>
  </si>
  <si>
    <t>ADC count</t>
  </si>
  <si>
    <t>VDC w.r.t Vout P =</t>
  </si>
  <si>
    <t>Vos</t>
  </si>
  <si>
    <t>Resolution</t>
  </si>
  <si>
    <t>VCM</t>
  </si>
  <si>
    <t>Adc Ref Volt</t>
  </si>
  <si>
    <t>VDC w.r.t Vout N =</t>
  </si>
  <si>
    <t>Vdiff</t>
  </si>
  <si>
    <t>Vout_SE</t>
  </si>
  <si>
    <t>VDC w.r.t Vout_diff  =</t>
  </si>
  <si>
    <t>Intercept</t>
  </si>
  <si>
    <t>Gain Power Board(AMC3301)</t>
  </si>
  <si>
    <t>Voltage slope</t>
  </si>
  <si>
    <t>Control Board - Op-Amp</t>
  </si>
  <si>
    <t>Actual Volt</t>
  </si>
  <si>
    <t>Gain Power Board(AMC3330)</t>
  </si>
  <si>
    <t xml:space="preserve">V_Diff w.r.t Vout_SE = </t>
  </si>
  <si>
    <t>Formulas to back track the VDC voltage from Vout P ,Vout N and Vout_Diff</t>
  </si>
  <si>
    <t xml:space="preserve">DC Bus Voltage </t>
  </si>
  <si>
    <t>VDC w.r.t Vout  =</t>
  </si>
  <si>
    <t>Gain Power Board</t>
  </si>
  <si>
    <t>Formulas to back track the Iphase current from Vout P ,Vout N and Vout_Diff</t>
  </si>
  <si>
    <t xml:space="preserve">Phase Current </t>
  </si>
  <si>
    <t>Iphase w.r.t Vout P =</t>
  </si>
  <si>
    <t>Iphase w.r.t Vout N =</t>
  </si>
  <si>
    <t>R-shunt</t>
  </si>
  <si>
    <t>mOhm</t>
  </si>
  <si>
    <t>Iphase w.r.t Vout_diff  =</t>
  </si>
  <si>
    <t>VOS</t>
  </si>
  <si>
    <t>GAIN</t>
  </si>
  <si>
    <t>Formulas to back track the ILEG current from VAOUT ,VREF and Vout</t>
  </si>
  <si>
    <t>Leg Current</t>
  </si>
  <si>
    <t>ILEG w.r.t VAOUT =</t>
  </si>
  <si>
    <t>ILEG w.r.t VREF =</t>
  </si>
  <si>
    <t>V ref</t>
  </si>
  <si>
    <t>ILEG w.r.t Vout  =</t>
  </si>
  <si>
    <t>Sensitive Range</t>
  </si>
  <si>
    <t>Formulas to back track the heatsink temperature from Vout_Diff</t>
  </si>
  <si>
    <t>Heat Sink Temperature</t>
  </si>
  <si>
    <t>Parameters</t>
  </si>
  <si>
    <t xml:space="preserve">polynomial equation </t>
  </si>
  <si>
    <t xml:space="preserve"> Measurement temperature range - 10°C to 25°C considered</t>
  </si>
  <si>
    <t>y = -0.7243*(Vout_Diff)^3 + 0.3661*(Vout_Diff)^2 - 11.981*(Vout_Diff) + 20.985</t>
  </si>
  <si>
    <t xml:space="preserve"> Measurement temperature range 30°C to 100°C considered</t>
  </si>
  <si>
    <t xml:space="preserve">y = 0.763*(Vout_Diff)^4 +5.5805*(Vout_Diff)^3 +15.971*(Vout_Diff)^2 + 6.5704*(Vout_Diff) + 28.169
</t>
  </si>
  <si>
    <t>Actual Volt(30°C to 100°C)</t>
  </si>
  <si>
    <t>At 25C- Vout_Diff max =  -0.352</t>
  </si>
  <si>
    <t>Actual Volt(- 10°C to 25°C)</t>
  </si>
  <si>
    <t>Formulas to back track PCB temperature from Vout_Diff</t>
  </si>
  <si>
    <t>PCB Temperature</t>
  </si>
  <si>
    <t xml:space="preserve"> Measurement temperature range - 20°C to 25°C considered</t>
  </si>
  <si>
    <t>y=-0.5569*(Vout_Diff)^4 - 4.8831*(Vout_Diff)^3 -16.868*(Vout_Diff)^2 -11.91*(Vout_Diff)+32.525</t>
  </si>
  <si>
    <t>y = 0.3855*(Vout_Diff)^4 +0.507*(Vout_Diff)^3 + 1.091*(Vout_Diff)^2+16.217*(Vout_Diff)+48.434</t>
  </si>
  <si>
    <t>At 25C Vout_Diff max = -1.623</t>
  </si>
  <si>
    <t>Actual Volt(- 20°C to 25°C)</t>
  </si>
  <si>
    <t>Formulas to back track module NTC temperature from Vout_Diff</t>
  </si>
  <si>
    <t>NTC Temperature</t>
  </si>
  <si>
    <t xml:space="preserve"> Measurement temperature range 0°C to 70°C considered</t>
  </si>
  <si>
    <t>y =  26.408*(Vout_Diff)^3  - 66.507*(Vout_Diff)^2 +  112.01*(Vout_Diff)  - 28.402</t>
  </si>
  <si>
    <t xml:space="preserve"> Measurement temperature range 75°C to 150°C considered</t>
  </si>
  <si>
    <t>Y=837.08*(Vout_Diff)^3 - 3859.7*(Vout_Diff)^2 +6034.6*(Vout_Diff) - 3112.5</t>
  </si>
  <si>
    <t>Actual Volt(75°C to 150°C)</t>
  </si>
  <si>
    <t>At 25C Vout_Diff max = 1.427</t>
  </si>
  <si>
    <t>Actual Volt(0°C to 70°C)</t>
  </si>
  <si>
    <t>Formulas to back track Ambient temperature from Vout_Diff</t>
  </si>
  <si>
    <t>Actual Volt(30°C to 80°C)</t>
  </si>
  <si>
    <t>Actual Volt(-40°C to 25°C)</t>
  </si>
  <si>
    <t xml:space="preserve"> Measurement temperature range -40°C to 25°C considered</t>
  </si>
  <si>
    <t>Y=-2.1966*(Vout^3)+18.637*(Vout^2)-67.779*(Vout)+96.86</t>
  </si>
  <si>
    <t xml:space="preserve"> Measurement temperature range 30°C to 80°C considered</t>
  </si>
  <si>
    <t>Y=-27.564*(Vout^3)+99.063*(Vout^2)-144.29*(Vout)+114.4</t>
  </si>
  <si>
    <t>At 25C Vout_Diff max = ?</t>
  </si>
  <si>
    <t>AMB_SENSE_1</t>
  </si>
  <si>
    <t>AMB_SENSE_2</t>
  </si>
  <si>
    <t>CUR_SNS</t>
  </si>
  <si>
    <t>AN31</t>
  </si>
  <si>
    <t>P02.11</t>
  </si>
  <si>
    <t>P1.3</t>
  </si>
  <si>
    <t>Group3Ch7</t>
  </si>
  <si>
    <t>Group9Ch15</t>
  </si>
  <si>
    <t>Group9Ch14</t>
  </si>
  <si>
    <t>Ambient Temp        Software Implementation</t>
  </si>
  <si>
    <t>Tvj Temperature</t>
  </si>
  <si>
    <t>Tvj</t>
  </si>
  <si>
    <r>
      <t>Tntc - 10k + Pv(R</t>
    </r>
    <r>
      <rPr>
        <b/>
        <sz val="8"/>
        <color theme="1"/>
        <rFont val="Calibri"/>
        <family val="2"/>
        <scheme val="minor"/>
      </rPr>
      <t>thjc</t>
    </r>
    <r>
      <rPr>
        <b/>
        <sz val="12"/>
        <color theme="1"/>
        <rFont val="Calibri"/>
        <family val="2"/>
        <scheme val="minor"/>
      </rPr>
      <t xml:space="preserve"> + R</t>
    </r>
    <r>
      <rPr>
        <b/>
        <sz val="8"/>
        <color theme="1"/>
        <rFont val="Calibri"/>
        <family val="2"/>
        <scheme val="minor"/>
      </rPr>
      <t>thch</t>
    </r>
    <r>
      <rPr>
        <b/>
        <sz val="12"/>
        <color theme="1"/>
        <rFont val="Calibri"/>
        <family val="2"/>
        <scheme val="minor"/>
      </rPr>
      <t>)</t>
    </r>
  </si>
  <si>
    <t>Pv = Power Loss</t>
  </si>
  <si>
    <t>Pv = Conduction Loss + Switching Loss</t>
  </si>
  <si>
    <r>
      <t>Switching Loss = (</t>
    </r>
    <r>
      <rPr>
        <b/>
        <sz val="11"/>
        <color theme="1"/>
        <rFont val="Calibri"/>
        <family val="2"/>
        <scheme val="minor"/>
      </rPr>
      <t>Eon + Eoff</t>
    </r>
    <r>
      <rPr>
        <sz val="11"/>
        <color theme="1"/>
        <rFont val="Calibri"/>
        <family val="2"/>
        <scheme val="minor"/>
      </rPr>
      <t>) * frequency</t>
    </r>
  </si>
  <si>
    <t>FF6</t>
  </si>
  <si>
    <t>FF8</t>
  </si>
  <si>
    <t>RthJH (K/W)</t>
  </si>
  <si>
    <r>
      <t>Tntc - 10k + Pv(R</t>
    </r>
    <r>
      <rPr>
        <b/>
        <sz val="8"/>
        <color theme="1"/>
        <rFont val="Calibri"/>
        <family val="2"/>
        <scheme val="minor"/>
      </rPr>
      <t>thjh)</t>
    </r>
  </si>
  <si>
    <t>Rds_on(mohm)</t>
  </si>
  <si>
    <r>
      <t>Conduction Loss = RMS current^2 *</t>
    </r>
    <r>
      <rPr>
        <sz val="11"/>
        <color theme="1"/>
        <rFont val="Calibri"/>
        <family val="2"/>
        <scheme val="minor"/>
      </rPr>
      <t xml:space="preserve"> Rds_on </t>
    </r>
  </si>
  <si>
    <t>Id (A)</t>
  </si>
  <si>
    <t>Eoff(mJ)</t>
  </si>
  <si>
    <t>Eon(mJ)125deg</t>
  </si>
  <si>
    <t>Eon(mJ) 150deg</t>
  </si>
  <si>
    <t>Id(A)</t>
  </si>
  <si>
    <t>Eoff (mJ)</t>
  </si>
  <si>
    <t>Eon (mJ) 125 deg</t>
  </si>
  <si>
    <t>Eoff (mJ) 150 deg</t>
  </si>
  <si>
    <t>NTC to Tvj      Software Implementation</t>
  </si>
  <si>
    <r>
      <t>Tntc - 10k + ( (RMS current^2 * Rds_on) + ((Eon + Eoff) * frequency))(R</t>
    </r>
    <r>
      <rPr>
        <b/>
        <sz val="8"/>
        <color theme="1"/>
        <rFont val="Calibri"/>
        <family val="2"/>
        <scheme val="minor"/>
      </rPr>
      <t>thjh)</t>
    </r>
  </si>
  <si>
    <t>y= 2E-05x^2 + 0.0009x + 0.1311</t>
  </si>
  <si>
    <t>Eon</t>
  </si>
  <si>
    <t>Eoff</t>
  </si>
  <si>
    <t>y = 7E-09x^3 - 8E-06x^2 + 0.0132x + 0.5212</t>
  </si>
  <si>
    <t>Eoff (at 150deg)</t>
  </si>
  <si>
    <t>Eon (at 125 deg)</t>
  </si>
  <si>
    <t>Eon (at 150deg)</t>
  </si>
  <si>
    <t>Irms</t>
  </si>
  <si>
    <t>PWM Freq (KHz)</t>
  </si>
  <si>
    <t>Total</t>
  </si>
  <si>
    <t>y = -8E-06x^2 + 0.0126x + 0.4001</t>
  </si>
  <si>
    <t>y = -8E-06x^2 + 0.0131x + 0.4302</t>
  </si>
  <si>
    <t>(Eon+Eoff)</t>
  </si>
  <si>
    <t>Extra Channels</t>
  </si>
  <si>
    <t>AN16</t>
  </si>
  <si>
    <t>AN17</t>
  </si>
  <si>
    <t>AN20</t>
  </si>
  <si>
    <t>AN21</t>
  </si>
  <si>
    <t>AN22</t>
  </si>
  <si>
    <t>AN23</t>
  </si>
  <si>
    <t>AN24</t>
  </si>
  <si>
    <t>AN25</t>
  </si>
  <si>
    <t>AN28</t>
  </si>
  <si>
    <t>AN29</t>
  </si>
  <si>
    <t>AN30</t>
  </si>
  <si>
    <t>P34.1</t>
  </si>
  <si>
    <t>P34.2</t>
  </si>
  <si>
    <t>P34.3</t>
  </si>
  <si>
    <t>P33.0</t>
  </si>
  <si>
    <t>P33.2</t>
  </si>
  <si>
    <t>P33.3</t>
  </si>
  <si>
    <t>P33.4</t>
  </si>
  <si>
    <t>P33.5</t>
  </si>
  <si>
    <t>P33.6</t>
  </si>
  <si>
    <t>3V3_SNS_ANG2_PM3IN</t>
  </si>
  <si>
    <t>SNS_SPARE4IN</t>
  </si>
  <si>
    <t>3V3_SNS_ANG2_PM1IN</t>
  </si>
  <si>
    <t>3V3_SNS_ANG1_PM2IN</t>
  </si>
  <si>
    <t>3V3_SNS_ANG2_PM2IN</t>
  </si>
  <si>
    <t>3V3_SNS_ANG1_PM3IN</t>
  </si>
  <si>
    <t>3V3_SNS_ANG1_PM1IN</t>
  </si>
  <si>
    <t>SNS_SPARE3IN</t>
  </si>
  <si>
    <t>24V_SNS_SW_PM1IN</t>
  </si>
  <si>
    <t>24V_SNS_SW_PM2IN</t>
  </si>
  <si>
    <t>24V_SNS_SW_PM3IN</t>
  </si>
  <si>
    <t>SNS_SPARE1IN</t>
  </si>
  <si>
    <t>SNS_SPARE2IN</t>
  </si>
  <si>
    <t>5V_SNS_PM1IN</t>
  </si>
  <si>
    <t>SNS_SPARE5IN</t>
  </si>
  <si>
    <t>SNS_SPARE7IN</t>
  </si>
  <si>
    <t>SNS_SPARE8IN</t>
  </si>
  <si>
    <t>SNS_SPARE6IN</t>
  </si>
  <si>
    <t>5V_SNS_PM3IN</t>
  </si>
  <si>
    <t>5V_SNS_PM2IN</t>
  </si>
  <si>
    <t>EVADC_G2CH0</t>
  </si>
  <si>
    <t>EVADC_G2CH1</t>
  </si>
  <si>
    <t>EVADC_G2CH4</t>
  </si>
  <si>
    <t>EVADC_G2CH5</t>
  </si>
  <si>
    <t>EVADC_G2CH6</t>
  </si>
  <si>
    <t>EVADC_G2CH7</t>
  </si>
  <si>
    <t>EVADC_G3CH0</t>
  </si>
  <si>
    <t>EVADC_G3CH1</t>
  </si>
  <si>
    <t>EVADC_G3CH4</t>
  </si>
  <si>
    <t>EVADC_G3CH5</t>
  </si>
  <si>
    <t>EVADC_G3CH6</t>
  </si>
  <si>
    <t>EVADC_G10CH11</t>
  </si>
  <si>
    <t>EVADC_G10CH10</t>
  </si>
  <si>
    <t>EVADC_G10CH9</t>
  </si>
  <si>
    <t>EVADC_G10CH7</t>
  </si>
  <si>
    <t>EVADC_G10CH5</t>
  </si>
  <si>
    <t>EVADC_G10CH4</t>
  </si>
  <si>
    <t>EVADC_G10CH3</t>
  </si>
  <si>
    <t>EVADC_G10CH2</t>
  </si>
  <si>
    <t>EVADC_G10CH1</t>
  </si>
  <si>
    <t>G0CH0</t>
  </si>
  <si>
    <t>G11CH4</t>
  </si>
  <si>
    <t>G0CH1</t>
  </si>
  <si>
    <t>G0CH2</t>
  </si>
  <si>
    <t>G0CH3</t>
  </si>
  <si>
    <t>G11CH0</t>
  </si>
  <si>
    <t>G11CH1</t>
  </si>
  <si>
    <t>G11CH2</t>
  </si>
  <si>
    <t>G11CH3</t>
  </si>
  <si>
    <t>G11CH5</t>
  </si>
  <si>
    <t>G11CH6</t>
  </si>
  <si>
    <t>G11CH7</t>
  </si>
  <si>
    <t>G11CH8</t>
  </si>
  <si>
    <t>G11CH9</t>
  </si>
  <si>
    <t>G11CH10</t>
  </si>
  <si>
    <t>G11CH11</t>
  </si>
  <si>
    <t>G8CH0</t>
  </si>
  <si>
    <t>G8CH1</t>
  </si>
  <si>
    <t>G8CH2</t>
  </si>
  <si>
    <t>G8CH11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</si>
</sst>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9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1" fillId="6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6" borderId="3" xfId="0" applyFont="1" applyFill="1" applyBorder="1" applyAlignment="1">
      <alignment horizontal="center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center" wrapText="1"/>
    </xf>
    <xf numFmtId="0" fontId="0" fillId="6" borderId="0" xfId="0" applyFill="1"/>
    <xf numFmtId="0" fontId="0" fillId="9" borderId="7" xfId="0" applyFill="1" applyBorder="1"/>
    <xf numFmtId="0" fontId="0" fillId="9" borderId="8" xfId="0" applyFill="1" applyBorder="1"/>
    <xf numFmtId="0" fontId="0" fillId="9" borderId="10" xfId="0" applyFill="1" applyBorder="1"/>
    <xf numFmtId="0" fontId="4" fillId="9" borderId="8" xfId="0" applyFont="1" applyFill="1" applyBorder="1"/>
    <xf numFmtId="0" fontId="1" fillId="9" borderId="1" xfId="0" applyFont="1" applyFill="1" applyBorder="1"/>
    <xf numFmtId="0" fontId="0" fillId="9" borderId="1" xfId="0" applyFill="1" applyBorder="1"/>
    <xf numFmtId="0" fontId="0" fillId="9" borderId="0" xfId="0" applyFill="1" applyBorder="1"/>
    <xf numFmtId="0" fontId="1" fillId="9" borderId="11" xfId="0" applyFont="1" applyFill="1" applyBorder="1"/>
    <xf numFmtId="0" fontId="0" fillId="9" borderId="11" xfId="0" applyFill="1" applyBorder="1"/>
    <xf numFmtId="0" fontId="4" fillId="9" borderId="0" xfId="0" applyFont="1" applyFill="1" applyBorder="1" applyAlignment="1">
      <alignment horizontal="right"/>
    </xf>
    <xf numFmtId="0" fontId="4" fillId="9" borderId="0" xfId="0" applyFont="1" applyFill="1" applyBorder="1"/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4" fillId="9" borderId="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wrapText="1"/>
    </xf>
    <xf numFmtId="0" fontId="2" fillId="9" borderId="1" xfId="0" applyFont="1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right"/>
    </xf>
    <xf numFmtId="0" fontId="0" fillId="9" borderId="15" xfId="0" applyFill="1" applyBorder="1"/>
    <xf numFmtId="2" fontId="4" fillId="9" borderId="0" xfId="0" applyNumberFormat="1" applyFont="1" applyFill="1" applyBorder="1"/>
    <xf numFmtId="164" fontId="4" fillId="9" borderId="0" xfId="0" applyNumberFormat="1" applyFont="1" applyFill="1" applyBorder="1"/>
    <xf numFmtId="0" fontId="4" fillId="9" borderId="13" xfId="0" applyFont="1" applyFill="1" applyBorder="1"/>
    <xf numFmtId="0" fontId="4" fillId="9" borderId="15" xfId="0" applyFont="1" applyFill="1" applyBorder="1"/>
    <xf numFmtId="0" fontId="0" fillId="9" borderId="0" xfId="0" applyFill="1"/>
    <xf numFmtId="0" fontId="4" fillId="9" borderId="17" xfId="0" applyFont="1" applyFill="1" applyBorder="1" applyAlignment="1">
      <alignment horizontal="center" vertical="center"/>
    </xf>
    <xf numFmtId="0" fontId="2" fillId="9" borderId="0" xfId="0" applyFont="1" applyFill="1" applyBorder="1"/>
    <xf numFmtId="0" fontId="4" fillId="9" borderId="15" xfId="0" applyFont="1" applyFill="1" applyBorder="1" applyAlignment="1">
      <alignment horizontal="center" vertical="center"/>
    </xf>
    <xf numFmtId="0" fontId="4" fillId="9" borderId="12" xfId="0" applyFont="1" applyFill="1" applyBorder="1"/>
    <xf numFmtId="0" fontId="0" fillId="11" borderId="1" xfId="0" applyFill="1" applyBorder="1"/>
    <xf numFmtId="0" fontId="0" fillId="9" borderId="4" xfId="0" applyFill="1" applyBorder="1"/>
    <xf numFmtId="0" fontId="0" fillId="9" borderId="6" xfId="0" applyFill="1" applyBorder="1"/>
    <xf numFmtId="0" fontId="1" fillId="9" borderId="17" xfId="0" applyFont="1" applyFill="1" applyBorder="1"/>
    <xf numFmtId="0" fontId="4" fillId="0" borderId="1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right"/>
    </xf>
    <xf numFmtId="0" fontId="4" fillId="0" borderId="8" xfId="0" applyFont="1" applyBorder="1"/>
    <xf numFmtId="0" fontId="0" fillId="0" borderId="8" xfId="0" applyBorder="1"/>
    <xf numFmtId="0" fontId="0" fillId="0" borderId="7" xfId="0" applyBorder="1"/>
    <xf numFmtId="0" fontId="0" fillId="0" borderId="15" xfId="0" applyBorder="1"/>
    <xf numFmtId="0" fontId="0" fillId="0" borderId="0" xfId="0" applyBorder="1" applyAlignme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2" fontId="4" fillId="0" borderId="0" xfId="0" applyNumberFormat="1" applyFont="1" applyBorder="1"/>
    <xf numFmtId="0" fontId="0" fillId="0" borderId="10" xfId="0" applyBorder="1"/>
    <xf numFmtId="164" fontId="0" fillId="0" borderId="0" xfId="0" applyNumberFormat="1" applyBorder="1"/>
    <xf numFmtId="0" fontId="4" fillId="0" borderId="12" xfId="0" applyFont="1" applyBorder="1"/>
    <xf numFmtId="0" fontId="0" fillId="0" borderId="13" xfId="0" applyBorder="1"/>
    <xf numFmtId="0" fontId="4" fillId="0" borderId="13" xfId="0" applyFont="1" applyBorder="1"/>
    <xf numFmtId="165" fontId="0" fillId="0" borderId="13" xfId="0" applyNumberFormat="1" applyBorder="1"/>
    <xf numFmtId="0" fontId="0" fillId="0" borderId="14" xfId="0" applyBorder="1"/>
    <xf numFmtId="0" fontId="0" fillId="0" borderId="0" xfId="0" applyBorder="1"/>
    <xf numFmtId="165" fontId="0" fillId="0" borderId="0" xfId="0" applyNumberFormat="1" applyBorder="1"/>
    <xf numFmtId="0" fontId="1" fillId="9" borderId="0" xfId="0" applyFont="1" applyFill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7" fillId="0" borderId="0" xfId="0" applyFont="1" applyAlignment="1">
      <alignment wrapText="1" readingOrder="1"/>
    </xf>
    <xf numFmtId="0" fontId="8" fillId="0" borderId="0" xfId="0" applyFont="1" applyAlignment="1">
      <alignment wrapText="1" readingOrder="1"/>
    </xf>
    <xf numFmtId="0" fontId="0" fillId="14" borderId="1" xfId="0" applyFill="1" applyBorder="1"/>
    <xf numFmtId="0" fontId="0" fillId="9" borderId="1" xfId="0" applyFill="1" applyBorder="1" applyAlignment="1">
      <alignment horizontal="left"/>
    </xf>
    <xf numFmtId="0" fontId="5" fillId="14" borderId="0" xfId="0" applyFont="1" applyFill="1"/>
    <xf numFmtId="0" fontId="0" fillId="14" borderId="0" xfId="0" applyFill="1"/>
    <xf numFmtId="0" fontId="2" fillId="9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5" fillId="6" borderId="17" xfId="0" applyFont="1" applyFill="1" applyBorder="1"/>
    <xf numFmtId="0" fontId="5" fillId="6" borderId="7" xfId="0" applyFont="1" applyFill="1" applyBorder="1"/>
    <xf numFmtId="0" fontId="5" fillId="6" borderId="15" xfId="0" applyFont="1" applyFill="1" applyBorder="1"/>
    <xf numFmtId="0" fontId="5" fillId="6" borderId="10" xfId="0" applyFont="1" applyFill="1" applyBorder="1"/>
    <xf numFmtId="0" fontId="0" fillId="6" borderId="15" xfId="0" applyFill="1" applyBorder="1"/>
    <xf numFmtId="0" fontId="0" fillId="6" borderId="10" xfId="0" applyFill="1" applyBorder="1"/>
    <xf numFmtId="0" fontId="0" fillId="6" borderId="10" xfId="0" applyFont="1" applyFill="1" applyBorder="1"/>
    <xf numFmtId="0" fontId="0" fillId="6" borderId="12" xfId="0" applyFill="1" applyBorder="1"/>
    <xf numFmtId="0" fontId="0" fillId="6" borderId="14" xfId="0" applyFill="1" applyBorder="1"/>
    <xf numFmtId="0" fontId="0" fillId="6" borderId="1" xfId="0" applyFill="1" applyBorder="1"/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0" xfId="0" applyFill="1"/>
    <xf numFmtId="0" fontId="0" fillId="0" borderId="0" xfId="0" applyFill="1"/>
    <xf numFmtId="0" fontId="1" fillId="6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 wrapText="1"/>
    </xf>
    <xf numFmtId="0" fontId="1" fillId="3" borderId="0" xfId="0" applyFont="1" applyFill="1" applyBorder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16" borderId="1" xfId="0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7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1" borderId="12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'FF6 - DAB'!$C$3</c:f>
              <c:strCache>
                <c:ptCount val="1"/>
                <c:pt idx="0">
                  <c:v>Eoff(mJ)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'FF6 - DAB'!$B$5:$B$12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'FF6 - DAB'!$C$5:$C$12</c:f>
              <c:numCache>
                <c:formatCode>General</c:formatCode>
                <c:ptCount val="8"/>
                <c:pt idx="0">
                  <c:v>0.23880597014925373</c:v>
                </c:pt>
                <c:pt idx="1">
                  <c:v>0.44776119402985076</c:v>
                </c:pt>
                <c:pt idx="2">
                  <c:v>0.80597014925373134</c:v>
                </c:pt>
                <c:pt idx="3">
                  <c:v>1.2537313432835822</c:v>
                </c:pt>
                <c:pt idx="4">
                  <c:v>1.8208955223880596</c:v>
                </c:pt>
                <c:pt idx="5">
                  <c:v>2.5074626865671643</c:v>
                </c:pt>
                <c:pt idx="6">
                  <c:v>3.3134328358208953</c:v>
                </c:pt>
                <c:pt idx="7">
                  <c:v>4.2388059701492535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E-4EE3-A24B-B53A8F87D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932479"/>
        <c:axId val="1758156415"/>
      </c:scatterChart>
      <c:valAx>
        <c:axId val="87593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56415"/>
        <c:crosses val="autoZero"/>
        <c:crossBetween val="midCat"/>
      </c:valAx>
      <c:valAx>
        <c:axId val="17581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3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FF6</a:t>
            </a:r>
            <a:r>
              <a:rPr lang="en-US" baseline="0"/>
              <a:t> Eon Eoff Vs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'FF6 - DAB'!$C$3</c:f>
              <c:strCache>
                <c:ptCount val="1"/>
                <c:pt idx="0">
                  <c:v>Eoff(mJ)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7589754027111718E-2"/>
                  <c:y val="0.319961815188073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2E-05x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+ 0.0009x + 0.1311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'FF6 - DAB'!$B$4:$B$12</c:f>
              <c:numCache>
                <c:formatCode>General</c:formatCode>
                <c:ptCount val="9"/>
                <c:pt idx="0">
                  <c:v>24.242424242424242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'FF6 - DAB'!$C$4:$C$12</c:f>
              <c:numCache>
                <c:formatCode>General</c:formatCode>
                <c:ptCount val="9"/>
                <c:pt idx="0">
                  <c:v>0.14925373134328357</c:v>
                </c:pt>
                <c:pt idx="1">
                  <c:v>0.23880597014925373</c:v>
                </c:pt>
                <c:pt idx="2">
                  <c:v>0.44776119402985076</c:v>
                </c:pt>
                <c:pt idx="3">
                  <c:v>0.80597014925373134</c:v>
                </c:pt>
                <c:pt idx="4">
                  <c:v>1.2537313432835822</c:v>
                </c:pt>
                <c:pt idx="5">
                  <c:v>1.8208955223880596</c:v>
                </c:pt>
                <c:pt idx="6">
                  <c:v>2.5074626865671643</c:v>
                </c:pt>
                <c:pt idx="7">
                  <c:v>3.3134328358208953</c:v>
                </c:pt>
                <c:pt idx="8">
                  <c:v>4.2388059701492535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E-41FA-A2FB-4438457F37CC}"/>
            </c:ext>
          </c:extLst>
        </c:ser>
        <c:ser>
          <c:idx val="1"/>
          <c:order val="1"/>
          <c:tx>
            <c:strRef>
              <c:f>'FF6 - DAB'!$D$3</c:f>
              <c:strCache>
                <c:ptCount val="1"/>
                <c:pt idx="0">
                  <c:v>Eon(mJ)125deg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1E-08x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3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> - 1E-05x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> + 0.0131x + 0.5085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'FF6 - DAB'!$B$4:$B$12</c:f>
              <c:numCache>
                <c:formatCode>General</c:formatCode>
                <c:ptCount val="9"/>
                <c:pt idx="0">
                  <c:v>24.242424242424242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'FF6 - DAB'!$D$4:$D$12</c:f>
              <c:numCache>
                <c:formatCode>General</c:formatCode>
                <c:ptCount val="9"/>
                <c:pt idx="0">
                  <c:v>0.80597014925373134</c:v>
                </c:pt>
                <c:pt idx="1">
                  <c:v>1.1343283582089552</c:v>
                </c:pt>
                <c:pt idx="2">
                  <c:v>1.7014925373134329</c:v>
                </c:pt>
                <c:pt idx="3">
                  <c:v>2.2388059701492535</c:v>
                </c:pt>
                <c:pt idx="4">
                  <c:v>2.7462686567164178</c:v>
                </c:pt>
                <c:pt idx="5">
                  <c:v>3.2238805970149254</c:v>
                </c:pt>
                <c:pt idx="6">
                  <c:v>3.7014925373134329</c:v>
                </c:pt>
                <c:pt idx="7">
                  <c:v>4.1791044776119399</c:v>
                </c:pt>
                <c:pt idx="8">
                  <c:v>4.6716417910447756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3E-41FA-A2FB-4438457F37CC}"/>
            </c:ext>
          </c:extLst>
        </c:ser>
        <c:ser>
          <c:idx val="2"/>
          <c:order val="2"/>
          <c:tx>
            <c:strRef>
              <c:f>'FF6 - DAB'!$E$3</c:f>
              <c:strCache>
                <c:ptCount val="1"/>
                <c:pt idx="0">
                  <c:v>Eon(mJ) 150deg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0813711896675274"/>
                  <c:y val="0.10278868721556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'FF6 - DAB'!$B$4:$B$12</c:f>
              <c:numCache>
                <c:formatCode>General</c:formatCode>
                <c:ptCount val="9"/>
                <c:pt idx="0">
                  <c:v>24.242424242424242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'FF6 - DAB'!$E$4:$E$12</c:f>
              <c:numCache>
                <c:formatCode>General</c:formatCode>
                <c:ptCount val="9"/>
                <c:pt idx="0">
                  <c:v>0.83582089552238803</c:v>
                </c:pt>
                <c:pt idx="1">
                  <c:v>1.164179104477612</c:v>
                </c:pt>
                <c:pt idx="2">
                  <c:v>1.7611940298507462</c:v>
                </c:pt>
                <c:pt idx="3">
                  <c:v>2.3283582089552239</c:v>
                </c:pt>
                <c:pt idx="4">
                  <c:v>2.8955223880597014</c:v>
                </c:pt>
                <c:pt idx="5">
                  <c:v>3.4029850746268657</c:v>
                </c:pt>
                <c:pt idx="6">
                  <c:v>3.9104477611940296</c:v>
                </c:pt>
                <c:pt idx="7">
                  <c:v>4.4179104477611943</c:v>
                </c:pt>
                <c:pt idx="8">
                  <c:v>4.91044776119403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3E-41FA-A2FB-4438457F3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97327"/>
        <c:axId val="2044803647"/>
      </c:scatterChart>
      <c:valAx>
        <c:axId val="205649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03647"/>
        <c:crosses val="autoZero"/>
        <c:crossBetween val="midCat"/>
      </c:valAx>
      <c:valAx>
        <c:axId val="20448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9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FF8 Eon Eoff Vs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'FF8 - AFC'!$C$3</c:f>
              <c:strCache>
                <c:ptCount val="1"/>
                <c:pt idx="0">
                  <c:v>Eoff (mJ)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884046579739031"/>
                  <c:y val="0.211149109863893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3E-05x</a:t>
                    </a:r>
                    <a:r>
                      <a:rPr lang="en-US" baseline="30000">
                        <a:solidFill>
                          <a:schemeClr val="accent1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1"/>
                        </a:solidFill>
                      </a:rPr>
                      <a:t> + 0.0004x + 0.1136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'FF8 - AFC'!$B$4:$B$10</c:f>
              <c:numCache>
                <c:formatCode>General</c:formatCode>
                <c:ptCount val="7"/>
                <c:pt idx="0">
                  <c:v>18.07909604519774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'FF8 - AFC'!$C$4:$C$10</c:f>
              <c:numCache>
                <c:formatCode>General</c:formatCode>
                <c:ptCount val="7"/>
                <c:pt idx="0">
                  <c:v>0.13157894736842105</c:v>
                </c:pt>
                <c:pt idx="1">
                  <c:v>0.19736842105263158</c:v>
                </c:pt>
                <c:pt idx="2">
                  <c:v>0.41666666666666663</c:v>
                </c:pt>
                <c:pt idx="3">
                  <c:v>0.77850877192982448</c:v>
                </c:pt>
                <c:pt idx="4">
                  <c:v>1.2719298245614035</c:v>
                </c:pt>
                <c:pt idx="5">
                  <c:v>1.8859649122807016</c:v>
                </c:pt>
                <c:pt idx="6">
                  <c:v>2.6535087719298245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5A-4241-9269-6A242FF65567}"/>
            </c:ext>
          </c:extLst>
        </c:ser>
        <c:ser>
          <c:idx val="1"/>
          <c:order val="1"/>
          <c:tx>
            <c:strRef>
              <c:f>'FF8 - AFC'!$D$3</c:f>
              <c:strCache>
                <c:ptCount val="1"/>
                <c:pt idx="0">
                  <c:v>Eon (mJ) 125 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108336725289018"/>
                  <c:y val="0.115713326989993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-8E-06x</a:t>
                    </a:r>
                    <a:r>
                      <a:rPr lang="en-US" baseline="30000">
                        <a:solidFill>
                          <a:schemeClr val="accent2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chemeClr val="accent2"/>
                        </a:solidFill>
                      </a:rPr>
                      <a:t> + 0.0126x + 0.4001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'FF8 - AFC'!$B$4:$B$10</c:f>
              <c:numCache>
                <c:formatCode>General</c:formatCode>
                <c:ptCount val="7"/>
                <c:pt idx="0">
                  <c:v>18.07909604519774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'FF8 - AFC'!$D$4:$D$10</c:f>
              <c:numCache>
                <c:formatCode>General</c:formatCode>
                <c:ptCount val="7"/>
                <c:pt idx="0">
                  <c:v>0.61403508771929816</c:v>
                </c:pt>
                <c:pt idx="1">
                  <c:v>1.0307017543859649</c:v>
                </c:pt>
                <c:pt idx="2">
                  <c:v>1.5789473684210527</c:v>
                </c:pt>
                <c:pt idx="3">
                  <c:v>2.1271929824561404</c:v>
                </c:pt>
                <c:pt idx="4">
                  <c:v>2.6206140350877192</c:v>
                </c:pt>
                <c:pt idx="5">
                  <c:v>3.070175438596491</c:v>
                </c:pt>
                <c:pt idx="6">
                  <c:v>3.5087719298245612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5A-4241-9269-6A242FF65567}"/>
            </c:ext>
          </c:extLst>
        </c:ser>
        <c:ser>
          <c:idx val="2"/>
          <c:order val="2"/>
          <c:tx>
            <c:strRef>
              <c:f>'FF8 - AFC'!$E$3</c:f>
              <c:strCache>
                <c:ptCount val="1"/>
                <c:pt idx="0">
                  <c:v>Eoff (mJ) 150 deg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'FF8 - AFC'!$B$4:$B$10</c:f>
              <c:numCache>
                <c:formatCode>General</c:formatCode>
                <c:ptCount val="7"/>
                <c:pt idx="0">
                  <c:v>18.07909604519774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'FF8 - AFC'!$E$4:$E$10</c:f>
              <c:numCache>
                <c:formatCode>General</c:formatCode>
                <c:ptCount val="7"/>
                <c:pt idx="0">
                  <c:v>0.6578947368421052</c:v>
                </c:pt>
                <c:pt idx="1">
                  <c:v>1.0745614035087718</c:v>
                </c:pt>
                <c:pt idx="2">
                  <c:v>1.6666666666666665</c:v>
                </c:pt>
                <c:pt idx="3">
                  <c:v>2.2149122807017543</c:v>
                </c:pt>
                <c:pt idx="4">
                  <c:v>2.7192982456140351</c:v>
                </c:pt>
                <c:pt idx="5">
                  <c:v>3.2017543859649122</c:v>
                </c:pt>
                <c:pt idx="6">
                  <c:v>3.6293859649122804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5A-4241-9269-6A242FF6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582687"/>
        <c:axId val="2052925951"/>
      </c:scatterChart>
      <c:valAx>
        <c:axId val="93758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25951"/>
        <c:crosses val="autoZero"/>
        <c:crossBetween val="midCat"/>
      </c:valAx>
      <c:valAx>
        <c:axId val="20529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8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514350</xdr:colOff>
      <xdr:row>3</xdr:row>
      <xdr:rowOff>16247</xdr:rowOff>
    </xdr:from>
    <xdr:ext cx="2221057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A0D8B24-D820-4B71-B3EC-3EB18DFF78D5}"/>
                </a:ext>
              </a:extLst>
            </xdr:cNvPr>
            <xdr:cNvSpPr txBox="1"/>
          </xdr:nvSpPr>
          <xdr:spPr>
            <a:xfrm>
              <a:off x="6657975" y="606797"/>
              <a:ext cx="2221057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V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outP</m:t>
                                </m:r>
                              </m:sub>
                            </m:s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−1.44</m:t>
                            </m:r>
                          </m:e>
                        </m:d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x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4490.8)</m:t>
                        </m:r>
                      </m:num>
                      <m:den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A0D8B24-D820-4B71-B3EC-3EB18DFF78D5}"/>
                </a:ext>
              </a:extLst>
            </xdr:cNvPr>
            <xdr:cNvSpPr txBox="1"/>
          </xdr:nvSpPr>
          <xdr:spPr>
            <a:xfrm>
              <a:off x="6657975" y="606797"/>
              <a:ext cx="2221057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IN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V𝐴𝐶</a:t>
              </a:r>
              <a:r>
                <a:rPr lang="en-IN" sz="1100" b="0" i="0">
                  <a:latin typeface="Cambria Math" panose="02040503050406030204" pitchFamily="18" charset="0"/>
                </a:rPr>
                <a:t>〗_(</a:t>
              </a:r>
              <a:r>
                <a:rPr lang="en-US" sz="1100" b="0" i="0">
                  <a:latin typeface="Cambria Math" panose="02040503050406030204" pitchFamily="18" charset="0"/>
                </a:rPr>
                <a:t>𝐿−𝐿</a:t>
              </a:r>
              <a:r>
                <a:rPr lang="en-IN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V_outP−1.44)  x  (4490.8))/4.1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9</xdr:col>
      <xdr:colOff>87406</xdr:colOff>
      <xdr:row>4</xdr:row>
      <xdr:rowOff>195541</xdr:rowOff>
    </xdr:from>
    <xdr:ext cx="2003369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8852F67-4FEA-4E3C-AB0D-8075C17713FE}"/>
                </a:ext>
              </a:extLst>
            </xdr:cNvPr>
            <xdr:cNvSpPr txBox="1"/>
          </xdr:nvSpPr>
          <xdr:spPr>
            <a:xfrm>
              <a:off x="6840631" y="986116"/>
              <a:ext cx="2003369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DC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outN</m:t>
                                </m:r>
                              </m:sub>
                            </m:s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1.44</m:t>
                            </m:r>
                          </m:e>
                        </m:d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x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(4490.8)</m:t>
                        </m:r>
                      </m:num>
                      <m:den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8852F67-4FEA-4E3C-AB0D-8075C17713FE}"/>
                </a:ext>
              </a:extLst>
            </xdr:cNvPr>
            <xdr:cNvSpPr txBox="1"/>
          </xdr:nvSpPr>
          <xdr:spPr>
            <a:xfrm>
              <a:off x="6840631" y="986116"/>
              <a:ext cx="2003369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DC=((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V_outN−1.44)  x  (4490.8))/(−4.1)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9</xdr:col>
      <xdr:colOff>130948</xdr:colOff>
      <xdr:row>6</xdr:row>
      <xdr:rowOff>147676</xdr:rowOff>
    </xdr:from>
    <xdr:ext cx="1447383" cy="327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30EFCA1-1AA4-4FC6-8C38-47FB85A16F31}"/>
                </a:ext>
              </a:extLst>
            </xdr:cNvPr>
            <xdr:cNvSpPr txBox="1"/>
          </xdr:nvSpPr>
          <xdr:spPr>
            <a:xfrm>
              <a:off x="6884173" y="1338301"/>
              <a:ext cx="1447383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DC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𝐷𝑖𝑓𝑓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x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 (4490.8)</m:t>
                        </m:r>
                      </m:num>
                      <m:den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8.2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30EFCA1-1AA4-4FC6-8C38-47FB85A16F31}"/>
                </a:ext>
              </a:extLst>
            </xdr:cNvPr>
            <xdr:cNvSpPr txBox="1"/>
          </xdr:nvSpPr>
          <xdr:spPr>
            <a:xfrm>
              <a:off x="6884173" y="1338301"/>
              <a:ext cx="1447383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DC=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V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_𝐷𝑖𝑓𝑓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x  (4490.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8))/8.2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8</xdr:col>
      <xdr:colOff>1174025</xdr:colOff>
      <xdr:row>13</xdr:row>
      <xdr:rowOff>39956</xdr:rowOff>
    </xdr:from>
    <xdr:ext cx="1926618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B9DB808-40B8-45F7-9268-9206AEA4FA1F}"/>
                </a:ext>
              </a:extLst>
            </xdr:cNvPr>
            <xdr:cNvSpPr txBox="1"/>
          </xdr:nvSpPr>
          <xdr:spPr>
            <a:xfrm>
              <a:off x="6755675" y="2811731"/>
              <a:ext cx="1926618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diff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o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_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</m:t>
                            </m:r>
                          </m:sub>
                        </m:s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VCM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VOS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GAIN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B9DB808-40B8-45F7-9268-9206AEA4FA1F}"/>
                </a:ext>
              </a:extLst>
            </xdr:cNvPr>
            <xdr:cNvSpPr txBox="1"/>
          </xdr:nvSpPr>
          <xdr:spPr>
            <a:xfrm>
              <a:off x="6755675" y="2811731"/>
              <a:ext cx="1926618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diff=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o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𝑢𝑡_𝑆𝐸)−VCM −VOS))/GAIN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9</xdr:col>
      <xdr:colOff>38100</xdr:colOff>
      <xdr:row>20</xdr:row>
      <xdr:rowOff>111497</xdr:rowOff>
    </xdr:from>
    <xdr:ext cx="2049535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20E1B2B-3C41-409E-98FF-48B6C5924828}"/>
                </a:ext>
              </a:extLst>
            </xdr:cNvPr>
            <xdr:cNvSpPr txBox="1"/>
          </xdr:nvSpPr>
          <xdr:spPr>
            <a:xfrm>
              <a:off x="6791325" y="4454897"/>
              <a:ext cx="2049535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DC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outP</m:t>
                                </m:r>
                              </m:sub>
                            </m:s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−1.44</m:t>
                            </m:r>
                          </m:e>
                        </m:d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x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 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615.75)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0.4764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20E1B2B-3C41-409E-98FF-48B6C5924828}"/>
                </a:ext>
              </a:extLst>
            </xdr:cNvPr>
            <xdr:cNvSpPr txBox="1"/>
          </xdr:nvSpPr>
          <xdr:spPr>
            <a:xfrm>
              <a:off x="6791325" y="4454897"/>
              <a:ext cx="2049535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DC=((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V_outP−1.44)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x  (615.75)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))/0.4764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9</xdr:col>
      <xdr:colOff>87406</xdr:colOff>
      <xdr:row>22</xdr:row>
      <xdr:rowOff>243166</xdr:rowOff>
    </xdr:from>
    <xdr:ext cx="2003369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00F0F27-8FEC-4559-AE9B-69F822244563}"/>
                </a:ext>
              </a:extLst>
            </xdr:cNvPr>
            <xdr:cNvSpPr txBox="1"/>
          </xdr:nvSpPr>
          <xdr:spPr>
            <a:xfrm>
              <a:off x="6840631" y="4938991"/>
              <a:ext cx="2003369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DC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outN</m:t>
                                </m:r>
                              </m:sub>
                            </m:s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1.44</m:t>
                            </m:r>
                          </m:e>
                        </m:d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x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(615.75)</m:t>
                        </m:r>
                      </m:num>
                      <m:den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−0.5231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00F0F27-8FEC-4559-AE9B-69F822244563}"/>
                </a:ext>
              </a:extLst>
            </xdr:cNvPr>
            <xdr:cNvSpPr txBox="1"/>
          </xdr:nvSpPr>
          <xdr:spPr>
            <a:xfrm>
              <a:off x="6840631" y="4938991"/>
              <a:ext cx="2003369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DC=((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V_outN−1.44)  x  (615.75))/(−0.5231)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9</xdr:col>
      <xdr:colOff>103734</xdr:colOff>
      <xdr:row>25</xdr:row>
      <xdr:rowOff>161283</xdr:rowOff>
    </xdr:from>
    <xdr:ext cx="147604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8100676-A845-4793-95DA-228C87F441DD}"/>
                </a:ext>
              </a:extLst>
            </xdr:cNvPr>
            <xdr:cNvSpPr txBox="1"/>
          </xdr:nvSpPr>
          <xdr:spPr>
            <a:xfrm>
              <a:off x="6856959" y="5504808"/>
              <a:ext cx="1476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DC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𝑉𝑑𝑖𝑓𝑓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∗615.75</m:t>
                        </m:r>
                      </m:e>
                    </m:d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8100676-A845-4793-95DA-228C87F441DD}"/>
                </a:ext>
              </a:extLst>
            </xdr:cNvPr>
            <xdr:cNvSpPr txBox="1"/>
          </xdr:nvSpPr>
          <xdr:spPr>
            <a:xfrm>
              <a:off x="6856959" y="5504808"/>
              <a:ext cx="14760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DC=(𝑉𝑑𝑖𝑓𝑓∗615.75)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8</xdr:col>
      <xdr:colOff>1164500</xdr:colOff>
      <xdr:row>31</xdr:row>
      <xdr:rowOff>39956</xdr:rowOff>
    </xdr:from>
    <xdr:ext cx="1416863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6555620-A6D0-421F-9E9B-573FD910A0BF}"/>
                </a:ext>
              </a:extLst>
            </xdr:cNvPr>
            <xdr:cNvSpPr txBox="1"/>
          </xdr:nvSpPr>
          <xdr:spPr>
            <a:xfrm>
              <a:off x="6755675" y="6574106"/>
              <a:ext cx="141686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diff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o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_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</m:t>
                            </m:r>
                          </m:sub>
                        </m:s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VOS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GAIN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6555620-A6D0-421F-9E9B-573FD910A0BF}"/>
                </a:ext>
              </a:extLst>
            </xdr:cNvPr>
            <xdr:cNvSpPr txBox="1"/>
          </xdr:nvSpPr>
          <xdr:spPr>
            <a:xfrm>
              <a:off x="6755675" y="6574106"/>
              <a:ext cx="1416863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diff=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o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𝑢𝑡_𝑆𝐸)  −VOS))/GAIN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9</xdr:col>
      <xdr:colOff>28575</xdr:colOff>
      <xdr:row>38</xdr:row>
      <xdr:rowOff>111497</xdr:rowOff>
    </xdr:from>
    <xdr:ext cx="1681999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0757C7C-92A1-4768-8028-A349AA856A9B}"/>
                </a:ext>
              </a:extLst>
            </xdr:cNvPr>
            <xdr:cNvSpPr txBox="1"/>
          </xdr:nvSpPr>
          <xdr:spPr>
            <a:xfrm>
              <a:off x="6781800" y="8036297"/>
              <a:ext cx="1681999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I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Ph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𝑎𝑠𝑒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outP</m:t>
                                </m:r>
                              </m:sub>
                            </m:s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−1.44</m:t>
                            </m:r>
                          </m:e>
                        </m:d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∗0.5∗10^−3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0757C7C-92A1-4768-8028-A349AA856A9B}"/>
                </a:ext>
              </a:extLst>
            </xdr:cNvPr>
            <xdr:cNvSpPr txBox="1"/>
          </xdr:nvSpPr>
          <xdr:spPr>
            <a:xfrm>
              <a:off x="6781800" y="8036297"/>
              <a:ext cx="1681999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I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Ph𝑎𝑠𝑒=((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V_outP−1.44)  )/(4.1∗0.5∗10^−3)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9</xdr:col>
      <xdr:colOff>103734</xdr:colOff>
      <xdr:row>43</xdr:row>
      <xdr:rowOff>161283</xdr:rowOff>
    </xdr:from>
    <xdr:ext cx="168199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F3E926F-AB9C-4CC7-9E3A-0278EB1DDB06}"/>
                </a:ext>
              </a:extLst>
            </xdr:cNvPr>
            <xdr:cNvSpPr txBox="1"/>
          </xdr:nvSpPr>
          <xdr:spPr>
            <a:xfrm>
              <a:off x="6856959" y="9086208"/>
              <a:ext cx="168199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Ph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𝑎𝑠𝑒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𝑉𝑑𝑖𝑓𝑓</m:t>
                        </m:r>
                      </m:num>
                      <m:den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2∗0.5∗10^−3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F3E926F-AB9C-4CC7-9E3A-0278EB1DDB06}"/>
                </a:ext>
              </a:extLst>
            </xdr:cNvPr>
            <xdr:cNvSpPr txBox="1"/>
          </xdr:nvSpPr>
          <xdr:spPr>
            <a:xfrm>
              <a:off x="6856959" y="9086208"/>
              <a:ext cx="168199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Ph𝑎𝑠𝑒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𝑉𝑑𝑖𝑓𝑓/(8.2∗0.5∗10^−3)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9</xdr:col>
      <xdr:colOff>45983</xdr:colOff>
      <xdr:row>40</xdr:row>
      <xdr:rowOff>151087</xdr:rowOff>
    </xdr:from>
    <xdr:ext cx="1787412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241898A-6060-47F1-AE6A-87572539C9B2}"/>
                </a:ext>
              </a:extLst>
            </xdr:cNvPr>
            <xdr:cNvSpPr txBox="1"/>
          </xdr:nvSpPr>
          <xdr:spPr>
            <a:xfrm>
              <a:off x="6799208" y="8475937"/>
              <a:ext cx="1787412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I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Ph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𝑎𝑠𝑒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out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𝑁</m:t>
                                </m:r>
                              </m:sub>
                            </m:s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−1.44</m:t>
                            </m:r>
                          </m:e>
                        </m:d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−4.1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∗0.5∗10^−3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241898A-6060-47F1-AE6A-87572539C9B2}"/>
                </a:ext>
              </a:extLst>
            </xdr:cNvPr>
            <xdr:cNvSpPr txBox="1"/>
          </xdr:nvSpPr>
          <xdr:spPr>
            <a:xfrm>
              <a:off x="6799208" y="8475937"/>
              <a:ext cx="1787412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I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Ph𝑎𝑠𝑒=((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V_out𝑁−1.44)  )/(−4.1∗0.5∗10^−3)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8</xdr:col>
      <xdr:colOff>1174025</xdr:colOff>
      <xdr:row>49</xdr:row>
      <xdr:rowOff>39956</xdr:rowOff>
    </xdr:from>
    <xdr:ext cx="1926618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679B63F-393B-4CFE-BBA0-1C920A0BED6B}"/>
                </a:ext>
              </a:extLst>
            </xdr:cNvPr>
            <xdr:cNvSpPr txBox="1"/>
          </xdr:nvSpPr>
          <xdr:spPr>
            <a:xfrm>
              <a:off x="6755675" y="10165031"/>
              <a:ext cx="1926618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diff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o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_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</m:t>
                            </m:r>
                          </m:sub>
                        </m:s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VCM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VOS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GAIN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679B63F-393B-4CFE-BBA0-1C920A0BED6B}"/>
                </a:ext>
              </a:extLst>
            </xdr:cNvPr>
            <xdr:cNvSpPr txBox="1"/>
          </xdr:nvSpPr>
          <xdr:spPr>
            <a:xfrm>
              <a:off x="6755675" y="10165031"/>
              <a:ext cx="1926618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diff=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o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𝑢𝑡_𝑆𝐸)−VCM −VOS))/GAIN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9</xdr:col>
      <xdr:colOff>28575</xdr:colOff>
      <xdr:row>56</xdr:row>
      <xdr:rowOff>111497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6981F03-E278-40B5-AC8D-1874723F5CAC}"/>
            </a:ext>
          </a:extLst>
        </xdr:cNvPr>
        <xdr:cNvSpPr txBox="1"/>
      </xdr:nvSpPr>
      <xdr:spPr>
        <a:xfrm>
          <a:off x="6781800" y="116272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 i="0"/>
        </a:p>
      </xdr:txBody>
    </xdr:sp>
    <xdr:clientData/>
  </xdr:oneCellAnchor>
  <xdr:oneCellAnchor>
    <xdr:from>
      <xdr:col>9</xdr:col>
      <xdr:colOff>103734</xdr:colOff>
      <xdr:row>61</xdr:row>
      <xdr:rowOff>161283</xdr:rowOff>
    </xdr:from>
    <xdr:ext cx="943592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6E901C6-DC33-4C6B-8C00-A83A6D9F690C}"/>
                </a:ext>
              </a:extLst>
            </xdr:cNvPr>
            <xdr:cNvSpPr txBox="1"/>
          </xdr:nvSpPr>
          <xdr:spPr>
            <a:xfrm>
              <a:off x="6856959" y="12677133"/>
              <a:ext cx="943592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Ph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𝑎𝑠𝑒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𝑉𝑑𝑖𝑓𝑓</m:t>
                        </m:r>
                      </m:num>
                      <m:den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0.02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C6E901C6-DC33-4C6B-8C00-A83A6D9F690C}"/>
                </a:ext>
              </a:extLst>
            </xdr:cNvPr>
            <xdr:cNvSpPr txBox="1"/>
          </xdr:nvSpPr>
          <xdr:spPr>
            <a:xfrm>
              <a:off x="6856959" y="12677133"/>
              <a:ext cx="943592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Ph𝑎𝑠𝑒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𝑉𝑑𝑖𝑓𝑓/0.02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9</xdr:col>
      <xdr:colOff>93608</xdr:colOff>
      <xdr:row>58</xdr:row>
      <xdr:rowOff>427312</xdr:rowOff>
    </xdr:from>
    <xdr:ext cx="1316899" cy="328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FBF6819-B6A3-4A5D-9BDF-E8745572056B}"/>
                </a:ext>
              </a:extLst>
            </xdr:cNvPr>
            <xdr:cNvSpPr txBox="1"/>
          </xdr:nvSpPr>
          <xdr:spPr>
            <a:xfrm>
              <a:off x="6846833" y="12114487"/>
              <a:ext cx="1316899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I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𝐿𝐸𝐺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REF</m:t>
                                </m:r>
                              </m:sub>
                            </m:s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+1.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65</m:t>
                            </m:r>
                          </m:e>
                        </m:d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0.01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FBF6819-B6A3-4A5D-9BDF-E8745572056B}"/>
                </a:ext>
              </a:extLst>
            </xdr:cNvPr>
            <xdr:cNvSpPr txBox="1"/>
          </xdr:nvSpPr>
          <xdr:spPr>
            <a:xfrm>
              <a:off x="6846833" y="12114487"/>
              <a:ext cx="1316899" cy="328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𝐿𝐸𝐺</a:t>
              </a:r>
              <a:r>
                <a:rPr lang="en-US" sz="1100" b="0" i="0">
                  <a:latin typeface="Cambria Math" panose="02040503050406030204" pitchFamily="18" charset="0"/>
                </a:rPr>
                <a:t>=((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V_REF+1.65)  )/0.01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9</xdr:col>
      <xdr:colOff>3727</xdr:colOff>
      <xdr:row>56</xdr:row>
      <xdr:rowOff>235736</xdr:rowOff>
    </xdr:from>
    <xdr:ext cx="1470018" cy="328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BBA5F70-01B2-484B-A9B6-40A277AE605F}"/>
                </a:ext>
              </a:extLst>
            </xdr:cNvPr>
            <xdr:cNvSpPr txBox="1"/>
          </xdr:nvSpPr>
          <xdr:spPr>
            <a:xfrm>
              <a:off x="6756952" y="11713361"/>
              <a:ext cx="1470018" cy="328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I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𝐿𝐸𝐺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AOUT</m:t>
                                </m:r>
                              </m:sub>
                            </m:sSub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1.65</m:t>
                            </m:r>
                          </m:e>
                        </m:d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0.01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BBA5F70-01B2-484B-A9B6-40A277AE605F}"/>
                </a:ext>
              </a:extLst>
            </xdr:cNvPr>
            <xdr:cNvSpPr txBox="1"/>
          </xdr:nvSpPr>
          <xdr:spPr>
            <a:xfrm>
              <a:off x="6756952" y="11713361"/>
              <a:ext cx="1470018" cy="328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I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𝐿𝐸𝐺=((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V_AOUT−1.65)    )/"0.01" 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8</xdr:col>
      <xdr:colOff>1174025</xdr:colOff>
      <xdr:row>67</xdr:row>
      <xdr:rowOff>39956</xdr:rowOff>
    </xdr:from>
    <xdr:ext cx="1926618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4057FE7-18B3-4981-B1FF-7EAB65621B71}"/>
                </a:ext>
              </a:extLst>
            </xdr:cNvPr>
            <xdr:cNvSpPr txBox="1"/>
          </xdr:nvSpPr>
          <xdr:spPr>
            <a:xfrm>
              <a:off x="6755675" y="13755956"/>
              <a:ext cx="1926618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diff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o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_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</m:t>
                            </m:r>
                          </m:sub>
                        </m:s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VCM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VOS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GAIN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4057FE7-18B3-4981-B1FF-7EAB65621B71}"/>
                </a:ext>
              </a:extLst>
            </xdr:cNvPr>
            <xdr:cNvSpPr txBox="1"/>
          </xdr:nvSpPr>
          <xdr:spPr>
            <a:xfrm>
              <a:off x="6755675" y="13755956"/>
              <a:ext cx="1926618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diff=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o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𝑢𝑡_𝑆𝐸)−VCM −VOS))/GAIN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9</xdr:col>
      <xdr:colOff>28575</xdr:colOff>
      <xdr:row>73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C8BF88B-4F60-43FD-ADCD-206F217EE391}"/>
            </a:ext>
          </a:extLst>
        </xdr:cNvPr>
        <xdr:cNvSpPr txBox="1"/>
      </xdr:nvSpPr>
      <xdr:spPr>
        <a:xfrm>
          <a:off x="6781800" y="149066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 i="0"/>
        </a:p>
      </xdr:txBody>
    </xdr:sp>
    <xdr:clientData/>
  </xdr:oneCellAnchor>
  <xdr:oneCellAnchor>
    <xdr:from>
      <xdr:col>10</xdr:col>
      <xdr:colOff>1174025</xdr:colOff>
      <xdr:row>82</xdr:row>
      <xdr:rowOff>39956</xdr:rowOff>
    </xdr:from>
    <xdr:ext cx="1926618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F8E15FD-F3DB-4369-B72B-CCBCF4B3047D}"/>
                </a:ext>
              </a:extLst>
            </xdr:cNvPr>
            <xdr:cNvSpPr txBox="1"/>
          </xdr:nvSpPr>
          <xdr:spPr>
            <a:xfrm>
              <a:off x="7974875" y="16699181"/>
              <a:ext cx="1926618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diff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o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_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</m:t>
                            </m:r>
                          </m:sub>
                        </m:s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VCM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VOS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GAIN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F8E15FD-F3DB-4369-B72B-CCBCF4B3047D}"/>
                </a:ext>
              </a:extLst>
            </xdr:cNvPr>
            <xdr:cNvSpPr txBox="1"/>
          </xdr:nvSpPr>
          <xdr:spPr>
            <a:xfrm>
              <a:off x="7974875" y="16699181"/>
              <a:ext cx="1926618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diff=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o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𝑢𝑡_𝑆𝐸)−VCM −VOS))/GAIN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10</xdr:col>
      <xdr:colOff>1174025</xdr:colOff>
      <xdr:row>95</xdr:row>
      <xdr:rowOff>39956</xdr:rowOff>
    </xdr:from>
    <xdr:ext cx="1926618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061DFDC-40D1-4145-A283-55ABEBF84A6C}"/>
                </a:ext>
              </a:extLst>
            </xdr:cNvPr>
            <xdr:cNvSpPr txBox="1"/>
          </xdr:nvSpPr>
          <xdr:spPr>
            <a:xfrm>
              <a:off x="7974875" y="19604306"/>
              <a:ext cx="1926618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diff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o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_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</m:t>
                            </m:r>
                          </m:sub>
                        </m:s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VCM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VOS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GAIN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061DFDC-40D1-4145-A283-55ABEBF84A6C}"/>
                </a:ext>
              </a:extLst>
            </xdr:cNvPr>
            <xdr:cNvSpPr txBox="1"/>
          </xdr:nvSpPr>
          <xdr:spPr>
            <a:xfrm>
              <a:off x="7974875" y="19604306"/>
              <a:ext cx="1926618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diff=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o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𝑢𝑡_𝑆𝐸)−VCM −VOS))/GAIN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10</xdr:col>
      <xdr:colOff>1174025</xdr:colOff>
      <xdr:row>108</xdr:row>
      <xdr:rowOff>39956</xdr:rowOff>
    </xdr:from>
    <xdr:ext cx="1926618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9410AFDE-7431-4D14-B9E4-5453DFE5515B}"/>
                </a:ext>
              </a:extLst>
            </xdr:cNvPr>
            <xdr:cNvSpPr txBox="1"/>
          </xdr:nvSpPr>
          <xdr:spPr>
            <a:xfrm>
              <a:off x="7974875" y="22518956"/>
              <a:ext cx="1926618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diff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o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_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</m:t>
                            </m:r>
                          </m:sub>
                        </m:s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VCM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VOS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GAIN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9410AFDE-7431-4D14-B9E4-5453DFE5515B}"/>
                </a:ext>
              </a:extLst>
            </xdr:cNvPr>
            <xdr:cNvSpPr txBox="1"/>
          </xdr:nvSpPr>
          <xdr:spPr>
            <a:xfrm>
              <a:off x="7974875" y="22518956"/>
              <a:ext cx="1926618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diff=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o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𝑢𝑡_𝑆𝐸)−VCM −VOS))/GAIN</a:t>
              </a:r>
              <a:endParaRPr lang="en-IN" sz="1100" i="0"/>
            </a:p>
          </xdr:txBody>
        </xdr:sp>
      </mc:Fallback>
    </mc:AlternateContent>
    <xdr:clientData/>
  </xdr:oneCellAnchor>
  <xdr:oneCellAnchor>
    <xdr:from>
      <xdr:col>10</xdr:col>
      <xdr:colOff>1174025</xdr:colOff>
      <xdr:row>123</xdr:row>
      <xdr:rowOff>39956</xdr:rowOff>
    </xdr:from>
    <xdr:ext cx="1926618" cy="3224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227C9166-80D4-4561-ACFE-BD632CE9D0ED}"/>
                </a:ext>
              </a:extLst>
            </xdr:cNvPr>
            <xdr:cNvSpPr txBox="1"/>
          </xdr:nvSpPr>
          <xdr:spPr>
            <a:xfrm>
              <a:off x="7974875" y="22518956"/>
              <a:ext cx="1926618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diff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o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_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𝑆𝐸</m:t>
                            </m:r>
                          </m:sub>
                        </m:sSub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VCM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VOS</m:t>
                        </m:r>
                        <m: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GAIN</m:t>
                        </m:r>
                      </m:den>
                    </m:f>
                  </m:oMath>
                </m:oMathPara>
              </a14:m>
              <a:endParaRPr lang="en-IN" sz="1100" i="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227C9166-80D4-4561-ACFE-BD632CE9D0ED}"/>
                </a:ext>
              </a:extLst>
            </xdr:cNvPr>
            <xdr:cNvSpPr txBox="1"/>
          </xdr:nvSpPr>
          <xdr:spPr>
            <a:xfrm>
              <a:off x="7974875" y="22518956"/>
              <a:ext cx="1926618" cy="3224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V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diff=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o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𝑢𝑡_𝑆𝐸)−VCM −VOS))/GAIN</a:t>
              </a:r>
              <a:endParaRPr lang="en-IN" sz="1100" i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4</xdr:row>
      <xdr:rowOff>57149</xdr:rowOff>
    </xdr:from>
    <xdr:to>
      <xdr:col>11</xdr:col>
      <xdr:colOff>581025</xdr:colOff>
      <xdr:row>9</xdr:row>
      <xdr:rowOff>123824</xdr:rowOff>
    </xdr:to>
    <xdr:pic>
      <xdr:nvPicPr>
        <xdr:cNvPr id="2" name="Picture 1" descr="f3c32564-8fba-4bdf-b0a9-260efea084f7">
          <a:extLst>
            <a:ext uri="{FF2B5EF4-FFF2-40B4-BE49-F238E27FC236}">
              <a16:creationId xmlns:a16="http://schemas.microsoft.com/office/drawing/2014/main" id="{3D05C39A-FA01-4034-9F74-F32E345B7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819149"/>
          <a:ext cx="4191000" cy="10382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7</xdr:row>
      <xdr:rowOff>179070</xdr:rowOff>
    </xdr:from>
    <xdr:to>
      <xdr:col>13</xdr:col>
      <xdr:colOff>495300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E95E3-82B4-4F0A-A7AC-6B7024962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1</xdr:row>
      <xdr:rowOff>26670</xdr:rowOff>
    </xdr:from>
    <xdr:to>
      <xdr:col>14</xdr:col>
      <xdr:colOff>15240</xdr:colOff>
      <xdr:row>26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90D2E6-31A4-4E56-956A-1ECC243CE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335280</xdr:rowOff>
    </xdr:from>
    <xdr:to>
      <xdr:col>14</xdr:col>
      <xdr:colOff>541020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82A67-38EA-4929-8B7B-4742F2EEB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topLeftCell="C1" workbookViewId="0">
      <selection activeCell="I18" sqref="I18"/>
    </sheetView>
  </sheetViews>
  <sheetFormatPr defaultRowHeight="15" x14ac:dyDescent="0.25"/>
  <cols>
    <col min="1" max="1" width="12.140625" style="3" customWidth="1"/>
    <col min="2" max="2" width="15.7109375" customWidth="1"/>
    <col min="3" max="3" width="12.85546875" style="5" customWidth="1"/>
    <col min="4" max="4" width="12.85546875" style="5" hidden="1" customWidth="1"/>
    <col min="5" max="6" width="28.140625" style="6" customWidth="1"/>
    <col min="7" max="7" width="27.42578125" customWidth="1"/>
    <col min="8" max="10" width="12.85546875" style="3" customWidth="1"/>
    <col min="11" max="11" width="12.85546875" style="5" customWidth="1"/>
    <col min="12" max="12" width="26" customWidth="1"/>
    <col min="13" max="13" width="9.140625" customWidth="1"/>
    <col min="14" max="14" width="38.28515625" customWidth="1"/>
  </cols>
  <sheetData>
    <row r="1" spans="1:14" x14ac:dyDescent="0.25">
      <c r="A1" s="115" t="s">
        <v>153</v>
      </c>
      <c r="B1" s="115"/>
      <c r="C1" s="115"/>
      <c r="D1" s="115"/>
      <c r="E1" s="115"/>
      <c r="F1" s="103"/>
      <c r="G1" s="1"/>
      <c r="H1" s="114" t="s">
        <v>154</v>
      </c>
      <c r="I1" s="114"/>
      <c r="J1" s="114"/>
      <c r="K1" s="114"/>
      <c r="L1" s="114"/>
    </row>
    <row r="2" spans="1:14" ht="30" x14ac:dyDescent="0.25">
      <c r="A2" s="18" t="s">
        <v>96</v>
      </c>
      <c r="B2" s="19" t="s">
        <v>98</v>
      </c>
      <c r="C2" s="20" t="s">
        <v>97</v>
      </c>
      <c r="D2" s="11" t="s">
        <v>148</v>
      </c>
      <c r="E2" s="11" t="s">
        <v>99</v>
      </c>
      <c r="F2" s="107"/>
      <c r="H2" s="21" t="s">
        <v>151</v>
      </c>
      <c r="I2" s="21"/>
      <c r="J2" s="19" t="s">
        <v>98</v>
      </c>
      <c r="K2" s="20" t="s">
        <v>97</v>
      </c>
      <c r="L2" s="20" t="s">
        <v>99</v>
      </c>
    </row>
    <row r="3" spans="1:14" x14ac:dyDescent="0.25">
      <c r="A3" s="2">
        <v>0</v>
      </c>
      <c r="B3" s="1" t="s">
        <v>0</v>
      </c>
      <c r="C3" s="1" t="s">
        <v>60</v>
      </c>
      <c r="D3" s="4" t="s">
        <v>149</v>
      </c>
      <c r="E3" s="8" t="s">
        <v>100</v>
      </c>
      <c r="F3" s="108"/>
      <c r="H3" s="112">
        <v>0</v>
      </c>
      <c r="I3" s="104" t="s">
        <v>338</v>
      </c>
      <c r="J3" s="1" t="s">
        <v>0</v>
      </c>
      <c r="K3" s="1" t="s">
        <v>60</v>
      </c>
      <c r="L3" s="8" t="s">
        <v>100</v>
      </c>
      <c r="M3" t="s">
        <v>152</v>
      </c>
    </row>
    <row r="4" spans="1:14" x14ac:dyDescent="0.25">
      <c r="A4" s="2">
        <v>1</v>
      </c>
      <c r="B4" s="1" t="s">
        <v>4</v>
      </c>
      <c r="C4" s="1" t="s">
        <v>61</v>
      </c>
      <c r="D4" s="4" t="s">
        <v>149</v>
      </c>
      <c r="E4" s="8" t="s">
        <v>101</v>
      </c>
      <c r="F4" s="108"/>
      <c r="H4" s="112">
        <v>1</v>
      </c>
      <c r="I4" s="104" t="s">
        <v>340</v>
      </c>
      <c r="J4" s="1" t="s">
        <v>4</v>
      </c>
      <c r="K4" s="1" t="s">
        <v>61</v>
      </c>
      <c r="L4" s="8" t="s">
        <v>101</v>
      </c>
      <c r="M4" t="s">
        <v>152</v>
      </c>
    </row>
    <row r="5" spans="1:14" x14ac:dyDescent="0.25">
      <c r="A5" s="2">
        <v>2</v>
      </c>
      <c r="B5" s="1" t="s">
        <v>5</v>
      </c>
      <c r="C5" s="1" t="s">
        <v>62</v>
      </c>
      <c r="D5" s="4" t="s">
        <v>149</v>
      </c>
      <c r="E5" s="8" t="s">
        <v>102</v>
      </c>
      <c r="F5" s="108"/>
      <c r="H5" s="112">
        <v>2</v>
      </c>
      <c r="I5" s="104" t="s">
        <v>341</v>
      </c>
      <c r="J5" s="1" t="s">
        <v>5</v>
      </c>
      <c r="K5" s="1" t="s">
        <v>62</v>
      </c>
      <c r="L5" s="8" t="s">
        <v>102</v>
      </c>
      <c r="M5" t="s">
        <v>152</v>
      </c>
    </row>
    <row r="6" spans="1:14" x14ac:dyDescent="0.25">
      <c r="A6" s="2">
        <v>3</v>
      </c>
      <c r="B6" s="1" t="s">
        <v>6</v>
      </c>
      <c r="C6" s="1" t="s">
        <v>63</v>
      </c>
      <c r="D6" s="4" t="s">
        <v>149</v>
      </c>
      <c r="E6" s="8" t="s">
        <v>103</v>
      </c>
      <c r="F6" s="108"/>
      <c r="H6" s="112">
        <v>3</v>
      </c>
      <c r="I6" s="104" t="s">
        <v>342</v>
      </c>
      <c r="J6" s="1" t="s">
        <v>6</v>
      </c>
      <c r="K6" s="1" t="s">
        <v>63</v>
      </c>
      <c r="L6" s="8" t="s">
        <v>103</v>
      </c>
      <c r="M6" t="s">
        <v>152</v>
      </c>
    </row>
    <row r="7" spans="1:14" x14ac:dyDescent="0.25">
      <c r="A7" s="2">
        <v>4</v>
      </c>
      <c r="B7" s="1" t="s">
        <v>7</v>
      </c>
      <c r="C7" s="1" t="s">
        <v>72</v>
      </c>
      <c r="D7" s="4" t="s">
        <v>149</v>
      </c>
      <c r="E7" s="8" t="s">
        <v>104</v>
      </c>
      <c r="F7" s="108"/>
      <c r="H7" s="112">
        <v>4</v>
      </c>
      <c r="I7" s="104" t="s">
        <v>343</v>
      </c>
      <c r="J7" s="1" t="s">
        <v>22</v>
      </c>
      <c r="K7" s="16" t="s">
        <v>76</v>
      </c>
      <c r="L7" s="8" t="s">
        <v>108</v>
      </c>
      <c r="M7" t="s">
        <v>152</v>
      </c>
      <c r="N7" s="9" t="s">
        <v>147</v>
      </c>
    </row>
    <row r="8" spans="1:14" x14ac:dyDescent="0.25">
      <c r="A8" s="2">
        <v>5</v>
      </c>
      <c r="B8" s="1" t="s">
        <v>8</v>
      </c>
      <c r="C8" s="1" t="s">
        <v>73</v>
      </c>
      <c r="D8" s="4" t="s">
        <v>149</v>
      </c>
      <c r="E8" s="8" t="s">
        <v>105</v>
      </c>
      <c r="F8" s="108"/>
      <c r="H8" s="112">
        <v>5</v>
      </c>
      <c r="I8" s="104" t="s">
        <v>344</v>
      </c>
      <c r="J8" s="1" t="s">
        <v>23</v>
      </c>
      <c r="K8" s="16" t="s">
        <v>77</v>
      </c>
      <c r="L8" s="8" t="s">
        <v>109</v>
      </c>
      <c r="M8" t="s">
        <v>152</v>
      </c>
      <c r="N8" s="9" t="s">
        <v>131</v>
      </c>
    </row>
    <row r="9" spans="1:14" x14ac:dyDescent="0.25">
      <c r="A9" s="2">
        <v>6</v>
      </c>
      <c r="B9" s="1" t="s">
        <v>9</v>
      </c>
      <c r="C9" s="1" t="s">
        <v>74</v>
      </c>
      <c r="D9" s="4" t="s">
        <v>149</v>
      </c>
      <c r="E9" s="8" t="s">
        <v>106</v>
      </c>
      <c r="F9" s="108"/>
      <c r="H9" s="112">
        <v>6</v>
      </c>
      <c r="I9" s="104" t="s">
        <v>345</v>
      </c>
      <c r="J9" s="1" t="s">
        <v>24</v>
      </c>
      <c r="K9" s="16" t="s">
        <v>78</v>
      </c>
      <c r="L9" s="8" t="s">
        <v>110</v>
      </c>
      <c r="M9" t="s">
        <v>152</v>
      </c>
      <c r="N9" s="9" t="s">
        <v>132</v>
      </c>
    </row>
    <row r="10" spans="1:14" x14ac:dyDescent="0.25">
      <c r="A10" s="13">
        <v>7</v>
      </c>
      <c r="B10" s="14" t="s">
        <v>10</v>
      </c>
      <c r="C10" s="17" t="s">
        <v>75</v>
      </c>
      <c r="D10" s="15" t="s">
        <v>149</v>
      </c>
      <c r="E10" s="12" t="s">
        <v>107</v>
      </c>
      <c r="F10" s="109"/>
      <c r="G10" s="104" t="s">
        <v>354</v>
      </c>
      <c r="H10" s="113">
        <v>7</v>
      </c>
      <c r="I10" s="1" t="s">
        <v>7</v>
      </c>
      <c r="J10" s="1" t="s">
        <v>7</v>
      </c>
      <c r="K10" s="1" t="s">
        <v>72</v>
      </c>
      <c r="L10" s="8" t="s">
        <v>104</v>
      </c>
      <c r="M10" t="s">
        <v>152</v>
      </c>
    </row>
    <row r="11" spans="1:14" x14ac:dyDescent="0.25">
      <c r="A11" s="2">
        <v>8</v>
      </c>
      <c r="B11" s="1" t="s">
        <v>22</v>
      </c>
      <c r="C11" s="16" t="s">
        <v>76</v>
      </c>
      <c r="D11" s="4" t="s">
        <v>150</v>
      </c>
      <c r="E11" s="8" t="s">
        <v>108</v>
      </c>
      <c r="F11" s="108"/>
      <c r="G11" s="104" t="s">
        <v>355</v>
      </c>
      <c r="H11" s="112">
        <v>8</v>
      </c>
      <c r="I11" s="1" t="s">
        <v>8</v>
      </c>
      <c r="J11" s="1" t="s">
        <v>8</v>
      </c>
      <c r="K11" s="1" t="s">
        <v>73</v>
      </c>
      <c r="L11" s="8" t="s">
        <v>105</v>
      </c>
      <c r="M11" t="s">
        <v>152</v>
      </c>
    </row>
    <row r="12" spans="1:14" x14ac:dyDescent="0.25">
      <c r="A12" s="2">
        <v>9</v>
      </c>
      <c r="B12" s="1" t="s">
        <v>23</v>
      </c>
      <c r="C12" s="16" t="s">
        <v>77</v>
      </c>
      <c r="D12" s="4" t="s">
        <v>150</v>
      </c>
      <c r="E12" s="8" t="s">
        <v>109</v>
      </c>
      <c r="F12" s="108"/>
      <c r="G12" s="104" t="s">
        <v>356</v>
      </c>
      <c r="H12" s="112">
        <v>9</v>
      </c>
      <c r="I12" s="1" t="s">
        <v>9</v>
      </c>
      <c r="J12" s="1" t="s">
        <v>9</v>
      </c>
      <c r="K12" s="1" t="s">
        <v>74</v>
      </c>
      <c r="L12" s="8" t="s">
        <v>106</v>
      </c>
      <c r="M12" t="s">
        <v>152</v>
      </c>
    </row>
    <row r="13" spans="1:14" x14ac:dyDescent="0.25">
      <c r="A13" s="2">
        <v>10</v>
      </c>
      <c r="B13" s="1" t="s">
        <v>24</v>
      </c>
      <c r="C13" s="16" t="s">
        <v>78</v>
      </c>
      <c r="D13" s="4" t="s">
        <v>150</v>
      </c>
      <c r="E13" s="8" t="s">
        <v>110</v>
      </c>
      <c r="F13" s="108"/>
      <c r="G13" s="104" t="s">
        <v>346</v>
      </c>
      <c r="H13" s="112">
        <v>10</v>
      </c>
      <c r="I13" s="104" t="s">
        <v>346</v>
      </c>
      <c r="J13" s="1" t="s">
        <v>25</v>
      </c>
      <c r="K13" s="16" t="s">
        <v>79</v>
      </c>
      <c r="L13" s="8" t="s">
        <v>111</v>
      </c>
      <c r="M13" t="s">
        <v>152</v>
      </c>
      <c r="N13" s="9" t="s">
        <v>133</v>
      </c>
    </row>
    <row r="14" spans="1:14" x14ac:dyDescent="0.25">
      <c r="A14" s="2">
        <v>11</v>
      </c>
      <c r="B14" s="1" t="s">
        <v>25</v>
      </c>
      <c r="C14" s="16" t="s">
        <v>79</v>
      </c>
      <c r="D14" s="4" t="s">
        <v>150</v>
      </c>
      <c r="E14" s="8" t="s">
        <v>111</v>
      </c>
      <c r="F14" s="108"/>
      <c r="G14" s="104" t="s">
        <v>339</v>
      </c>
      <c r="H14" s="112">
        <v>11</v>
      </c>
      <c r="I14" s="104" t="s">
        <v>339</v>
      </c>
      <c r="J14" s="1" t="s">
        <v>26</v>
      </c>
      <c r="K14" s="16" t="s">
        <v>80</v>
      </c>
      <c r="L14" s="8" t="s">
        <v>112</v>
      </c>
      <c r="M14" t="s">
        <v>152</v>
      </c>
      <c r="N14" s="9" t="s">
        <v>134</v>
      </c>
    </row>
    <row r="15" spans="1:14" x14ac:dyDescent="0.25">
      <c r="A15" s="2">
        <v>12</v>
      </c>
      <c r="B15" s="1" t="s">
        <v>26</v>
      </c>
      <c r="C15" s="16" t="s">
        <v>80</v>
      </c>
      <c r="D15" s="4" t="s">
        <v>150</v>
      </c>
      <c r="E15" s="8" t="s">
        <v>112</v>
      </c>
      <c r="F15" s="108"/>
      <c r="G15" s="104" t="s">
        <v>347</v>
      </c>
      <c r="H15" s="112">
        <v>12</v>
      </c>
      <c r="I15" s="104" t="s">
        <v>347</v>
      </c>
      <c r="J15" s="1" t="s">
        <v>27</v>
      </c>
      <c r="K15" s="16" t="s">
        <v>81</v>
      </c>
      <c r="L15" s="8" t="s">
        <v>113</v>
      </c>
      <c r="M15" t="s">
        <v>152</v>
      </c>
      <c r="N15" s="9" t="s">
        <v>135</v>
      </c>
    </row>
    <row r="16" spans="1:14" x14ac:dyDescent="0.25">
      <c r="A16" s="2">
        <v>13</v>
      </c>
      <c r="B16" s="1" t="s">
        <v>27</v>
      </c>
      <c r="C16" s="16" t="s">
        <v>81</v>
      </c>
      <c r="D16" s="4" t="s">
        <v>150</v>
      </c>
      <c r="E16" s="8" t="s">
        <v>113</v>
      </c>
      <c r="F16" s="108"/>
      <c r="G16" s="104" t="s">
        <v>348</v>
      </c>
      <c r="H16" s="112">
        <v>13</v>
      </c>
      <c r="I16" s="104" t="s">
        <v>348</v>
      </c>
      <c r="J16" s="1" t="s">
        <v>28</v>
      </c>
      <c r="K16" s="16" t="s">
        <v>82</v>
      </c>
      <c r="L16" s="8" t="s">
        <v>114</v>
      </c>
      <c r="M16" t="s">
        <v>152</v>
      </c>
      <c r="N16" s="9" t="s">
        <v>136</v>
      </c>
    </row>
    <row r="17" spans="1:15" x14ac:dyDescent="0.25">
      <c r="A17" s="2">
        <v>14</v>
      </c>
      <c r="B17" s="1" t="s">
        <v>28</v>
      </c>
      <c r="C17" s="16" t="s">
        <v>82</v>
      </c>
      <c r="D17" s="4" t="s">
        <v>150</v>
      </c>
      <c r="E17" s="8" t="s">
        <v>114</v>
      </c>
      <c r="F17" s="108"/>
      <c r="G17" s="104" t="s">
        <v>349</v>
      </c>
      <c r="H17" s="112">
        <v>14</v>
      </c>
      <c r="I17" s="104" t="s">
        <v>349</v>
      </c>
      <c r="J17" s="1" t="s">
        <v>29</v>
      </c>
      <c r="K17" s="16" t="s">
        <v>83</v>
      </c>
      <c r="L17" s="8" t="s">
        <v>115</v>
      </c>
      <c r="M17" t="s">
        <v>152</v>
      </c>
      <c r="N17" s="9" t="s">
        <v>137</v>
      </c>
    </row>
    <row r="18" spans="1:15" x14ac:dyDescent="0.25">
      <c r="A18" s="2">
        <v>15</v>
      </c>
      <c r="B18" s="1" t="s">
        <v>29</v>
      </c>
      <c r="C18" s="16" t="s">
        <v>83</v>
      </c>
      <c r="D18" s="4" t="s">
        <v>150</v>
      </c>
      <c r="E18" s="8" t="s">
        <v>115</v>
      </c>
      <c r="F18" s="108"/>
      <c r="G18" s="104" t="s">
        <v>350</v>
      </c>
      <c r="H18" s="112">
        <v>15</v>
      </c>
      <c r="I18" s="104" t="s">
        <v>350</v>
      </c>
      <c r="J18" s="1" t="s">
        <v>1</v>
      </c>
      <c r="K18" s="16" t="s">
        <v>84</v>
      </c>
      <c r="L18" s="8" t="s">
        <v>116</v>
      </c>
      <c r="M18" t="s">
        <v>152</v>
      </c>
      <c r="N18" s="10" t="s">
        <v>138</v>
      </c>
    </row>
    <row r="19" spans="1:15" x14ac:dyDescent="0.25">
      <c r="A19" s="2">
        <v>16</v>
      </c>
      <c r="B19" s="1" t="s">
        <v>1</v>
      </c>
      <c r="C19" s="16" t="s">
        <v>84</v>
      </c>
      <c r="D19" s="4" t="s">
        <v>150</v>
      </c>
      <c r="E19" s="8" t="s">
        <v>116</v>
      </c>
      <c r="F19" s="108"/>
      <c r="G19" s="104" t="s">
        <v>351</v>
      </c>
      <c r="H19" s="112">
        <v>16</v>
      </c>
      <c r="I19" s="104" t="s">
        <v>351</v>
      </c>
      <c r="J19" s="1" t="s">
        <v>30</v>
      </c>
      <c r="K19" s="16" t="s">
        <v>85</v>
      </c>
      <c r="L19" s="9" t="s">
        <v>117</v>
      </c>
      <c r="M19" t="s">
        <v>152</v>
      </c>
      <c r="N19" s="10" t="s">
        <v>139</v>
      </c>
    </row>
    <row r="20" spans="1:15" x14ac:dyDescent="0.25">
      <c r="A20" s="2">
        <v>17</v>
      </c>
      <c r="B20" s="1" t="s">
        <v>30</v>
      </c>
      <c r="C20" s="16" t="s">
        <v>85</v>
      </c>
      <c r="D20" s="4" t="s">
        <v>150</v>
      </c>
      <c r="E20" s="9" t="s">
        <v>117</v>
      </c>
      <c r="F20" s="110"/>
      <c r="G20" s="104" t="s">
        <v>352</v>
      </c>
      <c r="H20" s="112">
        <v>17</v>
      </c>
      <c r="I20" s="104" t="s">
        <v>352</v>
      </c>
      <c r="J20" s="1" t="s">
        <v>31</v>
      </c>
      <c r="K20" s="16" t="s">
        <v>86</v>
      </c>
      <c r="L20" s="9" t="s">
        <v>118</v>
      </c>
      <c r="M20" t="s">
        <v>152</v>
      </c>
      <c r="N20" s="10" t="s">
        <v>140</v>
      </c>
    </row>
    <row r="21" spans="1:15" x14ac:dyDescent="0.25">
      <c r="A21" s="2">
        <v>18</v>
      </c>
      <c r="B21" s="1" t="s">
        <v>31</v>
      </c>
      <c r="C21" s="16" t="s">
        <v>86</v>
      </c>
      <c r="D21" s="4" t="s">
        <v>150</v>
      </c>
      <c r="E21" s="9" t="s">
        <v>118</v>
      </c>
      <c r="F21" s="110"/>
      <c r="G21" s="104" t="s">
        <v>353</v>
      </c>
      <c r="H21" s="112">
        <v>18</v>
      </c>
      <c r="I21" s="104" t="s">
        <v>353</v>
      </c>
      <c r="J21" s="1" t="s">
        <v>32</v>
      </c>
      <c r="K21" s="16" t="s">
        <v>87</v>
      </c>
      <c r="L21" s="9" t="s">
        <v>119</v>
      </c>
      <c r="M21" t="s">
        <v>152</v>
      </c>
      <c r="N21" s="9" t="s">
        <v>120</v>
      </c>
      <c r="O21" s="105"/>
    </row>
    <row r="22" spans="1:15" x14ac:dyDescent="0.25">
      <c r="A22" s="2">
        <v>19</v>
      </c>
      <c r="B22" s="1" t="s">
        <v>32</v>
      </c>
      <c r="C22" s="16" t="s">
        <v>87</v>
      </c>
      <c r="D22" s="4" t="s">
        <v>150</v>
      </c>
      <c r="E22" s="9" t="s">
        <v>119</v>
      </c>
      <c r="F22" s="110"/>
      <c r="G22" s="104" t="s">
        <v>357</v>
      </c>
      <c r="H22" s="112">
        <v>19</v>
      </c>
      <c r="I22" s="104" t="s">
        <v>357</v>
      </c>
      <c r="J22" s="1" t="s">
        <v>33</v>
      </c>
      <c r="K22" s="16" t="s">
        <v>88</v>
      </c>
      <c r="L22" s="9" t="s">
        <v>120</v>
      </c>
      <c r="M22" t="s">
        <v>152</v>
      </c>
      <c r="N22" s="9" t="s">
        <v>125</v>
      </c>
    </row>
    <row r="23" spans="1:15" x14ac:dyDescent="0.25">
      <c r="A23" s="2">
        <v>20</v>
      </c>
      <c r="B23" s="1" t="s">
        <v>33</v>
      </c>
      <c r="C23" s="16" t="s">
        <v>88</v>
      </c>
      <c r="D23" s="4" t="s">
        <v>150</v>
      </c>
      <c r="E23" s="9" t="s">
        <v>120</v>
      </c>
      <c r="F23" s="110"/>
      <c r="G23" s="1" t="s">
        <v>11</v>
      </c>
      <c r="H23" s="112">
        <v>20</v>
      </c>
      <c r="I23" s="1" t="s">
        <v>11</v>
      </c>
      <c r="J23" s="1" t="s">
        <v>34</v>
      </c>
      <c r="K23" s="16" t="s">
        <v>89</v>
      </c>
      <c r="L23" s="9" t="s">
        <v>121</v>
      </c>
      <c r="M23" t="s">
        <v>152</v>
      </c>
      <c r="N23" s="9" t="s">
        <v>123</v>
      </c>
    </row>
    <row r="24" spans="1:15" x14ac:dyDescent="0.25">
      <c r="A24" s="7">
        <v>21</v>
      </c>
      <c r="B24" s="1" t="s">
        <v>34</v>
      </c>
      <c r="C24" s="16" t="s">
        <v>89</v>
      </c>
      <c r="D24" s="4" t="s">
        <v>150</v>
      </c>
      <c r="E24" s="9" t="s">
        <v>121</v>
      </c>
      <c r="F24" s="110"/>
      <c r="G24" s="1" t="s">
        <v>12</v>
      </c>
      <c r="H24" s="112">
        <v>21</v>
      </c>
      <c r="I24" s="1" t="s">
        <v>12</v>
      </c>
      <c r="J24" s="1" t="s">
        <v>35</v>
      </c>
      <c r="K24" s="16" t="s">
        <v>90</v>
      </c>
      <c r="L24" s="9" t="s">
        <v>122</v>
      </c>
      <c r="M24" t="s">
        <v>152</v>
      </c>
      <c r="N24" s="9" t="s">
        <v>126</v>
      </c>
    </row>
    <row r="25" spans="1:15" x14ac:dyDescent="0.25">
      <c r="A25" s="2">
        <v>22</v>
      </c>
      <c r="B25" s="1" t="s">
        <v>35</v>
      </c>
      <c r="C25" s="16" t="s">
        <v>90</v>
      </c>
      <c r="D25" s="4" t="s">
        <v>150</v>
      </c>
      <c r="E25" s="9" t="s">
        <v>122</v>
      </c>
      <c r="F25" s="110"/>
      <c r="G25" s="1" t="s">
        <v>13</v>
      </c>
      <c r="H25" s="112">
        <v>22</v>
      </c>
      <c r="I25" s="1" t="s">
        <v>13</v>
      </c>
      <c r="J25" s="1" t="s">
        <v>36</v>
      </c>
      <c r="K25" s="16" t="s">
        <v>91</v>
      </c>
      <c r="L25" s="9" t="s">
        <v>124</v>
      </c>
      <c r="M25" t="s">
        <v>152</v>
      </c>
      <c r="N25" s="9" t="s">
        <v>130</v>
      </c>
    </row>
    <row r="26" spans="1:15" x14ac:dyDescent="0.25">
      <c r="A26" s="2">
        <v>23</v>
      </c>
      <c r="B26" s="1" t="s">
        <v>36</v>
      </c>
      <c r="C26" s="16" t="s">
        <v>91</v>
      </c>
      <c r="D26" s="4" t="s">
        <v>150</v>
      </c>
      <c r="E26" s="9" t="s">
        <v>124</v>
      </c>
      <c r="F26" s="110"/>
      <c r="G26" s="1" t="s">
        <v>14</v>
      </c>
      <c r="H26" s="112">
        <v>23</v>
      </c>
      <c r="I26" s="1" t="s">
        <v>14</v>
      </c>
      <c r="J26" s="1" t="s">
        <v>11</v>
      </c>
      <c r="K26" s="1" t="s">
        <v>59</v>
      </c>
      <c r="L26" s="9" t="s">
        <v>129</v>
      </c>
      <c r="M26" s="22"/>
      <c r="N26" s="9" t="s">
        <v>121</v>
      </c>
    </row>
    <row r="27" spans="1:15" x14ac:dyDescent="0.25">
      <c r="A27" s="2">
        <v>24</v>
      </c>
      <c r="B27" s="1" t="s">
        <v>11</v>
      </c>
      <c r="C27" s="1" t="s">
        <v>59</v>
      </c>
      <c r="D27" s="4" t="s">
        <v>150</v>
      </c>
      <c r="E27" s="9" t="s">
        <v>129</v>
      </c>
      <c r="F27" s="110"/>
      <c r="G27" s="1" t="s">
        <v>22</v>
      </c>
      <c r="H27" s="112">
        <v>24</v>
      </c>
      <c r="I27" s="1" t="s">
        <v>22</v>
      </c>
      <c r="J27" s="1" t="s">
        <v>12</v>
      </c>
      <c r="K27" s="1" t="s">
        <v>58</v>
      </c>
      <c r="L27" s="9" t="s">
        <v>147</v>
      </c>
      <c r="M27" s="22"/>
      <c r="N27" s="9" t="s">
        <v>122</v>
      </c>
    </row>
    <row r="28" spans="1:15" x14ac:dyDescent="0.25">
      <c r="A28" s="2">
        <v>25</v>
      </c>
      <c r="B28" s="1" t="s">
        <v>12</v>
      </c>
      <c r="C28" s="1" t="s">
        <v>58</v>
      </c>
      <c r="D28" s="4" t="s">
        <v>150</v>
      </c>
      <c r="E28" s="9" t="s">
        <v>147</v>
      </c>
      <c r="F28" s="110"/>
      <c r="G28" s="1" t="s">
        <v>23</v>
      </c>
      <c r="H28" s="112">
        <v>25</v>
      </c>
      <c r="I28" s="1" t="s">
        <v>23</v>
      </c>
      <c r="J28" s="1" t="s">
        <v>13</v>
      </c>
      <c r="K28" s="1" t="s">
        <v>57</v>
      </c>
      <c r="L28" s="9" t="s">
        <v>131</v>
      </c>
      <c r="M28" s="22"/>
      <c r="N28" s="9" t="s">
        <v>124</v>
      </c>
    </row>
    <row r="29" spans="1:15" x14ac:dyDescent="0.25">
      <c r="A29" s="2">
        <v>26</v>
      </c>
      <c r="B29" s="1" t="s">
        <v>13</v>
      </c>
      <c r="C29" s="1" t="s">
        <v>57</v>
      </c>
      <c r="D29" s="4" t="s">
        <v>150</v>
      </c>
      <c r="E29" s="9" t="s">
        <v>131</v>
      </c>
      <c r="F29" s="110"/>
      <c r="G29" s="1" t="s">
        <v>24</v>
      </c>
      <c r="H29" s="112">
        <v>26</v>
      </c>
      <c r="I29" s="1" t="s">
        <v>24</v>
      </c>
      <c r="J29" s="1" t="s">
        <v>14</v>
      </c>
      <c r="K29" s="1" t="s">
        <v>56</v>
      </c>
      <c r="L29" s="9" t="s">
        <v>132</v>
      </c>
      <c r="M29" s="22"/>
      <c r="N29" s="9" t="s">
        <v>129</v>
      </c>
    </row>
    <row r="30" spans="1:15" x14ac:dyDescent="0.25">
      <c r="A30" s="2">
        <v>27</v>
      </c>
      <c r="B30" s="1" t="s">
        <v>14</v>
      </c>
      <c r="C30" s="1" t="s">
        <v>56</v>
      </c>
      <c r="D30" s="4" t="s">
        <v>150</v>
      </c>
      <c r="E30" s="9" t="s">
        <v>132</v>
      </c>
      <c r="F30" s="110"/>
      <c r="G30" s="1" t="s">
        <v>25</v>
      </c>
      <c r="H30" s="112">
        <v>27</v>
      </c>
      <c r="I30" s="1" t="s">
        <v>25</v>
      </c>
      <c r="J30" s="1" t="s">
        <v>15</v>
      </c>
      <c r="K30" s="1" t="s">
        <v>55</v>
      </c>
      <c r="L30" s="9" t="s">
        <v>133</v>
      </c>
      <c r="M30" t="s">
        <v>152</v>
      </c>
      <c r="N30" s="9" t="s">
        <v>128</v>
      </c>
    </row>
    <row r="31" spans="1:15" x14ac:dyDescent="0.25">
      <c r="A31" s="2">
        <v>28</v>
      </c>
      <c r="B31" s="1" t="s">
        <v>15</v>
      </c>
      <c r="C31" s="1" t="s">
        <v>55</v>
      </c>
      <c r="D31" s="4" t="s">
        <v>150</v>
      </c>
      <c r="E31" s="9" t="s">
        <v>133</v>
      </c>
      <c r="F31" s="110"/>
      <c r="G31" s="1" t="s">
        <v>26</v>
      </c>
      <c r="H31" s="112">
        <v>28</v>
      </c>
      <c r="I31" s="1" t="s">
        <v>26</v>
      </c>
      <c r="J31" s="1" t="s">
        <v>16</v>
      </c>
      <c r="K31" s="1" t="s">
        <v>54</v>
      </c>
      <c r="L31" s="9" t="s">
        <v>134</v>
      </c>
      <c r="M31" t="s">
        <v>152</v>
      </c>
      <c r="N31" s="9" t="s">
        <v>127</v>
      </c>
    </row>
    <row r="32" spans="1:15" x14ac:dyDescent="0.25">
      <c r="A32" s="2">
        <v>29</v>
      </c>
      <c r="B32" s="1" t="s">
        <v>16</v>
      </c>
      <c r="C32" s="1" t="s">
        <v>54</v>
      </c>
      <c r="D32" s="4" t="s">
        <v>150</v>
      </c>
      <c r="E32" s="9" t="s">
        <v>134</v>
      </c>
      <c r="F32" s="110"/>
      <c r="G32" s="1" t="s">
        <v>27</v>
      </c>
      <c r="H32" s="112">
        <v>29</v>
      </c>
      <c r="I32" s="1" t="s">
        <v>27</v>
      </c>
      <c r="J32" s="1" t="s">
        <v>17</v>
      </c>
      <c r="K32" s="1" t="s">
        <v>53</v>
      </c>
      <c r="L32" s="9" t="s">
        <v>135</v>
      </c>
      <c r="M32" t="s">
        <v>152</v>
      </c>
      <c r="N32" s="10" t="s">
        <v>144</v>
      </c>
    </row>
    <row r="33" spans="1:14" x14ac:dyDescent="0.25">
      <c r="A33" s="2">
        <v>30</v>
      </c>
      <c r="B33" s="1" t="s">
        <v>17</v>
      </c>
      <c r="C33" s="1" t="s">
        <v>53</v>
      </c>
      <c r="D33" s="4" t="s">
        <v>150</v>
      </c>
      <c r="E33" s="9" t="s">
        <v>135</v>
      </c>
      <c r="F33" s="110"/>
      <c r="G33" s="1" t="s">
        <v>28</v>
      </c>
      <c r="H33" s="112">
        <v>30</v>
      </c>
      <c r="I33" s="1" t="s">
        <v>28</v>
      </c>
      <c r="J33" s="1" t="s">
        <v>18</v>
      </c>
      <c r="K33" s="1" t="s">
        <v>52</v>
      </c>
      <c r="L33" s="9" t="s">
        <v>136</v>
      </c>
      <c r="M33" s="22"/>
      <c r="N33" s="10" t="s">
        <v>143</v>
      </c>
    </row>
    <row r="34" spans="1:14" x14ac:dyDescent="0.25">
      <c r="A34" s="2">
        <v>31</v>
      </c>
      <c r="B34" s="1" t="s">
        <v>18</v>
      </c>
      <c r="C34" s="1" t="s">
        <v>52</v>
      </c>
      <c r="D34" s="4" t="s">
        <v>150</v>
      </c>
      <c r="E34" s="9" t="s">
        <v>136</v>
      </c>
      <c r="F34" s="110"/>
      <c r="G34" s="1" t="s">
        <v>29</v>
      </c>
      <c r="H34" s="112">
        <v>31</v>
      </c>
      <c r="I34" s="1" t="s">
        <v>29</v>
      </c>
      <c r="J34" s="1" t="s">
        <v>19</v>
      </c>
      <c r="K34" s="1" t="s">
        <v>51</v>
      </c>
      <c r="L34" s="9" t="s">
        <v>137</v>
      </c>
      <c r="M34" t="s">
        <v>152</v>
      </c>
      <c r="N34" s="10" t="s">
        <v>142</v>
      </c>
    </row>
    <row r="35" spans="1:14" x14ac:dyDescent="0.25">
      <c r="A35" s="2">
        <v>32</v>
      </c>
      <c r="B35" s="1" t="s">
        <v>19</v>
      </c>
      <c r="C35" s="1" t="s">
        <v>51</v>
      </c>
      <c r="D35" s="4" t="s">
        <v>150</v>
      </c>
      <c r="E35" s="9" t="s">
        <v>137</v>
      </c>
      <c r="F35" s="110"/>
      <c r="G35" s="1" t="s">
        <v>1</v>
      </c>
      <c r="H35" s="112">
        <v>32</v>
      </c>
      <c r="I35" s="1" t="s">
        <v>1</v>
      </c>
      <c r="J35" s="1" t="s">
        <v>2</v>
      </c>
      <c r="K35" s="1" t="s">
        <v>50</v>
      </c>
      <c r="L35" s="10" t="s">
        <v>138</v>
      </c>
      <c r="M35" t="s">
        <v>152</v>
      </c>
      <c r="N35" s="10" t="s">
        <v>141</v>
      </c>
    </row>
    <row r="36" spans="1:14" x14ac:dyDescent="0.25">
      <c r="A36" s="2">
        <v>33</v>
      </c>
      <c r="B36" s="1" t="s">
        <v>2</v>
      </c>
      <c r="C36" s="1" t="s">
        <v>50</v>
      </c>
      <c r="D36" s="4" t="s">
        <v>150</v>
      </c>
      <c r="E36" s="10" t="s">
        <v>138</v>
      </c>
      <c r="F36" s="111"/>
      <c r="G36" s="1" t="s">
        <v>30</v>
      </c>
      <c r="H36" s="112">
        <v>33</v>
      </c>
      <c r="I36" s="1" t="s">
        <v>30</v>
      </c>
      <c r="J36" s="1" t="s">
        <v>20</v>
      </c>
      <c r="K36" s="1" t="s">
        <v>49</v>
      </c>
      <c r="L36" s="10" t="s">
        <v>139</v>
      </c>
      <c r="M36" t="s">
        <v>152</v>
      </c>
      <c r="N36" s="10" t="s">
        <v>145</v>
      </c>
    </row>
    <row r="37" spans="1:14" x14ac:dyDescent="0.25">
      <c r="A37" s="2">
        <v>34</v>
      </c>
      <c r="B37" s="1" t="s">
        <v>20</v>
      </c>
      <c r="C37" s="1" t="s">
        <v>49</v>
      </c>
      <c r="D37" s="4" t="s">
        <v>150</v>
      </c>
      <c r="E37" s="10" t="s">
        <v>139</v>
      </c>
      <c r="F37" s="111"/>
      <c r="G37" s="1" t="s">
        <v>31</v>
      </c>
      <c r="H37" s="112">
        <v>34</v>
      </c>
      <c r="I37" s="1" t="s">
        <v>31</v>
      </c>
      <c r="J37" s="1" t="s">
        <v>21</v>
      </c>
      <c r="K37" s="1" t="s">
        <v>48</v>
      </c>
      <c r="L37" s="10" t="s">
        <v>140</v>
      </c>
      <c r="M37" t="s">
        <v>152</v>
      </c>
      <c r="N37" s="10" t="s">
        <v>146</v>
      </c>
    </row>
    <row r="38" spans="1:14" x14ac:dyDescent="0.25">
      <c r="A38" s="2">
        <v>35</v>
      </c>
      <c r="B38" s="1" t="s">
        <v>21</v>
      </c>
      <c r="C38" s="1" t="s">
        <v>48</v>
      </c>
      <c r="D38" s="4" t="s">
        <v>150</v>
      </c>
      <c r="E38" s="10" t="s">
        <v>140</v>
      </c>
      <c r="F38" s="111"/>
      <c r="G38" s="14" t="s">
        <v>10</v>
      </c>
      <c r="H38" s="112">
        <v>35</v>
      </c>
      <c r="I38" s="14" t="s">
        <v>10</v>
      </c>
      <c r="J38" s="14" t="s">
        <v>10</v>
      </c>
      <c r="K38" s="17" t="s">
        <v>75</v>
      </c>
      <c r="L38" s="12" t="s">
        <v>107</v>
      </c>
      <c r="M38" t="s">
        <v>152</v>
      </c>
    </row>
    <row r="39" spans="1:14" x14ac:dyDescent="0.25">
      <c r="A39" s="2">
        <v>36</v>
      </c>
      <c r="B39" s="1" t="s">
        <v>37</v>
      </c>
      <c r="C39" s="1" t="s">
        <v>64</v>
      </c>
      <c r="D39" s="4" t="s">
        <v>150</v>
      </c>
      <c r="E39" s="10" t="s">
        <v>125</v>
      </c>
      <c r="F39" s="111"/>
      <c r="G39" s="1" t="s">
        <v>33</v>
      </c>
      <c r="H39" s="112">
        <v>36</v>
      </c>
      <c r="I39" s="1" t="s">
        <v>33</v>
      </c>
      <c r="J39" s="1" t="s">
        <v>37</v>
      </c>
      <c r="K39" s="1" t="s">
        <v>64</v>
      </c>
      <c r="L39" s="10" t="s">
        <v>125</v>
      </c>
      <c r="M39" t="s">
        <v>152</v>
      </c>
      <c r="N39" s="8" t="s">
        <v>108</v>
      </c>
    </row>
    <row r="40" spans="1:14" x14ac:dyDescent="0.25">
      <c r="A40" s="2">
        <v>37</v>
      </c>
      <c r="B40" s="1" t="s">
        <v>38</v>
      </c>
      <c r="C40" s="1" t="s">
        <v>65</v>
      </c>
      <c r="D40" s="4" t="s">
        <v>150</v>
      </c>
      <c r="E40" s="10" t="s">
        <v>123</v>
      </c>
      <c r="F40" s="111"/>
      <c r="G40" s="1" t="s">
        <v>34</v>
      </c>
      <c r="H40" s="112">
        <v>37</v>
      </c>
      <c r="I40" s="1" t="s">
        <v>34</v>
      </c>
      <c r="J40" s="1" t="s">
        <v>38</v>
      </c>
      <c r="K40" s="1" t="s">
        <v>65</v>
      </c>
      <c r="L40" s="10" t="s">
        <v>123</v>
      </c>
      <c r="M40" t="s">
        <v>152</v>
      </c>
      <c r="N40" s="8" t="s">
        <v>109</v>
      </c>
    </row>
    <row r="41" spans="1:14" x14ac:dyDescent="0.25">
      <c r="A41" s="2">
        <v>38</v>
      </c>
      <c r="B41" s="1" t="s">
        <v>39</v>
      </c>
      <c r="C41" s="1" t="s">
        <v>66</v>
      </c>
      <c r="D41" s="4" t="s">
        <v>150</v>
      </c>
      <c r="E41" s="10" t="s">
        <v>126</v>
      </c>
      <c r="F41" s="111"/>
      <c r="G41" s="1" t="s">
        <v>35</v>
      </c>
      <c r="H41" s="112">
        <v>38</v>
      </c>
      <c r="I41" s="1" t="s">
        <v>35</v>
      </c>
      <c r="J41" s="1" t="s">
        <v>39</v>
      </c>
      <c r="K41" s="1" t="s">
        <v>66</v>
      </c>
      <c r="L41" s="10" t="s">
        <v>126</v>
      </c>
      <c r="M41" t="s">
        <v>152</v>
      </c>
      <c r="N41" s="8" t="s">
        <v>110</v>
      </c>
    </row>
    <row r="42" spans="1:14" x14ac:dyDescent="0.25">
      <c r="A42" s="2">
        <v>39</v>
      </c>
      <c r="B42" s="1" t="s">
        <v>40</v>
      </c>
      <c r="C42" s="1" t="s">
        <v>67</v>
      </c>
      <c r="D42" s="4" t="s">
        <v>150</v>
      </c>
      <c r="E42" s="10" t="s">
        <v>130</v>
      </c>
      <c r="F42" s="111"/>
      <c r="G42" s="1" t="s">
        <v>36</v>
      </c>
      <c r="H42" s="112">
        <v>39</v>
      </c>
      <c r="I42" s="1" t="s">
        <v>36</v>
      </c>
      <c r="J42" s="1" t="s">
        <v>40</v>
      </c>
      <c r="K42" s="1" t="s">
        <v>67</v>
      </c>
      <c r="L42" s="10" t="s">
        <v>130</v>
      </c>
      <c r="M42" t="s">
        <v>152</v>
      </c>
      <c r="N42" s="8" t="s">
        <v>111</v>
      </c>
    </row>
    <row r="43" spans="1:14" x14ac:dyDescent="0.25">
      <c r="A43" s="2">
        <v>40</v>
      </c>
      <c r="B43" s="1" t="s">
        <v>41</v>
      </c>
      <c r="C43" s="1" t="s">
        <v>68</v>
      </c>
      <c r="D43" s="4" t="s">
        <v>150</v>
      </c>
      <c r="E43" s="10" t="s">
        <v>128</v>
      </c>
      <c r="F43" s="111"/>
      <c r="G43" s="1" t="s">
        <v>15</v>
      </c>
      <c r="H43" s="112">
        <v>40</v>
      </c>
      <c r="I43" s="1" t="s">
        <v>15</v>
      </c>
      <c r="J43" s="1" t="s">
        <v>41</v>
      </c>
      <c r="K43" s="1" t="s">
        <v>68</v>
      </c>
      <c r="L43" s="10" t="s">
        <v>128</v>
      </c>
      <c r="M43" t="s">
        <v>152</v>
      </c>
      <c r="N43" s="8" t="s">
        <v>112</v>
      </c>
    </row>
    <row r="44" spans="1:14" x14ac:dyDescent="0.25">
      <c r="A44" s="2">
        <v>41</v>
      </c>
      <c r="B44" s="1" t="s">
        <v>42</v>
      </c>
      <c r="C44" s="1" t="s">
        <v>69</v>
      </c>
      <c r="D44" s="4" t="s">
        <v>150</v>
      </c>
      <c r="E44" s="10" t="s">
        <v>127</v>
      </c>
      <c r="F44" s="111"/>
      <c r="G44" s="1" t="s">
        <v>16</v>
      </c>
      <c r="H44" s="112">
        <v>41</v>
      </c>
      <c r="I44" s="1" t="s">
        <v>16</v>
      </c>
      <c r="J44" s="1" t="s">
        <v>42</v>
      </c>
      <c r="K44" s="1" t="s">
        <v>69</v>
      </c>
      <c r="L44" s="10" t="s">
        <v>127</v>
      </c>
      <c r="M44" t="s">
        <v>152</v>
      </c>
      <c r="N44" s="8" t="s">
        <v>113</v>
      </c>
    </row>
    <row r="45" spans="1:14" x14ac:dyDescent="0.25">
      <c r="A45" s="2">
        <v>42</v>
      </c>
      <c r="B45" s="1" t="s">
        <v>43</v>
      </c>
      <c r="C45" s="1" t="s">
        <v>70</v>
      </c>
      <c r="D45" s="4" t="s">
        <v>150</v>
      </c>
      <c r="E45" s="10" t="s">
        <v>144</v>
      </c>
      <c r="F45" s="111"/>
      <c r="G45" s="1" t="s">
        <v>17</v>
      </c>
      <c r="H45" s="112">
        <v>42</v>
      </c>
      <c r="I45" s="1" t="s">
        <v>17</v>
      </c>
      <c r="J45" s="1" t="s">
        <v>43</v>
      </c>
      <c r="K45" s="1" t="s">
        <v>70</v>
      </c>
      <c r="L45" s="10" t="s">
        <v>144</v>
      </c>
      <c r="M45" t="s">
        <v>152</v>
      </c>
      <c r="N45" s="8" t="s">
        <v>114</v>
      </c>
    </row>
    <row r="46" spans="1:14" x14ac:dyDescent="0.25">
      <c r="A46" s="2">
        <v>43</v>
      </c>
      <c r="B46" s="1" t="s">
        <v>44</v>
      </c>
      <c r="C46" s="1" t="s">
        <v>71</v>
      </c>
      <c r="D46" s="4" t="s">
        <v>150</v>
      </c>
      <c r="E46" s="10" t="s">
        <v>143</v>
      </c>
      <c r="F46" s="111"/>
      <c r="G46" s="1" t="s">
        <v>18</v>
      </c>
      <c r="H46" s="112">
        <v>43</v>
      </c>
      <c r="I46" s="1" t="s">
        <v>18</v>
      </c>
      <c r="J46" s="1" t="s">
        <v>44</v>
      </c>
      <c r="K46" s="1" t="s">
        <v>71</v>
      </c>
      <c r="L46" s="10" t="s">
        <v>143</v>
      </c>
      <c r="M46" t="s">
        <v>152</v>
      </c>
      <c r="N46" s="8" t="s">
        <v>115</v>
      </c>
    </row>
    <row r="47" spans="1:14" x14ac:dyDescent="0.25">
      <c r="A47" s="2">
        <v>44</v>
      </c>
      <c r="B47" s="1" t="s">
        <v>45</v>
      </c>
      <c r="C47" s="1" t="s">
        <v>92</v>
      </c>
      <c r="D47" s="4" t="s">
        <v>150</v>
      </c>
      <c r="E47" s="10" t="s">
        <v>142</v>
      </c>
      <c r="F47" s="111"/>
      <c r="G47" s="1" t="s">
        <v>19</v>
      </c>
      <c r="H47" s="112">
        <v>44</v>
      </c>
      <c r="I47" s="1" t="s">
        <v>19</v>
      </c>
      <c r="J47" s="1" t="s">
        <v>45</v>
      </c>
      <c r="K47" s="1" t="s">
        <v>92</v>
      </c>
      <c r="L47" s="10" t="s">
        <v>142</v>
      </c>
      <c r="M47" t="s">
        <v>152</v>
      </c>
      <c r="N47" s="8" t="s">
        <v>116</v>
      </c>
    </row>
    <row r="48" spans="1:14" x14ac:dyDescent="0.25">
      <c r="A48" s="2">
        <v>45</v>
      </c>
      <c r="B48" s="1" t="s">
        <v>46</v>
      </c>
      <c r="C48" s="1" t="s">
        <v>93</v>
      </c>
      <c r="D48" s="4" t="s">
        <v>150</v>
      </c>
      <c r="E48" s="10" t="s">
        <v>141</v>
      </c>
      <c r="F48" s="111"/>
      <c r="G48" s="1" t="s">
        <v>2</v>
      </c>
      <c r="H48" s="112">
        <v>45</v>
      </c>
      <c r="I48" s="1" t="s">
        <v>2</v>
      </c>
      <c r="J48" s="1" t="s">
        <v>46</v>
      </c>
      <c r="K48" s="1" t="s">
        <v>93</v>
      </c>
      <c r="L48" s="10" t="s">
        <v>141</v>
      </c>
      <c r="M48" t="s">
        <v>152</v>
      </c>
      <c r="N48" s="9" t="s">
        <v>117</v>
      </c>
    </row>
    <row r="49" spans="1:14" x14ac:dyDescent="0.25">
      <c r="A49" s="2">
        <v>46</v>
      </c>
      <c r="B49" s="1" t="s">
        <v>47</v>
      </c>
      <c r="C49" s="1" t="s">
        <v>94</v>
      </c>
      <c r="D49" s="4" t="s">
        <v>150</v>
      </c>
      <c r="E49" s="10" t="s">
        <v>145</v>
      </c>
      <c r="F49" s="111"/>
      <c r="G49" s="1" t="s">
        <v>20</v>
      </c>
      <c r="H49" s="112">
        <v>46</v>
      </c>
      <c r="I49" s="1" t="s">
        <v>20</v>
      </c>
      <c r="J49" s="1" t="s">
        <v>47</v>
      </c>
      <c r="K49" s="1" t="s">
        <v>94</v>
      </c>
      <c r="L49" s="10" t="s">
        <v>145</v>
      </c>
      <c r="M49" t="s">
        <v>152</v>
      </c>
      <c r="N49" s="9" t="s">
        <v>118</v>
      </c>
    </row>
    <row r="50" spans="1:14" x14ac:dyDescent="0.25">
      <c r="A50" s="2">
        <v>47</v>
      </c>
      <c r="B50" s="1" t="s">
        <v>3</v>
      </c>
      <c r="C50" s="1" t="s">
        <v>95</v>
      </c>
      <c r="D50" s="4" t="s">
        <v>150</v>
      </c>
      <c r="E50" s="10" t="s">
        <v>146</v>
      </c>
      <c r="F50" s="111"/>
      <c r="G50" s="1" t="s">
        <v>21</v>
      </c>
      <c r="H50" s="112">
        <v>47</v>
      </c>
      <c r="I50" s="1" t="s">
        <v>21</v>
      </c>
      <c r="J50" s="1" t="s">
        <v>3</v>
      </c>
      <c r="K50" s="1" t="s">
        <v>95</v>
      </c>
      <c r="L50" s="10" t="s">
        <v>146</v>
      </c>
      <c r="M50" t="s">
        <v>152</v>
      </c>
      <c r="N50" s="9" t="s">
        <v>119</v>
      </c>
    </row>
    <row r="51" spans="1:14" x14ac:dyDescent="0.25">
      <c r="A51" s="2">
        <v>48</v>
      </c>
      <c r="B51" s="1" t="s">
        <v>238</v>
      </c>
      <c r="C51" s="1" t="s">
        <v>235</v>
      </c>
      <c r="D51" s="4" t="s">
        <v>150</v>
      </c>
      <c r="E51" s="10" t="s">
        <v>232</v>
      </c>
      <c r="F51" s="111"/>
      <c r="G51" s="1" t="s">
        <v>238</v>
      </c>
      <c r="H51" s="112">
        <v>48</v>
      </c>
      <c r="I51" s="1" t="s">
        <v>238</v>
      </c>
      <c r="J51" s="1" t="s">
        <v>238</v>
      </c>
      <c r="K51" s="1" t="s">
        <v>235</v>
      </c>
      <c r="L51" s="10" t="s">
        <v>232</v>
      </c>
      <c r="M51" t="s">
        <v>152</v>
      </c>
    </row>
    <row r="52" spans="1:14" x14ac:dyDescent="0.25">
      <c r="A52" s="2">
        <v>49</v>
      </c>
      <c r="B52" s="1" t="s">
        <v>239</v>
      </c>
      <c r="C52" s="1" t="s">
        <v>236</v>
      </c>
      <c r="D52" s="4" t="s">
        <v>150</v>
      </c>
      <c r="E52" s="10" t="s">
        <v>233</v>
      </c>
      <c r="F52" s="111"/>
      <c r="G52" s="1" t="s">
        <v>239</v>
      </c>
      <c r="H52" s="112">
        <v>49</v>
      </c>
      <c r="I52" s="1" t="s">
        <v>239</v>
      </c>
      <c r="J52" s="1" t="s">
        <v>239</v>
      </c>
      <c r="K52" s="1" t="s">
        <v>236</v>
      </c>
      <c r="L52" s="10" t="s">
        <v>233</v>
      </c>
      <c r="M52" t="s">
        <v>152</v>
      </c>
    </row>
    <row r="53" spans="1:14" x14ac:dyDescent="0.25">
      <c r="A53" s="2">
        <v>50</v>
      </c>
      <c r="B53" s="1" t="s">
        <v>240</v>
      </c>
      <c r="C53" s="1" t="s">
        <v>237</v>
      </c>
      <c r="D53" s="4" t="s">
        <v>150</v>
      </c>
      <c r="E53" s="10" t="s">
        <v>234</v>
      </c>
      <c r="F53" s="111"/>
      <c r="G53" s="1" t="s">
        <v>240</v>
      </c>
      <c r="H53" s="112">
        <v>50</v>
      </c>
      <c r="I53" s="1" t="s">
        <v>240</v>
      </c>
      <c r="J53" s="1" t="s">
        <v>240</v>
      </c>
      <c r="K53" s="1" t="s">
        <v>237</v>
      </c>
      <c r="L53" s="10" t="s">
        <v>234</v>
      </c>
    </row>
    <row r="54" spans="1:14" x14ac:dyDescent="0.25">
      <c r="E54" s="5"/>
      <c r="F54" s="5"/>
    </row>
    <row r="55" spans="1:14" x14ac:dyDescent="0.25">
      <c r="E55" s="5"/>
      <c r="F55" s="5"/>
    </row>
    <row r="56" spans="1:14" x14ac:dyDescent="0.25">
      <c r="B56" t="s">
        <v>277</v>
      </c>
      <c r="E56" s="5"/>
      <c r="F56" s="5"/>
    </row>
    <row r="57" spans="1:14" x14ac:dyDescent="0.25">
      <c r="E57" s="5"/>
      <c r="F57" s="5"/>
    </row>
    <row r="58" spans="1:14" x14ac:dyDescent="0.25">
      <c r="A58" s="3">
        <v>1</v>
      </c>
      <c r="B58" t="s">
        <v>318</v>
      </c>
      <c r="C58" s="5" t="s">
        <v>278</v>
      </c>
      <c r="E58" s="5" t="s">
        <v>298</v>
      </c>
      <c r="F58" s="5"/>
    </row>
    <row r="59" spans="1:14" x14ac:dyDescent="0.25">
      <c r="A59" s="3">
        <v>2</v>
      </c>
      <c r="B59" t="s">
        <v>319</v>
      </c>
      <c r="C59" s="5" t="s">
        <v>279</v>
      </c>
      <c r="E59" s="5" t="s">
        <v>299</v>
      </c>
      <c r="F59" s="5"/>
    </row>
    <row r="60" spans="1:14" x14ac:dyDescent="0.25">
      <c r="A60" s="3">
        <v>3</v>
      </c>
      <c r="B60" s="106" t="s">
        <v>320</v>
      </c>
      <c r="C60" s="5" t="s">
        <v>280</v>
      </c>
      <c r="E60" s="5" t="s">
        <v>300</v>
      </c>
      <c r="F60" s="5"/>
    </row>
    <row r="61" spans="1:14" x14ac:dyDescent="0.25">
      <c r="A61" s="3">
        <v>4</v>
      </c>
      <c r="B61" s="106" t="s">
        <v>321</v>
      </c>
      <c r="C61" s="5" t="s">
        <v>281</v>
      </c>
      <c r="E61" s="5" t="s">
        <v>301</v>
      </c>
      <c r="F61" s="5"/>
    </row>
    <row r="62" spans="1:14" x14ac:dyDescent="0.25">
      <c r="A62" s="3">
        <v>5</v>
      </c>
      <c r="B62" s="106" t="s">
        <v>322</v>
      </c>
      <c r="C62" s="5" t="s">
        <v>282</v>
      </c>
      <c r="E62" s="5" t="s">
        <v>302</v>
      </c>
      <c r="F62" s="5"/>
    </row>
    <row r="63" spans="1:14" x14ac:dyDescent="0.25">
      <c r="A63" s="3">
        <v>6</v>
      </c>
      <c r="B63" s="106" t="s">
        <v>323</v>
      </c>
      <c r="C63" s="5" t="s">
        <v>283</v>
      </c>
      <c r="E63" s="5" t="s">
        <v>303</v>
      </c>
      <c r="F63" s="5"/>
    </row>
    <row r="64" spans="1:14" x14ac:dyDescent="0.25">
      <c r="A64" s="3">
        <v>7</v>
      </c>
      <c r="B64" s="106" t="s">
        <v>324</v>
      </c>
      <c r="C64" s="5" t="s">
        <v>284</v>
      </c>
      <c r="E64" s="5" t="s">
        <v>304</v>
      </c>
      <c r="F64" s="5"/>
    </row>
    <row r="65" spans="1:6" x14ac:dyDescent="0.25">
      <c r="A65" s="3">
        <v>8</v>
      </c>
      <c r="B65" s="106" t="s">
        <v>325</v>
      </c>
      <c r="C65" s="5" t="s">
        <v>285</v>
      </c>
      <c r="E65" s="5" t="s">
        <v>305</v>
      </c>
      <c r="F65" s="5"/>
    </row>
    <row r="66" spans="1:6" x14ac:dyDescent="0.25">
      <c r="A66" s="3">
        <v>9</v>
      </c>
      <c r="B66" s="106" t="s">
        <v>326</v>
      </c>
      <c r="C66" s="5" t="s">
        <v>286</v>
      </c>
      <c r="E66" s="5" t="s">
        <v>306</v>
      </c>
      <c r="F66" s="5"/>
    </row>
    <row r="67" spans="1:6" x14ac:dyDescent="0.25">
      <c r="A67" s="3">
        <v>10</v>
      </c>
      <c r="B67" s="106" t="s">
        <v>327</v>
      </c>
      <c r="C67" s="5" t="s">
        <v>287</v>
      </c>
      <c r="E67" s="5" t="s">
        <v>307</v>
      </c>
      <c r="F67" s="5"/>
    </row>
    <row r="68" spans="1:6" x14ac:dyDescent="0.25">
      <c r="A68" s="3">
        <v>11</v>
      </c>
      <c r="B68" s="106" t="s">
        <v>328</v>
      </c>
      <c r="C68" s="5" t="s">
        <v>288</v>
      </c>
      <c r="E68" s="5" t="s">
        <v>308</v>
      </c>
      <c r="F68" s="5"/>
    </row>
    <row r="69" spans="1:6" x14ac:dyDescent="0.25">
      <c r="A69" s="3">
        <v>12</v>
      </c>
      <c r="B69" s="106" t="s">
        <v>329</v>
      </c>
      <c r="C69" s="5" t="s">
        <v>289</v>
      </c>
      <c r="E69" s="6" t="s">
        <v>310</v>
      </c>
    </row>
    <row r="70" spans="1:6" x14ac:dyDescent="0.25">
      <c r="A70" s="3">
        <v>13</v>
      </c>
      <c r="B70" s="106" t="s">
        <v>330</v>
      </c>
      <c r="C70" s="5" t="s">
        <v>290</v>
      </c>
      <c r="E70" s="6" t="s">
        <v>309</v>
      </c>
    </row>
    <row r="71" spans="1:6" x14ac:dyDescent="0.25">
      <c r="A71" s="3">
        <v>14</v>
      </c>
      <c r="B71" s="106" t="s">
        <v>331</v>
      </c>
      <c r="C71" s="5" t="s">
        <v>291</v>
      </c>
      <c r="E71" s="6" t="s">
        <v>311</v>
      </c>
    </row>
    <row r="72" spans="1:6" x14ac:dyDescent="0.25">
      <c r="A72" s="3">
        <v>15</v>
      </c>
      <c r="B72" s="106" t="s">
        <v>332</v>
      </c>
      <c r="C72" s="5" t="s">
        <v>292</v>
      </c>
      <c r="E72" s="6" t="s">
        <v>312</v>
      </c>
    </row>
    <row r="73" spans="1:6" x14ac:dyDescent="0.25">
      <c r="A73" s="3">
        <v>16</v>
      </c>
      <c r="B73" t="s">
        <v>333</v>
      </c>
      <c r="C73" s="5" t="s">
        <v>293</v>
      </c>
      <c r="E73" s="6" t="s">
        <v>313</v>
      </c>
    </row>
    <row r="74" spans="1:6" x14ac:dyDescent="0.25">
      <c r="A74" s="3">
        <v>17</v>
      </c>
      <c r="B74" t="s">
        <v>334</v>
      </c>
      <c r="C74" s="5" t="s">
        <v>294</v>
      </c>
      <c r="E74" s="6" t="s">
        <v>314</v>
      </c>
    </row>
    <row r="75" spans="1:6" x14ac:dyDescent="0.25">
      <c r="A75" s="3">
        <v>18</v>
      </c>
      <c r="B75" t="s">
        <v>335</v>
      </c>
      <c r="C75" s="5" t="s">
        <v>295</v>
      </c>
      <c r="E75" s="6" t="s">
        <v>315</v>
      </c>
    </row>
    <row r="76" spans="1:6" x14ac:dyDescent="0.25">
      <c r="A76" s="3">
        <v>19</v>
      </c>
      <c r="B76" t="s">
        <v>336</v>
      </c>
      <c r="C76" s="5" t="s">
        <v>296</v>
      </c>
      <c r="E76" s="6" t="s">
        <v>316</v>
      </c>
    </row>
    <row r="77" spans="1:6" x14ac:dyDescent="0.25">
      <c r="A77" s="3">
        <v>20</v>
      </c>
      <c r="B77" t="s">
        <v>337</v>
      </c>
      <c r="C77" s="5" t="s">
        <v>297</v>
      </c>
      <c r="E77" s="6" t="s">
        <v>317</v>
      </c>
    </row>
  </sheetData>
  <mergeCells count="2">
    <mergeCell ref="H1:L1"/>
    <mergeCell ref="A1:E1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C1" workbookViewId="0">
      <selection activeCell="G13" sqref="G13"/>
    </sheetView>
  </sheetViews>
  <sheetFormatPr defaultRowHeight="15" x14ac:dyDescent="0.25"/>
  <cols>
    <col min="1" max="1" width="12.140625" style="3" customWidth="1"/>
    <col min="2" max="2" width="15.7109375" customWidth="1"/>
    <col min="3" max="3" width="12.85546875" style="5" customWidth="1"/>
    <col min="4" max="4" width="12.85546875" style="5" hidden="1" customWidth="1"/>
    <col min="5" max="6" width="28.140625" style="6" customWidth="1"/>
    <col min="7" max="7" width="27.42578125" customWidth="1"/>
    <col min="8" max="9" width="12.85546875" style="3" customWidth="1"/>
    <col min="10" max="10" width="12.85546875" style="5" customWidth="1"/>
    <col min="11" max="11" width="26" customWidth="1"/>
    <col min="12" max="12" width="9.140625" customWidth="1"/>
    <col min="13" max="13" width="38.28515625" customWidth="1"/>
  </cols>
  <sheetData>
    <row r="1" spans="1:13" x14ac:dyDescent="0.25">
      <c r="A1" s="115" t="s">
        <v>153</v>
      </c>
      <c r="B1" s="115"/>
      <c r="C1" s="115"/>
      <c r="D1" s="115"/>
      <c r="E1" s="115"/>
      <c r="F1" s="103"/>
      <c r="G1" s="1"/>
      <c r="H1" s="114" t="s">
        <v>154</v>
      </c>
      <c r="I1" s="114"/>
      <c r="J1" s="114"/>
      <c r="K1" s="114"/>
    </row>
    <row r="2" spans="1:13" ht="30" x14ac:dyDescent="0.25">
      <c r="A2" s="18" t="s">
        <v>96</v>
      </c>
      <c r="B2" s="19" t="s">
        <v>98</v>
      </c>
      <c r="C2" s="20" t="s">
        <v>97</v>
      </c>
      <c r="D2" s="11" t="s">
        <v>148</v>
      </c>
      <c r="E2" s="11" t="s">
        <v>99</v>
      </c>
      <c r="F2" s="107"/>
      <c r="H2" s="21" t="s">
        <v>151</v>
      </c>
      <c r="I2" s="19" t="s">
        <v>98</v>
      </c>
      <c r="J2" s="20" t="s">
        <v>97</v>
      </c>
      <c r="K2" s="20" t="s">
        <v>99</v>
      </c>
    </row>
    <row r="3" spans="1:13" x14ac:dyDescent="0.25">
      <c r="A3" s="104">
        <v>0</v>
      </c>
      <c r="B3" s="1" t="s">
        <v>0</v>
      </c>
      <c r="C3" s="1" t="s">
        <v>60</v>
      </c>
      <c r="D3" s="4" t="s">
        <v>149</v>
      </c>
      <c r="E3" s="8" t="s">
        <v>100</v>
      </c>
      <c r="F3" s="108"/>
      <c r="H3" s="104">
        <v>0</v>
      </c>
      <c r="I3" s="1" t="s">
        <v>0</v>
      </c>
      <c r="J3" s="1" t="s">
        <v>60</v>
      </c>
      <c r="K3" s="8" t="s">
        <v>100</v>
      </c>
      <c r="L3" t="s">
        <v>152</v>
      </c>
    </row>
    <row r="4" spans="1:13" x14ac:dyDescent="0.25">
      <c r="A4" s="104">
        <v>1</v>
      </c>
      <c r="B4" s="1" t="s">
        <v>4</v>
      </c>
      <c r="C4" s="1" t="s">
        <v>61</v>
      </c>
      <c r="D4" s="4" t="s">
        <v>149</v>
      </c>
      <c r="E4" s="8" t="s">
        <v>101</v>
      </c>
      <c r="F4" s="108"/>
      <c r="H4" s="104">
        <v>1</v>
      </c>
      <c r="I4" s="1" t="s">
        <v>4</v>
      </c>
      <c r="J4" s="1" t="s">
        <v>61</v>
      </c>
      <c r="K4" s="8" t="s">
        <v>101</v>
      </c>
      <c r="L4" t="s">
        <v>152</v>
      </c>
    </row>
    <row r="5" spans="1:13" x14ac:dyDescent="0.25">
      <c r="A5" s="104">
        <v>2</v>
      </c>
      <c r="B5" s="1" t="s">
        <v>5</v>
      </c>
      <c r="C5" s="1" t="s">
        <v>62</v>
      </c>
      <c r="D5" s="4" t="s">
        <v>149</v>
      </c>
      <c r="E5" s="8" t="s">
        <v>102</v>
      </c>
      <c r="F5" s="108"/>
      <c r="H5" s="104">
        <v>2</v>
      </c>
      <c r="I5" s="1" t="s">
        <v>5</v>
      </c>
      <c r="J5" s="1" t="s">
        <v>62</v>
      </c>
      <c r="K5" s="8" t="s">
        <v>102</v>
      </c>
      <c r="L5" t="s">
        <v>152</v>
      </c>
    </row>
    <row r="6" spans="1:13" x14ac:dyDescent="0.25">
      <c r="A6" s="104">
        <v>3</v>
      </c>
      <c r="B6" s="1" t="s">
        <v>6</v>
      </c>
      <c r="C6" s="1" t="s">
        <v>63</v>
      </c>
      <c r="D6" s="4" t="s">
        <v>149</v>
      </c>
      <c r="E6" s="8" t="s">
        <v>103</v>
      </c>
      <c r="F6" s="108"/>
      <c r="H6" s="104">
        <v>3</v>
      </c>
      <c r="I6" s="1" t="s">
        <v>6</v>
      </c>
      <c r="J6" s="1" t="s">
        <v>63</v>
      </c>
      <c r="K6" s="8" t="s">
        <v>103</v>
      </c>
      <c r="L6" t="s">
        <v>152</v>
      </c>
    </row>
    <row r="7" spans="1:13" x14ac:dyDescent="0.25">
      <c r="A7" s="104">
        <v>4</v>
      </c>
      <c r="B7" s="1" t="s">
        <v>7</v>
      </c>
      <c r="C7" s="1" t="s">
        <v>72</v>
      </c>
      <c r="D7" s="4" t="s">
        <v>149</v>
      </c>
      <c r="E7" s="8" t="s">
        <v>104</v>
      </c>
      <c r="F7" s="108"/>
      <c r="H7" s="104">
        <v>4</v>
      </c>
      <c r="I7" s="1" t="s">
        <v>22</v>
      </c>
      <c r="J7" s="16" t="s">
        <v>76</v>
      </c>
      <c r="K7" s="8" t="s">
        <v>108</v>
      </c>
      <c r="L7" t="s">
        <v>152</v>
      </c>
      <c r="M7" s="9" t="s">
        <v>147</v>
      </c>
    </row>
    <row r="8" spans="1:13" x14ac:dyDescent="0.25">
      <c r="A8" s="104">
        <v>5</v>
      </c>
      <c r="B8" s="1" t="s">
        <v>8</v>
      </c>
      <c r="C8" s="1" t="s">
        <v>73</v>
      </c>
      <c r="D8" s="4" t="s">
        <v>149</v>
      </c>
      <c r="E8" s="8" t="s">
        <v>105</v>
      </c>
      <c r="F8" s="108"/>
      <c r="H8" s="104">
        <v>5</v>
      </c>
      <c r="I8" s="1" t="s">
        <v>23</v>
      </c>
      <c r="J8" s="16" t="s">
        <v>77</v>
      </c>
      <c r="K8" s="8" t="s">
        <v>109</v>
      </c>
      <c r="L8" t="s">
        <v>152</v>
      </c>
      <c r="M8" s="9" t="s">
        <v>131</v>
      </c>
    </row>
    <row r="9" spans="1:13" x14ac:dyDescent="0.25">
      <c r="A9" s="104">
        <v>6</v>
      </c>
      <c r="B9" s="1" t="s">
        <v>9</v>
      </c>
      <c r="C9" s="1" t="s">
        <v>74</v>
      </c>
      <c r="D9" s="4" t="s">
        <v>149</v>
      </c>
      <c r="E9" s="8" t="s">
        <v>106</v>
      </c>
      <c r="F9" s="108"/>
      <c r="H9" s="104">
        <v>6</v>
      </c>
      <c r="I9" s="1" t="s">
        <v>24</v>
      </c>
      <c r="J9" s="16" t="s">
        <v>78</v>
      </c>
      <c r="K9" s="8" t="s">
        <v>110</v>
      </c>
      <c r="L9" t="s">
        <v>152</v>
      </c>
      <c r="M9" s="9" t="s">
        <v>132</v>
      </c>
    </row>
    <row r="10" spans="1:13" x14ac:dyDescent="0.25">
      <c r="A10" s="13">
        <v>7</v>
      </c>
      <c r="B10" s="14" t="s">
        <v>10</v>
      </c>
      <c r="C10" s="17" t="s">
        <v>75</v>
      </c>
      <c r="D10" s="15" t="s">
        <v>149</v>
      </c>
      <c r="E10" s="12" t="s">
        <v>107</v>
      </c>
      <c r="F10" s="109"/>
      <c r="H10" s="13">
        <v>7</v>
      </c>
      <c r="I10" s="1" t="s">
        <v>7</v>
      </c>
      <c r="J10" s="1" t="s">
        <v>72</v>
      </c>
      <c r="K10" s="8" t="s">
        <v>104</v>
      </c>
      <c r="L10" t="s">
        <v>152</v>
      </c>
    </row>
    <row r="11" spans="1:13" x14ac:dyDescent="0.25">
      <c r="A11" s="104">
        <v>8</v>
      </c>
      <c r="B11" s="1" t="s">
        <v>22</v>
      </c>
      <c r="C11" s="16" t="s">
        <v>76</v>
      </c>
      <c r="D11" s="4" t="s">
        <v>150</v>
      </c>
      <c r="E11" s="8" t="s">
        <v>108</v>
      </c>
      <c r="F11" s="108"/>
      <c r="H11" s="104">
        <v>8</v>
      </c>
      <c r="I11" s="1" t="s">
        <v>8</v>
      </c>
      <c r="J11" s="1" t="s">
        <v>73</v>
      </c>
      <c r="K11" s="8" t="s">
        <v>105</v>
      </c>
      <c r="L11" t="s">
        <v>152</v>
      </c>
    </row>
    <row r="12" spans="1:13" x14ac:dyDescent="0.25">
      <c r="A12" s="104">
        <v>9</v>
      </c>
      <c r="B12" s="1" t="s">
        <v>23</v>
      </c>
      <c r="C12" s="16" t="s">
        <v>77</v>
      </c>
      <c r="D12" s="4" t="s">
        <v>150</v>
      </c>
      <c r="E12" s="8" t="s">
        <v>109</v>
      </c>
      <c r="F12" s="108"/>
      <c r="H12" s="104">
        <v>9</v>
      </c>
      <c r="I12" s="1" t="s">
        <v>9</v>
      </c>
      <c r="J12" s="1" t="s">
        <v>74</v>
      </c>
      <c r="K12" s="8" t="s">
        <v>106</v>
      </c>
      <c r="L12" t="s">
        <v>152</v>
      </c>
    </row>
    <row r="13" spans="1:13" x14ac:dyDescent="0.25">
      <c r="A13" s="104">
        <v>10</v>
      </c>
      <c r="B13" s="1" t="s">
        <v>24</v>
      </c>
      <c r="C13" s="16" t="s">
        <v>78</v>
      </c>
      <c r="D13" s="4" t="s">
        <v>150</v>
      </c>
      <c r="E13" s="8" t="s">
        <v>110</v>
      </c>
      <c r="F13" s="108"/>
      <c r="H13" s="104">
        <v>10</v>
      </c>
      <c r="I13" s="1" t="s">
        <v>25</v>
      </c>
      <c r="J13" s="16" t="s">
        <v>79</v>
      </c>
      <c r="K13" s="8" t="s">
        <v>111</v>
      </c>
      <c r="L13" t="s">
        <v>152</v>
      </c>
      <c r="M13" s="9" t="s">
        <v>133</v>
      </c>
    </row>
    <row r="14" spans="1:13" x14ac:dyDescent="0.25">
      <c r="A14" s="104">
        <v>11</v>
      </c>
      <c r="B14" s="1" t="s">
        <v>25</v>
      </c>
      <c r="C14" s="16" t="s">
        <v>79</v>
      </c>
      <c r="D14" s="4" t="s">
        <v>150</v>
      </c>
      <c r="E14" s="8" t="s">
        <v>111</v>
      </c>
      <c r="F14" s="108"/>
      <c r="H14" s="104">
        <v>11</v>
      </c>
      <c r="I14" s="1" t="s">
        <v>26</v>
      </c>
      <c r="J14" s="16" t="s">
        <v>80</v>
      </c>
      <c r="K14" s="8" t="s">
        <v>112</v>
      </c>
      <c r="L14" t="s">
        <v>152</v>
      </c>
      <c r="M14" s="9" t="s">
        <v>134</v>
      </c>
    </row>
    <row r="15" spans="1:13" x14ac:dyDescent="0.25">
      <c r="A15" s="104">
        <v>12</v>
      </c>
      <c r="B15" s="1" t="s">
        <v>26</v>
      </c>
      <c r="C15" s="16" t="s">
        <v>80</v>
      </c>
      <c r="D15" s="4" t="s">
        <v>150</v>
      </c>
      <c r="E15" s="8" t="s">
        <v>112</v>
      </c>
      <c r="F15" s="108"/>
      <c r="H15" s="104">
        <v>12</v>
      </c>
      <c r="I15" s="1" t="s">
        <v>27</v>
      </c>
      <c r="J15" s="16" t="s">
        <v>81</v>
      </c>
      <c r="K15" s="8" t="s">
        <v>113</v>
      </c>
      <c r="L15" t="s">
        <v>152</v>
      </c>
      <c r="M15" s="9" t="s">
        <v>135</v>
      </c>
    </row>
    <row r="16" spans="1:13" x14ac:dyDescent="0.25">
      <c r="A16" s="104">
        <v>13</v>
      </c>
      <c r="B16" s="1" t="s">
        <v>27</v>
      </c>
      <c r="C16" s="16" t="s">
        <v>81</v>
      </c>
      <c r="D16" s="4" t="s">
        <v>150</v>
      </c>
      <c r="E16" s="8" t="s">
        <v>113</v>
      </c>
      <c r="F16" s="108"/>
      <c r="H16" s="104">
        <v>13</v>
      </c>
      <c r="I16" s="1" t="s">
        <v>28</v>
      </c>
      <c r="J16" s="16" t="s">
        <v>82</v>
      </c>
      <c r="K16" s="8" t="s">
        <v>114</v>
      </c>
      <c r="L16" t="s">
        <v>152</v>
      </c>
      <c r="M16" s="9" t="s">
        <v>136</v>
      </c>
    </row>
    <row r="17" spans="1:14" x14ac:dyDescent="0.25">
      <c r="A17" s="104">
        <v>14</v>
      </c>
      <c r="B17" s="1" t="s">
        <v>28</v>
      </c>
      <c r="C17" s="16" t="s">
        <v>82</v>
      </c>
      <c r="D17" s="4" t="s">
        <v>150</v>
      </c>
      <c r="E17" s="8" t="s">
        <v>114</v>
      </c>
      <c r="F17" s="108"/>
      <c r="H17" s="104">
        <v>14</v>
      </c>
      <c r="I17" s="1" t="s">
        <v>29</v>
      </c>
      <c r="J17" s="16" t="s">
        <v>83</v>
      </c>
      <c r="K17" s="8" t="s">
        <v>115</v>
      </c>
      <c r="L17" t="s">
        <v>152</v>
      </c>
      <c r="M17" s="9" t="s">
        <v>137</v>
      </c>
    </row>
    <row r="18" spans="1:14" x14ac:dyDescent="0.25">
      <c r="A18" s="104">
        <v>15</v>
      </c>
      <c r="B18" s="1" t="s">
        <v>29</v>
      </c>
      <c r="C18" s="16" t="s">
        <v>83</v>
      </c>
      <c r="D18" s="4" t="s">
        <v>150</v>
      </c>
      <c r="E18" s="8" t="s">
        <v>115</v>
      </c>
      <c r="F18" s="108"/>
      <c r="H18" s="104">
        <v>15</v>
      </c>
      <c r="I18" s="1" t="s">
        <v>1</v>
      </c>
      <c r="J18" s="16" t="s">
        <v>84</v>
      </c>
      <c r="K18" s="8" t="s">
        <v>116</v>
      </c>
      <c r="L18" t="s">
        <v>152</v>
      </c>
      <c r="M18" s="10" t="s">
        <v>138</v>
      </c>
    </row>
    <row r="19" spans="1:14" x14ac:dyDescent="0.25">
      <c r="A19" s="104">
        <v>16</v>
      </c>
      <c r="B19" s="1" t="s">
        <v>1</v>
      </c>
      <c r="C19" s="16" t="s">
        <v>84</v>
      </c>
      <c r="D19" s="4" t="s">
        <v>150</v>
      </c>
      <c r="E19" s="8" t="s">
        <v>116</v>
      </c>
      <c r="F19" s="108"/>
      <c r="H19" s="104">
        <v>16</v>
      </c>
      <c r="I19" s="1" t="s">
        <v>30</v>
      </c>
      <c r="J19" s="16" t="s">
        <v>85</v>
      </c>
      <c r="K19" s="9" t="s">
        <v>117</v>
      </c>
      <c r="L19" t="s">
        <v>152</v>
      </c>
      <c r="M19" s="10" t="s">
        <v>139</v>
      </c>
    </row>
    <row r="20" spans="1:14" x14ac:dyDescent="0.25">
      <c r="A20" s="104">
        <v>17</v>
      </c>
      <c r="B20" s="1" t="s">
        <v>30</v>
      </c>
      <c r="C20" s="16" t="s">
        <v>85</v>
      </c>
      <c r="D20" s="4" t="s">
        <v>150</v>
      </c>
      <c r="E20" s="9" t="s">
        <v>117</v>
      </c>
      <c r="F20" s="110"/>
      <c r="H20" s="104">
        <v>17</v>
      </c>
      <c r="I20" s="1" t="s">
        <v>31</v>
      </c>
      <c r="J20" s="16" t="s">
        <v>86</v>
      </c>
      <c r="K20" s="9" t="s">
        <v>118</v>
      </c>
      <c r="L20" t="s">
        <v>152</v>
      </c>
      <c r="M20" s="10" t="s">
        <v>140</v>
      </c>
    </row>
    <row r="21" spans="1:14" x14ac:dyDescent="0.25">
      <c r="A21" s="104">
        <v>18</v>
      </c>
      <c r="B21" s="1" t="s">
        <v>31</v>
      </c>
      <c r="C21" s="16" t="s">
        <v>86</v>
      </c>
      <c r="D21" s="4" t="s">
        <v>150</v>
      </c>
      <c r="E21" s="9" t="s">
        <v>118</v>
      </c>
      <c r="F21" s="110"/>
      <c r="H21" s="104">
        <v>18</v>
      </c>
      <c r="I21" s="1" t="s">
        <v>32</v>
      </c>
      <c r="J21" s="16" t="s">
        <v>87</v>
      </c>
      <c r="K21" s="9" t="s">
        <v>119</v>
      </c>
      <c r="L21" t="s">
        <v>152</v>
      </c>
      <c r="M21" s="9" t="s">
        <v>120</v>
      </c>
      <c r="N21" s="105"/>
    </row>
    <row r="22" spans="1:14" x14ac:dyDescent="0.25">
      <c r="A22" s="104">
        <v>19</v>
      </c>
      <c r="B22" s="1" t="s">
        <v>32</v>
      </c>
      <c r="C22" s="16" t="s">
        <v>87</v>
      </c>
      <c r="D22" s="4" t="s">
        <v>150</v>
      </c>
      <c r="E22" s="9" t="s">
        <v>119</v>
      </c>
      <c r="F22" s="110"/>
      <c r="H22" s="104">
        <v>19</v>
      </c>
      <c r="I22" s="1" t="s">
        <v>33</v>
      </c>
      <c r="J22" s="16" t="s">
        <v>88</v>
      </c>
      <c r="K22" s="9" t="s">
        <v>120</v>
      </c>
      <c r="L22" t="s">
        <v>152</v>
      </c>
      <c r="M22" s="9" t="s">
        <v>125</v>
      </c>
    </row>
    <row r="23" spans="1:14" x14ac:dyDescent="0.25">
      <c r="A23" s="104">
        <v>20</v>
      </c>
      <c r="B23" s="1" t="s">
        <v>33</v>
      </c>
      <c r="C23" s="16" t="s">
        <v>88</v>
      </c>
      <c r="D23" s="4" t="s">
        <v>150</v>
      </c>
      <c r="E23" s="9" t="s">
        <v>120</v>
      </c>
      <c r="F23" s="110"/>
      <c r="H23" s="104">
        <v>20</v>
      </c>
      <c r="I23" s="1" t="s">
        <v>34</v>
      </c>
      <c r="J23" s="16" t="s">
        <v>89</v>
      </c>
      <c r="K23" s="9" t="s">
        <v>121</v>
      </c>
      <c r="L23" t="s">
        <v>152</v>
      </c>
      <c r="M23" s="9" t="s">
        <v>123</v>
      </c>
    </row>
    <row r="24" spans="1:14" x14ac:dyDescent="0.25">
      <c r="A24" s="7">
        <v>21</v>
      </c>
      <c r="B24" s="1" t="s">
        <v>34</v>
      </c>
      <c r="C24" s="16" t="s">
        <v>89</v>
      </c>
      <c r="D24" s="4" t="s">
        <v>150</v>
      </c>
      <c r="E24" s="9" t="s">
        <v>121</v>
      </c>
      <c r="F24" s="110"/>
      <c r="H24" s="7">
        <v>21</v>
      </c>
      <c r="I24" s="1" t="s">
        <v>35</v>
      </c>
      <c r="J24" s="16" t="s">
        <v>90</v>
      </c>
      <c r="K24" s="9" t="s">
        <v>122</v>
      </c>
      <c r="L24" t="s">
        <v>152</v>
      </c>
      <c r="M24" s="9" t="s">
        <v>126</v>
      </c>
    </row>
    <row r="25" spans="1:14" x14ac:dyDescent="0.25">
      <c r="A25" s="104">
        <v>22</v>
      </c>
      <c r="B25" s="1" t="s">
        <v>35</v>
      </c>
      <c r="C25" s="16" t="s">
        <v>90</v>
      </c>
      <c r="D25" s="4" t="s">
        <v>150</v>
      </c>
      <c r="E25" s="9" t="s">
        <v>122</v>
      </c>
      <c r="F25" s="110"/>
      <c r="H25" s="104">
        <v>22</v>
      </c>
      <c r="I25" s="1" t="s">
        <v>36</v>
      </c>
      <c r="J25" s="16" t="s">
        <v>91</v>
      </c>
      <c r="K25" s="9" t="s">
        <v>124</v>
      </c>
      <c r="L25" t="s">
        <v>152</v>
      </c>
      <c r="M25" s="9" t="s">
        <v>130</v>
      </c>
    </row>
    <row r="26" spans="1:14" x14ac:dyDescent="0.25">
      <c r="A26" s="104">
        <v>23</v>
      </c>
      <c r="B26" s="1" t="s">
        <v>36</v>
      </c>
      <c r="C26" s="16" t="s">
        <v>91</v>
      </c>
      <c r="D26" s="4" t="s">
        <v>150</v>
      </c>
      <c r="E26" s="9" t="s">
        <v>124</v>
      </c>
      <c r="F26" s="110"/>
      <c r="H26" s="104">
        <v>23</v>
      </c>
      <c r="I26" s="1" t="s">
        <v>11</v>
      </c>
      <c r="J26" s="1" t="s">
        <v>59</v>
      </c>
      <c r="K26" s="9" t="s">
        <v>129</v>
      </c>
      <c r="L26" s="22"/>
      <c r="M26" s="9" t="s">
        <v>121</v>
      </c>
    </row>
    <row r="27" spans="1:14" x14ac:dyDescent="0.25">
      <c r="A27" s="104">
        <v>24</v>
      </c>
      <c r="B27" s="1" t="s">
        <v>11</v>
      </c>
      <c r="C27" s="1" t="s">
        <v>59</v>
      </c>
      <c r="D27" s="4" t="s">
        <v>150</v>
      </c>
      <c r="E27" s="9" t="s">
        <v>129</v>
      </c>
      <c r="F27" s="110"/>
      <c r="H27" s="104">
        <v>24</v>
      </c>
      <c r="I27" s="1" t="s">
        <v>12</v>
      </c>
      <c r="J27" s="1" t="s">
        <v>58</v>
      </c>
      <c r="K27" s="9" t="s">
        <v>147</v>
      </c>
      <c r="L27" s="22"/>
      <c r="M27" s="9" t="s">
        <v>122</v>
      </c>
    </row>
    <row r="28" spans="1:14" x14ac:dyDescent="0.25">
      <c r="A28" s="104">
        <v>25</v>
      </c>
      <c r="B28" s="1" t="s">
        <v>12</v>
      </c>
      <c r="C28" s="1" t="s">
        <v>58</v>
      </c>
      <c r="D28" s="4" t="s">
        <v>150</v>
      </c>
      <c r="E28" s="9" t="s">
        <v>147</v>
      </c>
      <c r="F28" s="110"/>
      <c r="H28" s="104">
        <v>25</v>
      </c>
      <c r="I28" s="1" t="s">
        <v>13</v>
      </c>
      <c r="J28" s="1" t="s">
        <v>57</v>
      </c>
      <c r="K28" s="9" t="s">
        <v>131</v>
      </c>
      <c r="L28" s="22"/>
      <c r="M28" s="9" t="s">
        <v>124</v>
      </c>
    </row>
    <row r="29" spans="1:14" x14ac:dyDescent="0.25">
      <c r="A29" s="104">
        <v>26</v>
      </c>
      <c r="B29" s="1" t="s">
        <v>13</v>
      </c>
      <c r="C29" s="1" t="s">
        <v>57</v>
      </c>
      <c r="D29" s="4" t="s">
        <v>150</v>
      </c>
      <c r="E29" s="9" t="s">
        <v>131</v>
      </c>
      <c r="F29" s="110"/>
      <c r="H29" s="104">
        <v>26</v>
      </c>
      <c r="I29" s="1" t="s">
        <v>14</v>
      </c>
      <c r="J29" s="1" t="s">
        <v>56</v>
      </c>
      <c r="K29" s="9" t="s">
        <v>132</v>
      </c>
      <c r="L29" s="22"/>
      <c r="M29" s="9" t="s">
        <v>129</v>
      </c>
    </row>
    <row r="30" spans="1:14" x14ac:dyDescent="0.25">
      <c r="A30" s="104">
        <v>27</v>
      </c>
      <c r="B30" s="1" t="s">
        <v>14</v>
      </c>
      <c r="C30" s="1" t="s">
        <v>56</v>
      </c>
      <c r="D30" s="4" t="s">
        <v>150</v>
      </c>
      <c r="E30" s="9" t="s">
        <v>132</v>
      </c>
      <c r="F30" s="110"/>
      <c r="H30" s="104">
        <v>27</v>
      </c>
      <c r="I30" s="1" t="s">
        <v>15</v>
      </c>
      <c r="J30" s="1" t="s">
        <v>55</v>
      </c>
      <c r="K30" s="9" t="s">
        <v>133</v>
      </c>
      <c r="L30" t="s">
        <v>152</v>
      </c>
      <c r="M30" s="9" t="s">
        <v>128</v>
      </c>
    </row>
    <row r="31" spans="1:14" x14ac:dyDescent="0.25">
      <c r="A31" s="104">
        <v>28</v>
      </c>
      <c r="B31" s="1" t="s">
        <v>15</v>
      </c>
      <c r="C31" s="1" t="s">
        <v>55</v>
      </c>
      <c r="D31" s="4" t="s">
        <v>150</v>
      </c>
      <c r="E31" s="9" t="s">
        <v>133</v>
      </c>
      <c r="F31" s="110"/>
      <c r="H31" s="104">
        <v>28</v>
      </c>
      <c r="I31" s="1" t="s">
        <v>16</v>
      </c>
      <c r="J31" s="1" t="s">
        <v>54</v>
      </c>
      <c r="K31" s="9" t="s">
        <v>134</v>
      </c>
      <c r="L31" t="s">
        <v>152</v>
      </c>
      <c r="M31" s="9" t="s">
        <v>127</v>
      </c>
    </row>
    <row r="32" spans="1:14" x14ac:dyDescent="0.25">
      <c r="A32" s="104">
        <v>29</v>
      </c>
      <c r="B32" s="1" t="s">
        <v>16</v>
      </c>
      <c r="C32" s="1" t="s">
        <v>54</v>
      </c>
      <c r="D32" s="4" t="s">
        <v>150</v>
      </c>
      <c r="E32" s="9" t="s">
        <v>134</v>
      </c>
      <c r="F32" s="110"/>
      <c r="H32" s="104">
        <v>29</v>
      </c>
      <c r="I32" s="1" t="s">
        <v>17</v>
      </c>
      <c r="J32" s="1" t="s">
        <v>53</v>
      </c>
      <c r="K32" s="9" t="s">
        <v>135</v>
      </c>
      <c r="L32" t="s">
        <v>152</v>
      </c>
      <c r="M32" s="10" t="s">
        <v>144</v>
      </c>
    </row>
    <row r="33" spans="1:13" x14ac:dyDescent="0.25">
      <c r="A33" s="104">
        <v>30</v>
      </c>
      <c r="B33" s="1" t="s">
        <v>17</v>
      </c>
      <c r="C33" s="1" t="s">
        <v>53</v>
      </c>
      <c r="D33" s="4" t="s">
        <v>150</v>
      </c>
      <c r="E33" s="9" t="s">
        <v>135</v>
      </c>
      <c r="F33" s="110"/>
      <c r="H33" s="104">
        <v>30</v>
      </c>
      <c r="I33" s="1" t="s">
        <v>18</v>
      </c>
      <c r="J33" s="1" t="s">
        <v>52</v>
      </c>
      <c r="K33" s="9" t="s">
        <v>136</v>
      </c>
      <c r="L33" s="22"/>
      <c r="M33" s="10" t="s">
        <v>143</v>
      </c>
    </row>
    <row r="34" spans="1:13" x14ac:dyDescent="0.25">
      <c r="A34" s="104">
        <v>31</v>
      </c>
      <c r="B34" s="1" t="s">
        <v>18</v>
      </c>
      <c r="C34" s="1" t="s">
        <v>52</v>
      </c>
      <c r="D34" s="4" t="s">
        <v>150</v>
      </c>
      <c r="E34" s="9" t="s">
        <v>136</v>
      </c>
      <c r="F34" s="110"/>
      <c r="H34" s="104">
        <v>31</v>
      </c>
      <c r="I34" s="1" t="s">
        <v>19</v>
      </c>
      <c r="J34" s="1" t="s">
        <v>51</v>
      </c>
      <c r="K34" s="9" t="s">
        <v>137</v>
      </c>
      <c r="L34" t="s">
        <v>152</v>
      </c>
      <c r="M34" s="10" t="s">
        <v>142</v>
      </c>
    </row>
    <row r="35" spans="1:13" x14ac:dyDescent="0.25">
      <c r="A35" s="104">
        <v>32</v>
      </c>
      <c r="B35" s="1" t="s">
        <v>19</v>
      </c>
      <c r="C35" s="1" t="s">
        <v>51</v>
      </c>
      <c r="D35" s="4" t="s">
        <v>150</v>
      </c>
      <c r="E35" s="9" t="s">
        <v>137</v>
      </c>
      <c r="F35" s="110"/>
      <c r="H35" s="104">
        <v>32</v>
      </c>
      <c r="I35" s="1" t="s">
        <v>2</v>
      </c>
      <c r="J35" s="1" t="s">
        <v>50</v>
      </c>
      <c r="K35" s="10" t="s">
        <v>138</v>
      </c>
      <c r="L35" t="s">
        <v>152</v>
      </c>
      <c r="M35" s="10" t="s">
        <v>141</v>
      </c>
    </row>
    <row r="36" spans="1:13" x14ac:dyDescent="0.25">
      <c r="A36" s="104">
        <v>33</v>
      </c>
      <c r="B36" s="1" t="s">
        <v>2</v>
      </c>
      <c r="C36" s="1" t="s">
        <v>50</v>
      </c>
      <c r="D36" s="4" t="s">
        <v>150</v>
      </c>
      <c r="E36" s="10" t="s">
        <v>138</v>
      </c>
      <c r="F36" s="111"/>
      <c r="H36" s="104">
        <v>33</v>
      </c>
      <c r="I36" s="1" t="s">
        <v>20</v>
      </c>
      <c r="J36" s="1" t="s">
        <v>49</v>
      </c>
      <c r="K36" s="10" t="s">
        <v>139</v>
      </c>
      <c r="L36" t="s">
        <v>152</v>
      </c>
      <c r="M36" s="10" t="s">
        <v>145</v>
      </c>
    </row>
    <row r="37" spans="1:13" x14ac:dyDescent="0.25">
      <c r="A37" s="104">
        <v>34</v>
      </c>
      <c r="B37" s="1" t="s">
        <v>20</v>
      </c>
      <c r="C37" s="1" t="s">
        <v>49</v>
      </c>
      <c r="D37" s="4" t="s">
        <v>150</v>
      </c>
      <c r="E37" s="10" t="s">
        <v>139</v>
      </c>
      <c r="F37" s="111"/>
      <c r="H37" s="104">
        <v>34</v>
      </c>
      <c r="I37" s="1" t="s">
        <v>21</v>
      </c>
      <c r="J37" s="1" t="s">
        <v>48</v>
      </c>
      <c r="K37" s="10" t="s">
        <v>140</v>
      </c>
      <c r="L37" t="s">
        <v>152</v>
      </c>
      <c r="M37" s="10" t="s">
        <v>146</v>
      </c>
    </row>
    <row r="38" spans="1:13" x14ac:dyDescent="0.25">
      <c r="A38" s="104">
        <v>35</v>
      </c>
      <c r="B38" s="1" t="s">
        <v>21</v>
      </c>
      <c r="C38" s="1" t="s">
        <v>48</v>
      </c>
      <c r="D38" s="4" t="s">
        <v>150</v>
      </c>
      <c r="E38" s="10" t="s">
        <v>140</v>
      </c>
      <c r="F38" s="111"/>
      <c r="H38" s="104">
        <v>35</v>
      </c>
      <c r="I38" s="14" t="s">
        <v>10</v>
      </c>
      <c r="J38" s="17" t="s">
        <v>75</v>
      </c>
      <c r="K38" s="12" t="s">
        <v>107</v>
      </c>
      <c r="L38" t="s">
        <v>152</v>
      </c>
    </row>
    <row r="39" spans="1:13" x14ac:dyDescent="0.25">
      <c r="A39" s="104">
        <v>36</v>
      </c>
      <c r="B39" s="1" t="s">
        <v>37</v>
      </c>
      <c r="C39" s="1" t="s">
        <v>64</v>
      </c>
      <c r="D39" s="4" t="s">
        <v>150</v>
      </c>
      <c r="E39" s="10" t="s">
        <v>125</v>
      </c>
      <c r="F39" s="111"/>
      <c r="H39" s="104">
        <v>36</v>
      </c>
      <c r="I39" s="1" t="s">
        <v>37</v>
      </c>
      <c r="J39" s="1" t="s">
        <v>64</v>
      </c>
      <c r="K39" s="10" t="s">
        <v>125</v>
      </c>
      <c r="L39" t="s">
        <v>152</v>
      </c>
      <c r="M39" s="8" t="s">
        <v>108</v>
      </c>
    </row>
    <row r="40" spans="1:13" x14ac:dyDescent="0.25">
      <c r="A40" s="104">
        <v>37</v>
      </c>
      <c r="B40" s="1" t="s">
        <v>38</v>
      </c>
      <c r="C40" s="1" t="s">
        <v>65</v>
      </c>
      <c r="D40" s="4" t="s">
        <v>150</v>
      </c>
      <c r="E40" s="10" t="s">
        <v>123</v>
      </c>
      <c r="F40" s="111"/>
      <c r="H40" s="104">
        <v>37</v>
      </c>
      <c r="I40" s="1" t="s">
        <v>38</v>
      </c>
      <c r="J40" s="1" t="s">
        <v>65</v>
      </c>
      <c r="K40" s="10" t="s">
        <v>123</v>
      </c>
      <c r="L40" t="s">
        <v>152</v>
      </c>
      <c r="M40" s="8" t="s">
        <v>109</v>
      </c>
    </row>
    <row r="41" spans="1:13" x14ac:dyDescent="0.25">
      <c r="A41" s="104">
        <v>38</v>
      </c>
      <c r="B41" s="1" t="s">
        <v>39</v>
      </c>
      <c r="C41" s="1" t="s">
        <v>66</v>
      </c>
      <c r="D41" s="4" t="s">
        <v>150</v>
      </c>
      <c r="E41" s="10" t="s">
        <v>126</v>
      </c>
      <c r="F41" s="111"/>
      <c r="H41" s="104">
        <v>38</v>
      </c>
      <c r="I41" s="1" t="s">
        <v>39</v>
      </c>
      <c r="J41" s="1" t="s">
        <v>66</v>
      </c>
      <c r="K41" s="10" t="s">
        <v>126</v>
      </c>
      <c r="L41" t="s">
        <v>152</v>
      </c>
      <c r="M41" s="8" t="s">
        <v>110</v>
      </c>
    </row>
    <row r="42" spans="1:13" x14ac:dyDescent="0.25">
      <c r="A42" s="104">
        <v>39</v>
      </c>
      <c r="B42" s="1" t="s">
        <v>40</v>
      </c>
      <c r="C42" s="1" t="s">
        <v>67</v>
      </c>
      <c r="D42" s="4" t="s">
        <v>150</v>
      </c>
      <c r="E42" s="10" t="s">
        <v>130</v>
      </c>
      <c r="F42" s="111"/>
      <c r="H42" s="104">
        <v>39</v>
      </c>
      <c r="I42" s="1" t="s">
        <v>40</v>
      </c>
      <c r="J42" s="1" t="s">
        <v>67</v>
      </c>
      <c r="K42" s="10" t="s">
        <v>130</v>
      </c>
      <c r="L42" t="s">
        <v>152</v>
      </c>
      <c r="M42" s="8" t="s">
        <v>111</v>
      </c>
    </row>
    <row r="43" spans="1:13" x14ac:dyDescent="0.25">
      <c r="A43" s="104">
        <v>40</v>
      </c>
      <c r="B43" s="1" t="s">
        <v>41</v>
      </c>
      <c r="C43" s="1" t="s">
        <v>68</v>
      </c>
      <c r="D43" s="4" t="s">
        <v>150</v>
      </c>
      <c r="E43" s="10" t="s">
        <v>128</v>
      </c>
      <c r="F43" s="111"/>
      <c r="H43" s="104">
        <v>40</v>
      </c>
      <c r="I43" s="1" t="s">
        <v>41</v>
      </c>
      <c r="J43" s="1" t="s">
        <v>68</v>
      </c>
      <c r="K43" s="10" t="s">
        <v>128</v>
      </c>
      <c r="L43" t="s">
        <v>152</v>
      </c>
      <c r="M43" s="8" t="s">
        <v>112</v>
      </c>
    </row>
    <row r="44" spans="1:13" x14ac:dyDescent="0.25">
      <c r="A44" s="104">
        <v>41</v>
      </c>
      <c r="B44" s="1" t="s">
        <v>42</v>
      </c>
      <c r="C44" s="1" t="s">
        <v>69</v>
      </c>
      <c r="D44" s="4" t="s">
        <v>150</v>
      </c>
      <c r="E44" s="10" t="s">
        <v>127</v>
      </c>
      <c r="F44" s="111"/>
      <c r="H44" s="104">
        <v>41</v>
      </c>
      <c r="I44" s="1" t="s">
        <v>42</v>
      </c>
      <c r="J44" s="1" t="s">
        <v>69</v>
      </c>
      <c r="K44" s="10" t="s">
        <v>127</v>
      </c>
      <c r="L44" t="s">
        <v>152</v>
      </c>
      <c r="M44" s="8" t="s">
        <v>113</v>
      </c>
    </row>
    <row r="45" spans="1:13" x14ac:dyDescent="0.25">
      <c r="A45" s="104">
        <v>42</v>
      </c>
      <c r="B45" s="1" t="s">
        <v>43</v>
      </c>
      <c r="C45" s="1" t="s">
        <v>70</v>
      </c>
      <c r="D45" s="4" t="s">
        <v>150</v>
      </c>
      <c r="E45" s="10" t="s">
        <v>144</v>
      </c>
      <c r="F45" s="111"/>
      <c r="H45" s="104">
        <v>42</v>
      </c>
      <c r="I45" s="1" t="s">
        <v>43</v>
      </c>
      <c r="J45" s="1" t="s">
        <v>70</v>
      </c>
      <c r="K45" s="10" t="s">
        <v>144</v>
      </c>
      <c r="L45" t="s">
        <v>152</v>
      </c>
      <c r="M45" s="8" t="s">
        <v>114</v>
      </c>
    </row>
    <row r="46" spans="1:13" x14ac:dyDescent="0.25">
      <c r="A46" s="104">
        <v>43</v>
      </c>
      <c r="B46" s="1" t="s">
        <v>44</v>
      </c>
      <c r="C46" s="1" t="s">
        <v>71</v>
      </c>
      <c r="D46" s="4" t="s">
        <v>150</v>
      </c>
      <c r="E46" s="10" t="s">
        <v>143</v>
      </c>
      <c r="F46" s="111"/>
      <c r="H46" s="104">
        <v>43</v>
      </c>
      <c r="I46" s="1" t="s">
        <v>44</v>
      </c>
      <c r="J46" s="1" t="s">
        <v>71</v>
      </c>
      <c r="K46" s="10" t="s">
        <v>143</v>
      </c>
      <c r="L46" t="s">
        <v>152</v>
      </c>
      <c r="M46" s="8" t="s">
        <v>115</v>
      </c>
    </row>
    <row r="47" spans="1:13" x14ac:dyDescent="0.25">
      <c r="A47" s="104">
        <v>44</v>
      </c>
      <c r="B47" s="1" t="s">
        <v>45</v>
      </c>
      <c r="C47" s="1" t="s">
        <v>92</v>
      </c>
      <c r="D47" s="4" t="s">
        <v>150</v>
      </c>
      <c r="E47" s="10" t="s">
        <v>142</v>
      </c>
      <c r="F47" s="111"/>
      <c r="H47" s="104">
        <v>44</v>
      </c>
      <c r="I47" s="1" t="s">
        <v>45</v>
      </c>
      <c r="J47" s="1" t="s">
        <v>92</v>
      </c>
      <c r="K47" s="10" t="s">
        <v>142</v>
      </c>
      <c r="L47" t="s">
        <v>152</v>
      </c>
      <c r="M47" s="8" t="s">
        <v>116</v>
      </c>
    </row>
    <row r="48" spans="1:13" x14ac:dyDescent="0.25">
      <c r="A48" s="104">
        <v>45</v>
      </c>
      <c r="B48" s="1" t="s">
        <v>46</v>
      </c>
      <c r="C48" s="1" t="s">
        <v>93</v>
      </c>
      <c r="D48" s="4" t="s">
        <v>150</v>
      </c>
      <c r="E48" s="10" t="s">
        <v>141</v>
      </c>
      <c r="F48" s="111"/>
      <c r="H48" s="104">
        <v>45</v>
      </c>
      <c r="I48" s="1" t="s">
        <v>46</v>
      </c>
      <c r="J48" s="1" t="s">
        <v>93</v>
      </c>
      <c r="K48" s="10" t="s">
        <v>141</v>
      </c>
      <c r="L48" t="s">
        <v>152</v>
      </c>
      <c r="M48" s="9" t="s">
        <v>117</v>
      </c>
    </row>
    <row r="49" spans="1:13" x14ac:dyDescent="0.25">
      <c r="A49" s="104">
        <v>46</v>
      </c>
      <c r="B49" s="1" t="s">
        <v>47</v>
      </c>
      <c r="C49" s="1" t="s">
        <v>94</v>
      </c>
      <c r="D49" s="4" t="s">
        <v>150</v>
      </c>
      <c r="E49" s="10" t="s">
        <v>145</v>
      </c>
      <c r="F49" s="111"/>
      <c r="H49" s="104">
        <v>46</v>
      </c>
      <c r="I49" s="1" t="s">
        <v>47</v>
      </c>
      <c r="J49" s="1" t="s">
        <v>94</v>
      </c>
      <c r="K49" s="10" t="s">
        <v>145</v>
      </c>
      <c r="L49" t="s">
        <v>152</v>
      </c>
      <c r="M49" s="9" t="s">
        <v>118</v>
      </c>
    </row>
    <row r="50" spans="1:13" x14ac:dyDescent="0.25">
      <c r="A50" s="104">
        <v>47</v>
      </c>
      <c r="B50" s="1" t="s">
        <v>3</v>
      </c>
      <c r="C50" s="1" t="s">
        <v>95</v>
      </c>
      <c r="D50" s="4" t="s">
        <v>150</v>
      </c>
      <c r="E50" s="10" t="s">
        <v>146</v>
      </c>
      <c r="F50" s="111"/>
      <c r="H50" s="104">
        <v>47</v>
      </c>
      <c r="I50" s="1" t="s">
        <v>3</v>
      </c>
      <c r="J50" s="1" t="s">
        <v>95</v>
      </c>
      <c r="K50" s="10" t="s">
        <v>146</v>
      </c>
      <c r="L50" t="s">
        <v>152</v>
      </c>
      <c r="M50" s="9" t="s">
        <v>119</v>
      </c>
    </row>
    <row r="51" spans="1:13" x14ac:dyDescent="0.25">
      <c r="A51" s="104">
        <v>48</v>
      </c>
      <c r="B51" s="1" t="s">
        <v>238</v>
      </c>
      <c r="C51" s="1" t="s">
        <v>235</v>
      </c>
      <c r="D51" s="4" t="s">
        <v>150</v>
      </c>
      <c r="E51" s="10" t="s">
        <v>232</v>
      </c>
      <c r="F51" s="111"/>
      <c r="H51" s="104">
        <v>48</v>
      </c>
      <c r="I51" s="1" t="s">
        <v>238</v>
      </c>
      <c r="J51" s="1" t="s">
        <v>235</v>
      </c>
      <c r="K51" s="10" t="s">
        <v>232</v>
      </c>
      <c r="L51" t="s">
        <v>152</v>
      </c>
    </row>
    <row r="52" spans="1:13" x14ac:dyDescent="0.25">
      <c r="A52" s="104">
        <v>49</v>
      </c>
      <c r="B52" s="1" t="s">
        <v>239</v>
      </c>
      <c r="C52" s="1" t="s">
        <v>236</v>
      </c>
      <c r="D52" s="4" t="s">
        <v>150</v>
      </c>
      <c r="E52" s="10" t="s">
        <v>233</v>
      </c>
      <c r="F52" s="111"/>
      <c r="H52" s="104">
        <v>49</v>
      </c>
      <c r="I52" s="1" t="s">
        <v>239</v>
      </c>
      <c r="J52" s="1" t="s">
        <v>236</v>
      </c>
      <c r="K52" s="10" t="s">
        <v>233</v>
      </c>
      <c r="L52" t="s">
        <v>152</v>
      </c>
    </row>
    <row r="53" spans="1:13" x14ac:dyDescent="0.25">
      <c r="A53" s="104">
        <v>50</v>
      </c>
      <c r="B53" s="1" t="s">
        <v>240</v>
      </c>
      <c r="C53" s="1" t="s">
        <v>237</v>
      </c>
      <c r="D53" s="4" t="s">
        <v>150</v>
      </c>
      <c r="E53" s="10" t="s">
        <v>234</v>
      </c>
      <c r="F53" s="111"/>
      <c r="H53" s="104">
        <v>50</v>
      </c>
      <c r="I53" s="1" t="s">
        <v>240</v>
      </c>
      <c r="J53" s="1" t="s">
        <v>237</v>
      </c>
      <c r="K53" s="10" t="s">
        <v>234</v>
      </c>
    </row>
    <row r="54" spans="1:13" x14ac:dyDescent="0.25">
      <c r="E54" s="5"/>
      <c r="F54" s="5"/>
    </row>
    <row r="55" spans="1:13" x14ac:dyDescent="0.25">
      <c r="E55" s="5"/>
      <c r="F55" s="5"/>
    </row>
    <row r="56" spans="1:13" x14ac:dyDescent="0.25">
      <c r="B56" t="s">
        <v>277</v>
      </c>
      <c r="E56" s="5"/>
      <c r="F56" s="5"/>
    </row>
    <row r="57" spans="1:13" x14ac:dyDescent="0.25">
      <c r="E57" s="5"/>
      <c r="F57" s="5"/>
    </row>
    <row r="58" spans="1:13" x14ac:dyDescent="0.25">
      <c r="A58" s="3">
        <v>1</v>
      </c>
      <c r="B58" t="s">
        <v>318</v>
      </c>
      <c r="C58" s="5" t="s">
        <v>278</v>
      </c>
      <c r="E58" s="5" t="s">
        <v>298</v>
      </c>
      <c r="F58" s="5"/>
    </row>
    <row r="59" spans="1:13" x14ac:dyDescent="0.25">
      <c r="A59" s="3">
        <v>2</v>
      </c>
      <c r="B59" t="s">
        <v>319</v>
      </c>
      <c r="C59" s="5" t="s">
        <v>279</v>
      </c>
      <c r="E59" s="5" t="s">
        <v>299</v>
      </c>
      <c r="F59" s="5"/>
    </row>
    <row r="60" spans="1:13" x14ac:dyDescent="0.25">
      <c r="A60" s="3">
        <v>3</v>
      </c>
      <c r="B60" s="106" t="s">
        <v>320</v>
      </c>
      <c r="C60" s="5" t="s">
        <v>280</v>
      </c>
      <c r="E60" s="5" t="s">
        <v>300</v>
      </c>
      <c r="F60" s="5"/>
    </row>
    <row r="61" spans="1:13" x14ac:dyDescent="0.25">
      <c r="A61" s="3">
        <v>4</v>
      </c>
      <c r="B61" s="106" t="s">
        <v>321</v>
      </c>
      <c r="C61" s="5" t="s">
        <v>281</v>
      </c>
      <c r="E61" s="5" t="s">
        <v>301</v>
      </c>
      <c r="F61" s="5"/>
    </row>
    <row r="62" spans="1:13" x14ac:dyDescent="0.25">
      <c r="A62" s="3">
        <v>5</v>
      </c>
      <c r="B62" s="106" t="s">
        <v>322</v>
      </c>
      <c r="C62" s="5" t="s">
        <v>282</v>
      </c>
      <c r="E62" s="5" t="s">
        <v>302</v>
      </c>
      <c r="F62" s="5"/>
    </row>
    <row r="63" spans="1:13" x14ac:dyDescent="0.25">
      <c r="A63" s="3">
        <v>6</v>
      </c>
      <c r="B63" s="106" t="s">
        <v>323</v>
      </c>
      <c r="C63" s="5" t="s">
        <v>283</v>
      </c>
      <c r="E63" s="5" t="s">
        <v>303</v>
      </c>
      <c r="F63" s="5"/>
    </row>
    <row r="64" spans="1:13" x14ac:dyDescent="0.25">
      <c r="A64" s="3">
        <v>7</v>
      </c>
      <c r="B64" s="106" t="s">
        <v>324</v>
      </c>
      <c r="C64" s="5" t="s">
        <v>284</v>
      </c>
      <c r="E64" s="5" t="s">
        <v>304</v>
      </c>
      <c r="F64" s="5"/>
    </row>
    <row r="65" spans="1:6" x14ac:dyDescent="0.25">
      <c r="A65" s="3">
        <v>8</v>
      </c>
      <c r="B65" s="106" t="s">
        <v>325</v>
      </c>
      <c r="C65" s="5" t="s">
        <v>285</v>
      </c>
      <c r="E65" s="5" t="s">
        <v>305</v>
      </c>
      <c r="F65" s="5"/>
    </row>
    <row r="66" spans="1:6" x14ac:dyDescent="0.25">
      <c r="A66" s="3">
        <v>9</v>
      </c>
      <c r="B66" s="106" t="s">
        <v>326</v>
      </c>
      <c r="C66" s="5" t="s">
        <v>286</v>
      </c>
      <c r="E66" s="5" t="s">
        <v>306</v>
      </c>
      <c r="F66" s="5"/>
    </row>
    <row r="67" spans="1:6" x14ac:dyDescent="0.25">
      <c r="A67" s="3">
        <v>10</v>
      </c>
      <c r="B67" s="106" t="s">
        <v>327</v>
      </c>
      <c r="C67" s="5" t="s">
        <v>287</v>
      </c>
      <c r="E67" s="5" t="s">
        <v>307</v>
      </c>
      <c r="F67" s="5"/>
    </row>
    <row r="68" spans="1:6" x14ac:dyDescent="0.25">
      <c r="A68" s="3">
        <v>11</v>
      </c>
      <c r="B68" s="106" t="s">
        <v>328</v>
      </c>
      <c r="C68" s="5" t="s">
        <v>288</v>
      </c>
      <c r="E68" s="5" t="s">
        <v>308</v>
      </c>
      <c r="F68" s="5"/>
    </row>
    <row r="69" spans="1:6" x14ac:dyDescent="0.25">
      <c r="A69" s="3">
        <v>12</v>
      </c>
      <c r="B69" s="106" t="s">
        <v>329</v>
      </c>
      <c r="C69" s="5" t="s">
        <v>289</v>
      </c>
      <c r="E69" s="6" t="s">
        <v>310</v>
      </c>
    </row>
    <row r="70" spans="1:6" x14ac:dyDescent="0.25">
      <c r="A70" s="3">
        <v>13</v>
      </c>
      <c r="B70" s="106" t="s">
        <v>330</v>
      </c>
      <c r="C70" s="5" t="s">
        <v>290</v>
      </c>
      <c r="E70" s="6" t="s">
        <v>309</v>
      </c>
    </row>
    <row r="71" spans="1:6" x14ac:dyDescent="0.25">
      <c r="A71" s="3">
        <v>14</v>
      </c>
      <c r="B71" s="106" t="s">
        <v>331</v>
      </c>
      <c r="C71" s="5" t="s">
        <v>291</v>
      </c>
      <c r="E71" s="6" t="s">
        <v>311</v>
      </c>
    </row>
    <row r="72" spans="1:6" x14ac:dyDescent="0.25">
      <c r="A72" s="3">
        <v>15</v>
      </c>
      <c r="B72" s="106" t="s">
        <v>332</v>
      </c>
      <c r="C72" s="5" t="s">
        <v>292</v>
      </c>
      <c r="E72" s="6" t="s">
        <v>312</v>
      </c>
    </row>
    <row r="73" spans="1:6" x14ac:dyDescent="0.25">
      <c r="A73" s="3">
        <v>16</v>
      </c>
      <c r="B73" t="s">
        <v>333</v>
      </c>
      <c r="C73" s="5" t="s">
        <v>293</v>
      </c>
      <c r="E73" s="6" t="s">
        <v>313</v>
      </c>
    </row>
    <row r="74" spans="1:6" x14ac:dyDescent="0.25">
      <c r="A74" s="3">
        <v>17</v>
      </c>
      <c r="B74" t="s">
        <v>334</v>
      </c>
      <c r="C74" s="5" t="s">
        <v>294</v>
      </c>
      <c r="E74" s="6" t="s">
        <v>314</v>
      </c>
    </row>
    <row r="75" spans="1:6" x14ac:dyDescent="0.25">
      <c r="A75" s="3">
        <v>18</v>
      </c>
      <c r="B75" t="s">
        <v>335</v>
      </c>
      <c r="C75" s="5" t="s">
        <v>295</v>
      </c>
      <c r="E75" s="6" t="s">
        <v>315</v>
      </c>
    </row>
    <row r="76" spans="1:6" x14ac:dyDescent="0.25">
      <c r="A76" s="3">
        <v>19</v>
      </c>
      <c r="B76" t="s">
        <v>336</v>
      </c>
      <c r="C76" s="5" t="s">
        <v>296</v>
      </c>
      <c r="E76" s="6" t="s">
        <v>316</v>
      </c>
    </row>
    <row r="77" spans="1:6" x14ac:dyDescent="0.25">
      <c r="A77" s="3">
        <v>20</v>
      </c>
      <c r="B77" t="s">
        <v>337</v>
      </c>
      <c r="C77" s="5" t="s">
        <v>297</v>
      </c>
      <c r="E77" s="6" t="s">
        <v>317</v>
      </c>
    </row>
  </sheetData>
  <mergeCells count="2">
    <mergeCell ref="A1:E1"/>
    <mergeCell ref="H1:K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9"/>
  <sheetViews>
    <sheetView topLeftCell="A132" workbookViewId="0">
      <selection activeCell="K148" sqref="K148"/>
    </sheetView>
  </sheetViews>
  <sheetFormatPr defaultRowHeight="15" x14ac:dyDescent="0.25"/>
  <cols>
    <col min="2" max="2" width="20.85546875" customWidth="1"/>
    <col min="3" max="3" width="12" bestFit="1" customWidth="1"/>
    <col min="5" max="5" width="11.85546875" customWidth="1"/>
    <col min="6" max="6" width="11.28515625" customWidth="1"/>
    <col min="7" max="7" width="7.5703125" customWidth="1"/>
    <col min="8" max="8" width="13.140625" customWidth="1"/>
    <col min="12" max="12" width="23.28515625" bestFit="1" customWidth="1"/>
  </cols>
  <sheetData>
    <row r="2" spans="2:18" ht="15.75" x14ac:dyDescent="0.25">
      <c r="B2" s="121" t="s">
        <v>155</v>
      </c>
      <c r="C2" s="122"/>
      <c r="D2" s="122"/>
      <c r="E2" s="122"/>
      <c r="F2" s="123"/>
      <c r="G2" s="23"/>
      <c r="H2" s="133" t="s">
        <v>156</v>
      </c>
      <c r="I2" s="133"/>
      <c r="J2" s="133"/>
      <c r="K2" s="133"/>
      <c r="L2" s="133"/>
      <c r="M2" s="133"/>
      <c r="N2" s="133"/>
      <c r="O2" s="133"/>
      <c r="P2" s="133"/>
      <c r="Q2" s="133"/>
      <c r="R2" s="134"/>
    </row>
    <row r="3" spans="2:18" ht="15.75" x14ac:dyDescent="0.25">
      <c r="B3" s="135" t="s">
        <v>157</v>
      </c>
      <c r="C3" s="135"/>
      <c r="D3" s="24"/>
      <c r="E3" s="136" t="s">
        <v>158</v>
      </c>
      <c r="F3" s="136"/>
      <c r="G3" s="25"/>
      <c r="H3" s="26"/>
      <c r="I3" s="26"/>
      <c r="J3" s="26"/>
      <c r="K3" s="26"/>
      <c r="L3" s="26"/>
      <c r="M3" s="26"/>
      <c r="N3" s="26"/>
      <c r="O3" s="26"/>
      <c r="P3" s="26"/>
      <c r="Q3" s="24"/>
      <c r="R3" s="23"/>
    </row>
    <row r="4" spans="2:18" ht="15.75" x14ac:dyDescent="0.25">
      <c r="B4" s="27" t="s">
        <v>159</v>
      </c>
      <c r="C4" s="28">
        <v>1.2</v>
      </c>
      <c r="D4" s="29"/>
      <c r="E4" s="30" t="s">
        <v>160</v>
      </c>
      <c r="F4" s="31">
        <v>2700</v>
      </c>
      <c r="G4" s="25"/>
      <c r="H4" s="137" t="s">
        <v>161</v>
      </c>
      <c r="I4" s="137"/>
      <c r="J4" s="32"/>
      <c r="K4" s="29"/>
      <c r="L4" s="33"/>
      <c r="M4" s="33"/>
      <c r="N4" s="33"/>
      <c r="O4" s="33"/>
      <c r="P4" s="33"/>
      <c r="Q4" s="29"/>
      <c r="R4" s="25"/>
    </row>
    <row r="5" spans="2:18" ht="15.75" x14ac:dyDescent="0.25">
      <c r="B5" s="27" t="s">
        <v>162</v>
      </c>
      <c r="C5" s="28">
        <f xml:space="preserve"> 0.0045*C4</f>
        <v>5.3999999999999994E-3</v>
      </c>
      <c r="D5" s="29"/>
      <c r="E5" s="30" t="s">
        <v>163</v>
      </c>
      <c r="F5" s="31">
        <v>4096</v>
      </c>
      <c r="G5" s="25"/>
      <c r="H5" s="33"/>
      <c r="I5" s="33"/>
      <c r="J5" s="33"/>
      <c r="K5" s="33"/>
      <c r="L5" s="33"/>
      <c r="M5" s="33"/>
      <c r="N5" s="33"/>
      <c r="O5" s="33"/>
      <c r="P5" s="33"/>
      <c r="Q5" s="29"/>
      <c r="R5" s="25"/>
    </row>
    <row r="6" spans="2:18" ht="15.75" x14ac:dyDescent="0.25">
      <c r="B6" s="27" t="s">
        <v>164</v>
      </c>
      <c r="C6" s="28">
        <v>2.5</v>
      </c>
      <c r="D6" s="29"/>
      <c r="E6" s="30" t="s">
        <v>165</v>
      </c>
      <c r="F6" s="31">
        <v>5</v>
      </c>
      <c r="G6" s="25"/>
      <c r="H6" s="137" t="s">
        <v>166</v>
      </c>
      <c r="I6" s="137"/>
      <c r="J6" s="32"/>
      <c r="K6" s="29"/>
      <c r="L6" s="33"/>
      <c r="M6" s="33"/>
      <c r="N6" s="33"/>
      <c r="O6" s="33"/>
      <c r="P6" s="33"/>
      <c r="Q6" s="29"/>
      <c r="R6" s="25"/>
    </row>
    <row r="7" spans="2:18" ht="15.75" x14ac:dyDescent="0.25">
      <c r="B7" s="27" t="s">
        <v>167</v>
      </c>
      <c r="C7" s="28">
        <f>(F7-C6-C5)/C4</f>
        <v>0.65874869791666668</v>
      </c>
      <c r="D7" s="29"/>
      <c r="E7" s="30" t="s">
        <v>168</v>
      </c>
      <c r="F7" s="31">
        <f>(F6/F5)*F4</f>
        <v>3.2958984375</v>
      </c>
      <c r="G7" s="25"/>
      <c r="H7" s="33"/>
      <c r="I7" s="29"/>
      <c r="J7" s="29"/>
      <c r="K7" s="29"/>
      <c r="L7" s="33"/>
      <c r="M7" s="33"/>
      <c r="N7" s="33"/>
      <c r="O7" s="33"/>
      <c r="P7" s="33"/>
      <c r="Q7" s="29"/>
      <c r="R7" s="25"/>
    </row>
    <row r="8" spans="2:18" ht="15.75" x14ac:dyDescent="0.25">
      <c r="B8" s="34"/>
      <c r="C8" s="35"/>
      <c r="D8" s="29"/>
      <c r="E8" s="29"/>
      <c r="F8" s="29"/>
      <c r="G8" s="25"/>
      <c r="H8" s="140" t="s">
        <v>169</v>
      </c>
      <c r="I8" s="140"/>
      <c r="J8" s="29"/>
      <c r="K8" s="29"/>
      <c r="L8" s="29"/>
      <c r="M8" s="33"/>
      <c r="N8" s="33"/>
      <c r="O8" s="33"/>
      <c r="P8" s="33"/>
      <c r="Q8" s="29"/>
      <c r="R8" s="25"/>
    </row>
    <row r="9" spans="2:18" ht="15.75" x14ac:dyDescent="0.25">
      <c r="B9" s="27" t="s">
        <v>170</v>
      </c>
      <c r="C9" s="28">
        <v>1.44</v>
      </c>
      <c r="D9" s="29"/>
      <c r="E9" s="29"/>
      <c r="F9" s="29"/>
      <c r="G9" s="25"/>
      <c r="H9" s="29"/>
      <c r="I9" s="29"/>
      <c r="J9" s="36"/>
      <c r="K9" s="32"/>
      <c r="L9" s="33"/>
      <c r="M9" s="33"/>
      <c r="N9" s="33"/>
      <c r="O9" s="33"/>
      <c r="P9" s="33"/>
      <c r="Q9" s="29"/>
      <c r="R9" s="25"/>
    </row>
    <row r="10" spans="2:18" ht="30" x14ac:dyDescent="0.25">
      <c r="B10" s="37" t="s">
        <v>171</v>
      </c>
      <c r="C10" s="38">
        <v>4490.8</v>
      </c>
      <c r="D10" s="29"/>
      <c r="E10" s="29"/>
      <c r="F10" s="29"/>
      <c r="G10" s="25"/>
      <c r="H10" s="39"/>
      <c r="I10" s="40"/>
      <c r="J10" s="40"/>
      <c r="K10" s="40"/>
      <c r="L10" s="40"/>
      <c r="M10" s="40"/>
      <c r="N10" s="40"/>
      <c r="O10" s="40"/>
      <c r="P10" s="40"/>
      <c r="Q10" s="40"/>
      <c r="R10" s="41"/>
    </row>
    <row r="11" spans="2:18" ht="15.75" x14ac:dyDescent="0.25">
      <c r="B11" s="27" t="s">
        <v>172</v>
      </c>
      <c r="C11" s="28">
        <v>8.1999999999999993</v>
      </c>
      <c r="D11" s="29"/>
      <c r="E11" s="29"/>
      <c r="F11" s="29"/>
      <c r="G11" s="25"/>
      <c r="H11" s="138" t="s">
        <v>173</v>
      </c>
      <c r="I11" s="138"/>
      <c r="J11" s="138"/>
      <c r="K11" s="138"/>
      <c r="L11" s="138"/>
      <c r="M11" s="138"/>
      <c r="N11" s="138"/>
      <c r="O11" s="138"/>
      <c r="P11" s="138"/>
      <c r="Q11" s="138"/>
      <c r="R11" s="139"/>
    </row>
    <row r="12" spans="2:18" ht="15.75" x14ac:dyDescent="0.25">
      <c r="B12" s="27" t="s">
        <v>174</v>
      </c>
      <c r="C12" s="28">
        <f>(C7*C10)/C11</f>
        <v>360.76934787855697</v>
      </c>
      <c r="D12" s="29"/>
      <c r="E12" s="29"/>
      <c r="F12" s="29"/>
      <c r="G12" s="25"/>
      <c r="H12" s="42"/>
      <c r="I12" s="42"/>
      <c r="J12" s="42"/>
      <c r="K12" s="43"/>
      <c r="L12" s="26"/>
      <c r="M12" s="26"/>
      <c r="N12" s="26"/>
      <c r="O12" s="26"/>
      <c r="P12" s="26"/>
      <c r="Q12" s="24"/>
      <c r="R12" s="23"/>
    </row>
    <row r="13" spans="2:18" ht="15.75" x14ac:dyDescent="0.25">
      <c r="B13" s="44"/>
      <c r="C13" s="29"/>
      <c r="D13" s="29"/>
      <c r="E13" s="29"/>
      <c r="F13" s="29"/>
      <c r="G13" s="25"/>
      <c r="H13" s="29"/>
      <c r="I13" s="29"/>
      <c r="J13" s="36"/>
      <c r="K13" s="32"/>
      <c r="L13" s="33"/>
      <c r="M13" s="33"/>
      <c r="N13" s="33"/>
      <c r="O13" s="33"/>
      <c r="P13" s="33"/>
      <c r="Q13" s="29"/>
      <c r="R13" s="25"/>
    </row>
    <row r="14" spans="2:18" ht="30" x14ac:dyDescent="0.25">
      <c r="B14" s="37" t="s">
        <v>175</v>
      </c>
      <c r="C14" s="38">
        <v>1201</v>
      </c>
      <c r="D14" s="29"/>
      <c r="E14" s="29"/>
      <c r="F14" s="29"/>
      <c r="G14" s="25"/>
      <c r="H14" s="140" t="s">
        <v>176</v>
      </c>
      <c r="I14" s="140"/>
      <c r="J14" s="36"/>
      <c r="K14" s="32"/>
      <c r="L14" s="33"/>
      <c r="M14" s="33"/>
      <c r="N14" s="33"/>
      <c r="O14" s="33"/>
      <c r="P14" s="33"/>
      <c r="Q14" s="29"/>
      <c r="R14" s="25"/>
    </row>
    <row r="15" spans="2:18" ht="15.75" x14ac:dyDescent="0.25">
      <c r="B15" s="27" t="s">
        <v>174</v>
      </c>
      <c r="C15" s="28">
        <f>(C7*C14)/C11</f>
        <v>96.482583682672768</v>
      </c>
      <c r="D15" s="29"/>
      <c r="E15" s="29"/>
      <c r="F15" s="29"/>
      <c r="G15" s="25"/>
      <c r="H15" s="36"/>
      <c r="I15" s="36"/>
      <c r="J15" s="36"/>
      <c r="K15" s="32"/>
      <c r="L15" s="33"/>
      <c r="M15" s="33"/>
      <c r="N15" s="45"/>
      <c r="O15" s="33"/>
      <c r="P15" s="33"/>
      <c r="Q15" s="29"/>
      <c r="R15" s="25"/>
    </row>
    <row r="16" spans="2:18" ht="15.75" x14ac:dyDescent="0.25">
      <c r="B16" s="44"/>
      <c r="C16" s="29"/>
      <c r="D16" s="29"/>
      <c r="E16" s="29"/>
      <c r="F16" s="29"/>
      <c r="G16" s="25"/>
      <c r="H16" s="29"/>
      <c r="I16" s="29"/>
      <c r="J16" s="36"/>
      <c r="K16" s="32"/>
      <c r="L16" s="33"/>
      <c r="M16" s="33"/>
      <c r="N16" s="46"/>
      <c r="O16" s="33"/>
      <c r="P16" s="33"/>
      <c r="Q16" s="29"/>
      <c r="R16" s="25"/>
    </row>
    <row r="17" spans="2:18" ht="15.75" x14ac:dyDescent="0.25">
      <c r="B17" s="44"/>
      <c r="C17" s="29"/>
      <c r="D17" s="29"/>
      <c r="E17" s="29"/>
      <c r="F17" s="29"/>
      <c r="G17" s="25"/>
      <c r="H17" s="140"/>
      <c r="I17" s="140"/>
      <c r="J17" s="36"/>
      <c r="K17" s="32"/>
      <c r="L17" s="33"/>
      <c r="M17" s="33"/>
      <c r="N17" s="45"/>
      <c r="O17" s="33"/>
      <c r="P17" s="33"/>
      <c r="Q17" s="29"/>
      <c r="R17" s="25"/>
    </row>
    <row r="18" spans="2:18" ht="15.75" x14ac:dyDescent="0.25">
      <c r="B18" s="39"/>
      <c r="C18" s="40"/>
      <c r="D18" s="40"/>
      <c r="E18" s="40"/>
      <c r="F18" s="40"/>
      <c r="G18" s="41"/>
      <c r="H18" s="47"/>
      <c r="I18" s="40"/>
      <c r="J18" s="40"/>
      <c r="K18" s="40"/>
      <c r="L18" s="47"/>
      <c r="M18" s="47"/>
      <c r="N18" s="47"/>
      <c r="O18" s="47"/>
      <c r="P18" s="47"/>
      <c r="Q18" s="40"/>
      <c r="R18" s="41"/>
    </row>
    <row r="20" spans="2:18" ht="15.75" x14ac:dyDescent="0.25">
      <c r="B20" s="121" t="s">
        <v>155</v>
      </c>
      <c r="C20" s="122"/>
      <c r="D20" s="122"/>
      <c r="E20" s="122"/>
      <c r="F20" s="122"/>
      <c r="G20" s="123"/>
      <c r="H20" s="130" t="s">
        <v>177</v>
      </c>
      <c r="I20" s="131"/>
      <c r="J20" s="131"/>
      <c r="K20" s="131"/>
      <c r="L20" s="131"/>
      <c r="M20" s="131"/>
      <c r="N20" s="131"/>
      <c r="O20" s="131"/>
      <c r="P20" s="131"/>
      <c r="Q20" s="131"/>
      <c r="R20" s="132"/>
    </row>
    <row r="21" spans="2:18" ht="15.75" x14ac:dyDescent="0.25">
      <c r="B21" s="141" t="s">
        <v>178</v>
      </c>
      <c r="C21" s="141"/>
      <c r="D21" s="29"/>
      <c r="E21" s="142" t="s">
        <v>158</v>
      </c>
      <c r="F21" s="142"/>
      <c r="G21" s="25"/>
      <c r="H21" s="48"/>
      <c r="I21" s="33"/>
      <c r="J21" s="33"/>
      <c r="K21" s="33"/>
      <c r="L21" s="33"/>
      <c r="M21" s="33"/>
      <c r="N21" s="33"/>
      <c r="O21" s="33"/>
      <c r="P21" s="33"/>
      <c r="Q21" s="29"/>
      <c r="R21" s="25"/>
    </row>
    <row r="22" spans="2:18" ht="15.75" x14ac:dyDescent="0.25">
      <c r="B22" s="27" t="s">
        <v>159</v>
      </c>
      <c r="C22" s="28">
        <v>2.4900000000000002</v>
      </c>
      <c r="D22" s="29"/>
      <c r="E22" s="30" t="s">
        <v>160</v>
      </c>
      <c r="F22" s="31">
        <v>2700</v>
      </c>
      <c r="G22" s="25"/>
      <c r="H22" s="143" t="s">
        <v>161</v>
      </c>
      <c r="I22" s="137"/>
      <c r="J22" s="32"/>
      <c r="K22" s="29"/>
      <c r="L22" s="33"/>
      <c r="M22" s="33"/>
      <c r="N22" s="33"/>
      <c r="O22" s="33"/>
      <c r="P22" s="33"/>
      <c r="Q22" s="29"/>
      <c r="R22" s="25"/>
    </row>
    <row r="23" spans="2:18" ht="15.75" x14ac:dyDescent="0.25">
      <c r="B23" s="27" t="s">
        <v>162</v>
      </c>
      <c r="C23" s="28">
        <f xml:space="preserve"> 0.0045*C22</f>
        <v>1.1205E-2</v>
      </c>
      <c r="D23" s="29"/>
      <c r="E23" s="30" t="s">
        <v>163</v>
      </c>
      <c r="F23" s="31">
        <v>4096</v>
      </c>
      <c r="G23" s="25"/>
      <c r="H23" s="48"/>
      <c r="I23" s="33"/>
      <c r="J23" s="33"/>
      <c r="K23" s="33"/>
      <c r="L23" s="33"/>
      <c r="M23" s="33"/>
      <c r="N23" s="33"/>
      <c r="O23" s="33"/>
      <c r="P23" s="33"/>
      <c r="Q23" s="29"/>
      <c r="R23" s="25"/>
    </row>
    <row r="24" spans="2:18" ht="15.75" x14ac:dyDescent="0.25">
      <c r="B24" s="27" t="s">
        <v>164</v>
      </c>
      <c r="C24" s="28">
        <v>0</v>
      </c>
      <c r="D24" s="29"/>
      <c r="E24" s="30" t="s">
        <v>165</v>
      </c>
      <c r="F24" s="31">
        <v>5</v>
      </c>
      <c r="G24" s="25"/>
      <c r="H24" s="143" t="s">
        <v>166</v>
      </c>
      <c r="I24" s="137"/>
      <c r="J24" s="32"/>
      <c r="K24" s="29"/>
      <c r="L24" s="33"/>
      <c r="M24" s="33"/>
      <c r="N24" s="33"/>
      <c r="O24" s="33"/>
      <c r="P24" s="33"/>
      <c r="Q24" s="29"/>
      <c r="R24" s="25"/>
    </row>
    <row r="25" spans="2:18" ht="15.75" x14ac:dyDescent="0.25">
      <c r="B25" s="27" t="s">
        <v>167</v>
      </c>
      <c r="C25" s="28">
        <f>(F25-C23)/C22</f>
        <v>1.3191539909638554</v>
      </c>
      <c r="D25" s="29"/>
      <c r="E25" s="30" t="s">
        <v>168</v>
      </c>
      <c r="F25" s="31">
        <f>(F24/F23)*F22</f>
        <v>3.2958984375</v>
      </c>
      <c r="G25" s="25"/>
      <c r="H25" s="48"/>
      <c r="I25" s="29"/>
      <c r="J25" s="29"/>
      <c r="K25" s="29"/>
      <c r="L25" s="33"/>
      <c r="M25" s="33"/>
      <c r="N25" s="33"/>
      <c r="O25" s="33"/>
      <c r="P25" s="33"/>
      <c r="Q25" s="29"/>
      <c r="R25" s="25"/>
    </row>
    <row r="26" spans="2:18" ht="15.75" x14ac:dyDescent="0.25">
      <c r="B26" s="34"/>
      <c r="C26" s="35"/>
      <c r="D26" s="29"/>
      <c r="E26" s="29"/>
      <c r="F26" s="29"/>
      <c r="G26" s="25"/>
      <c r="H26" s="48"/>
      <c r="I26" s="29"/>
      <c r="J26" s="29"/>
      <c r="K26" s="29"/>
      <c r="L26" s="29"/>
      <c r="M26" s="33"/>
      <c r="N26" s="33"/>
      <c r="O26" s="33"/>
      <c r="P26" s="33"/>
      <c r="Q26" s="29"/>
      <c r="R26" s="25"/>
    </row>
    <row r="27" spans="2:18" ht="15.75" x14ac:dyDescent="0.25">
      <c r="B27" s="27" t="s">
        <v>170</v>
      </c>
      <c r="C27" s="28">
        <v>0</v>
      </c>
      <c r="D27" s="29"/>
      <c r="E27" s="29"/>
      <c r="F27" s="29"/>
      <c r="G27" s="25"/>
      <c r="H27" s="144" t="s">
        <v>179</v>
      </c>
      <c r="I27" s="140"/>
      <c r="J27" s="36"/>
      <c r="K27" s="32"/>
      <c r="L27" s="33"/>
      <c r="M27" s="33"/>
      <c r="N27" s="33"/>
      <c r="O27" s="33"/>
      <c r="P27" s="33"/>
      <c r="Q27" s="29"/>
      <c r="R27" s="25"/>
    </row>
    <row r="28" spans="2:18" x14ac:dyDescent="0.25">
      <c r="B28" s="27" t="s">
        <v>180</v>
      </c>
      <c r="C28" s="28">
        <v>615.75</v>
      </c>
      <c r="D28" s="29"/>
      <c r="E28" s="29"/>
      <c r="F28" s="29"/>
      <c r="G28" s="25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1"/>
    </row>
    <row r="29" spans="2:18" ht="15.75" x14ac:dyDescent="0.25">
      <c r="B29" s="27" t="s">
        <v>172</v>
      </c>
      <c r="C29" s="28">
        <v>0</v>
      </c>
      <c r="D29" s="29"/>
      <c r="E29" s="29"/>
      <c r="F29" s="29"/>
      <c r="G29" s="25"/>
      <c r="H29" s="138" t="s">
        <v>173</v>
      </c>
      <c r="I29" s="138"/>
      <c r="J29" s="138"/>
      <c r="K29" s="138"/>
      <c r="L29" s="138"/>
      <c r="M29" s="138"/>
      <c r="N29" s="138"/>
      <c r="O29" s="138"/>
      <c r="P29" s="138"/>
      <c r="Q29" s="138"/>
      <c r="R29" s="139"/>
    </row>
    <row r="30" spans="2:18" ht="15.75" x14ac:dyDescent="0.25">
      <c r="B30" s="27" t="s">
        <v>174</v>
      </c>
      <c r="C30" s="28">
        <f>C25*C28</f>
        <v>812.26906993599403</v>
      </c>
      <c r="D30" s="29"/>
      <c r="E30" s="29"/>
      <c r="F30" s="29"/>
      <c r="G30" s="25"/>
      <c r="H30" s="50"/>
      <c r="I30" s="42"/>
      <c r="J30" s="42"/>
      <c r="K30" s="43"/>
      <c r="L30" s="26"/>
      <c r="M30" s="26"/>
      <c r="N30" s="26"/>
      <c r="O30" s="26"/>
      <c r="P30" s="26"/>
      <c r="Q30" s="24"/>
      <c r="R30" s="23"/>
    </row>
    <row r="31" spans="2:18" ht="15.75" x14ac:dyDescent="0.25">
      <c r="B31" s="44"/>
      <c r="C31" s="29"/>
      <c r="D31" s="29"/>
      <c r="E31" s="51"/>
      <c r="F31" s="29"/>
      <c r="G31" s="25"/>
      <c r="H31" s="44"/>
      <c r="I31" s="29"/>
      <c r="J31" s="36"/>
      <c r="K31" s="32"/>
      <c r="L31" s="33"/>
      <c r="M31" s="33"/>
      <c r="N31" s="33"/>
      <c r="O31" s="33"/>
      <c r="P31" s="33"/>
      <c r="Q31" s="29"/>
      <c r="R31" s="25"/>
    </row>
    <row r="32" spans="2:18" ht="15.75" x14ac:dyDescent="0.25">
      <c r="B32" s="44"/>
      <c r="C32" s="29"/>
      <c r="D32" s="29"/>
      <c r="E32" s="29"/>
      <c r="F32" s="29"/>
      <c r="G32" s="25"/>
      <c r="H32" s="144" t="s">
        <v>176</v>
      </c>
      <c r="I32" s="140"/>
      <c r="J32" s="36"/>
      <c r="K32" s="32"/>
      <c r="L32" s="33"/>
      <c r="M32" s="33"/>
      <c r="N32" s="33"/>
      <c r="O32" s="33"/>
      <c r="P32" s="33"/>
      <c r="Q32" s="29"/>
      <c r="R32" s="25"/>
    </row>
    <row r="33" spans="2:18" ht="15.75" x14ac:dyDescent="0.25">
      <c r="B33" s="44"/>
      <c r="C33" s="29"/>
      <c r="D33" s="29"/>
      <c r="E33" s="29"/>
      <c r="F33" s="29"/>
      <c r="G33" s="25"/>
      <c r="H33" s="52"/>
      <c r="I33" s="36"/>
      <c r="J33" s="36"/>
      <c r="K33" s="32"/>
      <c r="L33" s="33"/>
      <c r="M33" s="33"/>
      <c r="N33" s="45"/>
      <c r="O33" s="33"/>
      <c r="P33" s="33"/>
      <c r="Q33" s="29"/>
      <c r="R33" s="25"/>
    </row>
    <row r="34" spans="2:18" ht="15.75" x14ac:dyDescent="0.25">
      <c r="B34" s="44"/>
      <c r="C34" s="29"/>
      <c r="D34" s="29"/>
      <c r="E34" s="29"/>
      <c r="F34" s="29"/>
      <c r="G34" s="25"/>
      <c r="H34" s="44"/>
      <c r="I34" s="29"/>
      <c r="J34" s="36"/>
      <c r="K34" s="32"/>
      <c r="L34" s="33"/>
      <c r="M34" s="33"/>
      <c r="N34" s="46"/>
      <c r="O34" s="33"/>
      <c r="P34" s="33"/>
      <c r="Q34" s="29"/>
      <c r="R34" s="25"/>
    </row>
    <row r="35" spans="2:18" ht="15.75" x14ac:dyDescent="0.25">
      <c r="B35" s="44"/>
      <c r="C35" s="29"/>
      <c r="D35" s="29"/>
      <c r="E35" s="29"/>
      <c r="F35" s="29"/>
      <c r="G35" s="25"/>
      <c r="H35" s="144"/>
      <c r="I35" s="140"/>
      <c r="J35" s="36"/>
      <c r="K35" s="32"/>
      <c r="L35" s="33"/>
      <c r="M35" s="33"/>
      <c r="N35" s="45"/>
      <c r="O35" s="33"/>
      <c r="P35" s="33"/>
      <c r="Q35" s="29"/>
      <c r="R35" s="25"/>
    </row>
    <row r="36" spans="2:18" ht="15.75" x14ac:dyDescent="0.25">
      <c r="B36" s="39"/>
      <c r="C36" s="40"/>
      <c r="D36" s="40"/>
      <c r="E36" s="40"/>
      <c r="F36" s="40"/>
      <c r="G36" s="41"/>
      <c r="H36" s="53"/>
      <c r="I36" s="40"/>
      <c r="J36" s="40"/>
      <c r="K36" s="40"/>
      <c r="L36" s="47"/>
      <c r="M36" s="47"/>
      <c r="N36" s="47"/>
      <c r="O36" s="47"/>
      <c r="P36" s="47"/>
      <c r="Q36" s="40"/>
      <c r="R36" s="41"/>
    </row>
    <row r="38" spans="2:18" ht="15.75" x14ac:dyDescent="0.25">
      <c r="B38" s="121" t="s">
        <v>155</v>
      </c>
      <c r="C38" s="122"/>
      <c r="D38" s="122"/>
      <c r="E38" s="122"/>
      <c r="F38" s="122"/>
      <c r="G38" s="123"/>
      <c r="H38" s="130" t="s">
        <v>181</v>
      </c>
      <c r="I38" s="131"/>
      <c r="J38" s="131"/>
      <c r="K38" s="131"/>
      <c r="L38" s="131"/>
      <c r="M38" s="131"/>
      <c r="N38" s="131"/>
      <c r="O38" s="131"/>
      <c r="P38" s="131"/>
      <c r="Q38" s="131"/>
      <c r="R38" s="132"/>
    </row>
    <row r="39" spans="2:18" ht="15.75" x14ac:dyDescent="0.25">
      <c r="B39" s="141" t="s">
        <v>182</v>
      </c>
      <c r="C39" s="141"/>
      <c r="D39" s="29"/>
      <c r="E39" s="142" t="s">
        <v>158</v>
      </c>
      <c r="F39" s="142"/>
      <c r="G39" s="25"/>
      <c r="H39" s="48"/>
      <c r="I39" s="33"/>
      <c r="J39" s="33"/>
      <c r="K39" s="33"/>
      <c r="L39" s="33"/>
      <c r="M39" s="33"/>
      <c r="N39" s="33"/>
      <c r="O39" s="33"/>
      <c r="P39" s="33"/>
      <c r="Q39" s="29"/>
      <c r="R39" s="25"/>
    </row>
    <row r="40" spans="2:18" ht="15.75" x14ac:dyDescent="0.25">
      <c r="B40" s="27" t="s">
        <v>159</v>
      </c>
      <c r="C40" s="54">
        <v>6.25</v>
      </c>
      <c r="D40" s="29"/>
      <c r="E40" s="30" t="s">
        <v>160</v>
      </c>
      <c r="F40" s="31">
        <v>2700</v>
      </c>
      <c r="G40" s="25"/>
      <c r="H40" s="143" t="s">
        <v>183</v>
      </c>
      <c r="I40" s="137"/>
      <c r="J40" s="32"/>
      <c r="K40" s="29"/>
      <c r="L40" s="33"/>
      <c r="M40" s="33"/>
      <c r="N40" s="33"/>
      <c r="O40" s="33"/>
      <c r="P40" s="33"/>
      <c r="Q40" s="29"/>
      <c r="R40" s="25"/>
    </row>
    <row r="41" spans="2:18" ht="15.75" x14ac:dyDescent="0.25">
      <c r="B41" s="27" t="s">
        <v>162</v>
      </c>
      <c r="C41" s="28">
        <f xml:space="preserve"> 0.0045*C40</f>
        <v>2.8124999999999997E-2</v>
      </c>
      <c r="D41" s="29"/>
      <c r="E41" s="30" t="s">
        <v>163</v>
      </c>
      <c r="F41" s="31">
        <v>4096</v>
      </c>
      <c r="G41" s="25"/>
      <c r="H41" s="48"/>
      <c r="I41" s="33"/>
      <c r="J41" s="33"/>
      <c r="K41" s="33"/>
      <c r="L41" s="33"/>
      <c r="M41" s="33"/>
      <c r="N41" s="33"/>
      <c r="O41" s="33"/>
      <c r="P41" s="33"/>
      <c r="Q41" s="29"/>
      <c r="R41" s="25"/>
    </row>
    <row r="42" spans="2:18" ht="15.75" x14ac:dyDescent="0.25">
      <c r="B42" s="27" t="s">
        <v>164</v>
      </c>
      <c r="C42" s="28">
        <v>2.5</v>
      </c>
      <c r="D42" s="29"/>
      <c r="E42" s="30" t="s">
        <v>165</v>
      </c>
      <c r="F42" s="31">
        <v>5</v>
      </c>
      <c r="G42" s="25"/>
      <c r="H42" s="143" t="s">
        <v>184</v>
      </c>
      <c r="I42" s="137"/>
      <c r="J42" s="32"/>
      <c r="K42" s="29"/>
      <c r="L42" s="33"/>
      <c r="M42" s="33"/>
      <c r="N42" s="33"/>
      <c r="O42" s="33"/>
      <c r="P42" s="33"/>
      <c r="Q42" s="29"/>
      <c r="R42" s="25"/>
    </row>
    <row r="43" spans="2:18" ht="15.75" x14ac:dyDescent="0.25">
      <c r="B43" s="27" t="s">
        <v>167</v>
      </c>
      <c r="C43" s="28">
        <f>(F43-C42-C41)/C40</f>
        <v>0.12284375</v>
      </c>
      <c r="D43" s="29"/>
      <c r="E43" s="30" t="s">
        <v>168</v>
      </c>
      <c r="F43" s="31">
        <f>(F42/F41)*F40</f>
        <v>3.2958984375</v>
      </c>
      <c r="G43" s="25"/>
      <c r="H43" s="48"/>
      <c r="I43" s="29"/>
      <c r="J43" s="29"/>
      <c r="K43" s="29"/>
      <c r="L43" s="33"/>
      <c r="M43" s="33"/>
      <c r="N43" s="33"/>
      <c r="O43" s="33"/>
      <c r="P43" s="33"/>
      <c r="Q43" s="29"/>
      <c r="R43" s="25"/>
    </row>
    <row r="44" spans="2:18" ht="15.75" x14ac:dyDescent="0.25">
      <c r="B44" s="34"/>
      <c r="C44" s="35"/>
      <c r="D44" s="29"/>
      <c r="E44" s="29"/>
      <c r="F44" s="29"/>
      <c r="G44" s="25"/>
      <c r="H44" s="48"/>
      <c r="I44" s="29"/>
      <c r="J44" s="29"/>
      <c r="K44" s="29"/>
      <c r="L44" s="29"/>
      <c r="M44" s="33"/>
      <c r="N44" s="33"/>
      <c r="O44" s="33"/>
      <c r="P44" s="33"/>
      <c r="Q44" s="29"/>
      <c r="R44" s="25"/>
    </row>
    <row r="45" spans="2:18" ht="15.75" x14ac:dyDescent="0.25">
      <c r="B45" s="27" t="s">
        <v>185</v>
      </c>
      <c r="C45" s="54">
        <v>0.2</v>
      </c>
      <c r="D45" s="55" t="s">
        <v>186</v>
      </c>
      <c r="E45" s="56">
        <f>10^-3</f>
        <v>1E-3</v>
      </c>
      <c r="F45" s="29"/>
      <c r="G45" s="25"/>
      <c r="H45" s="144" t="s">
        <v>187</v>
      </c>
      <c r="I45" s="140"/>
      <c r="J45" s="36"/>
      <c r="K45" s="32"/>
      <c r="L45" s="33"/>
      <c r="M45" s="33"/>
      <c r="N45" s="33"/>
      <c r="O45" s="33"/>
      <c r="P45" s="33"/>
      <c r="Q45" s="29"/>
      <c r="R45" s="25"/>
    </row>
    <row r="46" spans="2:18" ht="15.75" x14ac:dyDescent="0.25">
      <c r="B46" s="27" t="s">
        <v>180</v>
      </c>
      <c r="C46" s="38">
        <v>615.75</v>
      </c>
      <c r="D46" s="29"/>
      <c r="E46" s="29"/>
      <c r="F46" s="29"/>
      <c r="G46" s="25"/>
      <c r="H46" s="53"/>
      <c r="I46" s="40"/>
      <c r="J46" s="40"/>
      <c r="K46" s="40"/>
      <c r="L46" s="47"/>
      <c r="M46" s="47"/>
      <c r="N46" s="47"/>
      <c r="O46" s="47"/>
      <c r="P46" s="47"/>
      <c r="Q46" s="40"/>
      <c r="R46" s="41"/>
    </row>
    <row r="47" spans="2:18" ht="15.75" x14ac:dyDescent="0.25">
      <c r="B47" s="27" t="s">
        <v>172</v>
      </c>
      <c r="C47" s="28">
        <v>8.1999999999999993</v>
      </c>
      <c r="D47" s="29"/>
      <c r="E47" s="29"/>
      <c r="F47" s="29"/>
      <c r="G47" s="25"/>
      <c r="H47" s="138" t="s">
        <v>173</v>
      </c>
      <c r="I47" s="138"/>
      <c r="J47" s="138"/>
      <c r="K47" s="138"/>
      <c r="L47" s="138"/>
      <c r="M47" s="138"/>
      <c r="N47" s="138"/>
      <c r="O47" s="138"/>
      <c r="P47" s="138"/>
      <c r="Q47" s="138"/>
      <c r="R47" s="139"/>
    </row>
    <row r="48" spans="2:18" ht="15.75" x14ac:dyDescent="0.25">
      <c r="B48" s="27" t="s">
        <v>174</v>
      </c>
      <c r="C48" s="28">
        <f>C43/(C47*C45*E45)</f>
        <v>74.904725609756099</v>
      </c>
      <c r="D48" s="29"/>
      <c r="E48" s="29"/>
      <c r="F48" s="29"/>
      <c r="G48" s="25"/>
      <c r="H48" s="50"/>
      <c r="I48" s="42"/>
      <c r="J48" s="42"/>
      <c r="K48" s="43"/>
      <c r="L48" s="26"/>
      <c r="M48" s="26"/>
      <c r="N48" s="26"/>
      <c r="O48" s="26"/>
      <c r="P48" s="26"/>
      <c r="Q48" s="24"/>
      <c r="R48" s="23"/>
    </row>
    <row r="49" spans="2:18" ht="15.75" x14ac:dyDescent="0.25">
      <c r="B49" s="44"/>
      <c r="C49" s="29"/>
      <c r="D49" s="29"/>
      <c r="E49" s="29"/>
      <c r="F49" s="29"/>
      <c r="G49" s="25"/>
      <c r="H49" s="44"/>
      <c r="I49" s="29"/>
      <c r="J49" s="36"/>
      <c r="K49" s="32"/>
      <c r="L49" s="33"/>
      <c r="M49" s="33"/>
      <c r="N49" s="33"/>
      <c r="O49" s="33"/>
      <c r="P49" s="33"/>
      <c r="Q49" s="29"/>
      <c r="R49" s="25"/>
    </row>
    <row r="50" spans="2:18" ht="15.75" x14ac:dyDescent="0.25">
      <c r="B50" s="44"/>
      <c r="C50" s="29"/>
      <c r="D50" s="29"/>
      <c r="E50" s="29"/>
      <c r="F50" s="29"/>
      <c r="G50" s="25"/>
      <c r="H50" s="144" t="s">
        <v>176</v>
      </c>
      <c r="I50" s="140"/>
      <c r="J50" s="36"/>
      <c r="K50" s="32"/>
      <c r="L50" s="33"/>
      <c r="M50" s="33"/>
      <c r="N50" s="33"/>
      <c r="O50" s="33"/>
      <c r="P50" s="33"/>
      <c r="Q50" s="29"/>
      <c r="R50" s="25"/>
    </row>
    <row r="51" spans="2:18" ht="15.75" x14ac:dyDescent="0.25">
      <c r="B51" s="44"/>
      <c r="C51" s="29"/>
      <c r="D51" s="29"/>
      <c r="E51" s="29"/>
      <c r="F51" s="29"/>
      <c r="G51" s="25"/>
      <c r="H51" s="52"/>
      <c r="I51" s="36"/>
      <c r="J51" s="36"/>
      <c r="K51" s="32"/>
      <c r="L51" s="33"/>
      <c r="M51" s="33" t="s">
        <v>164</v>
      </c>
      <c r="N51" s="45">
        <f>A42</f>
        <v>0</v>
      </c>
      <c r="O51" s="33"/>
      <c r="P51" s="33"/>
      <c r="Q51" s="29"/>
      <c r="R51" s="25"/>
    </row>
    <row r="52" spans="2:18" ht="15.75" x14ac:dyDescent="0.25">
      <c r="B52" s="44"/>
      <c r="C52" s="29"/>
      <c r="D52" s="29"/>
      <c r="E52" s="29"/>
      <c r="F52" s="29"/>
      <c r="G52" s="25"/>
      <c r="H52" s="44"/>
      <c r="I52" s="29"/>
      <c r="J52" s="36"/>
      <c r="K52" s="32"/>
      <c r="L52" s="33"/>
      <c r="M52" s="33" t="s">
        <v>188</v>
      </c>
      <c r="N52" s="46">
        <f>C42</f>
        <v>2.5</v>
      </c>
      <c r="O52" s="33"/>
      <c r="P52" s="33"/>
      <c r="Q52" s="29"/>
      <c r="R52" s="25"/>
    </row>
    <row r="53" spans="2:18" ht="15.75" x14ac:dyDescent="0.25">
      <c r="B53" s="44"/>
      <c r="C53" s="29"/>
      <c r="D53" s="29"/>
      <c r="E53" s="29"/>
      <c r="F53" s="29"/>
      <c r="G53" s="25"/>
      <c r="H53" s="144"/>
      <c r="I53" s="140"/>
      <c r="J53" s="36"/>
      <c r="K53" s="32"/>
      <c r="L53" s="33"/>
      <c r="M53" s="33" t="s">
        <v>189</v>
      </c>
      <c r="N53" s="45" t="str">
        <f>B42</f>
        <v>VCM</v>
      </c>
      <c r="O53" s="33"/>
      <c r="P53" s="33"/>
      <c r="Q53" s="29"/>
      <c r="R53" s="25"/>
    </row>
    <row r="54" spans="2:18" ht="15.75" x14ac:dyDescent="0.25">
      <c r="B54" s="39"/>
      <c r="C54" s="40"/>
      <c r="D54" s="40"/>
      <c r="E54" s="40"/>
      <c r="F54" s="40"/>
      <c r="G54" s="41"/>
      <c r="H54" s="53"/>
      <c r="I54" s="40"/>
      <c r="J54" s="40"/>
      <c r="K54" s="40"/>
      <c r="L54" s="47"/>
      <c r="M54" s="47"/>
      <c r="N54" s="47"/>
      <c r="O54" s="47"/>
      <c r="P54" s="47"/>
      <c r="Q54" s="40"/>
      <c r="R54" s="41"/>
    </row>
    <row r="56" spans="2:18" ht="15.75" x14ac:dyDescent="0.25">
      <c r="B56" s="121" t="s">
        <v>155</v>
      </c>
      <c r="C56" s="122"/>
      <c r="D56" s="122"/>
      <c r="E56" s="122"/>
      <c r="F56" s="122"/>
      <c r="G56" s="123"/>
      <c r="H56" s="130" t="s">
        <v>190</v>
      </c>
      <c r="I56" s="131"/>
      <c r="J56" s="131"/>
      <c r="K56" s="131"/>
      <c r="L56" s="131"/>
      <c r="M56" s="131"/>
      <c r="N56" s="131"/>
      <c r="O56" s="131"/>
      <c r="P56" s="131"/>
      <c r="Q56" s="131"/>
      <c r="R56" s="132"/>
    </row>
    <row r="57" spans="2:18" ht="15.75" x14ac:dyDescent="0.25">
      <c r="B57" s="141" t="s">
        <v>191</v>
      </c>
      <c r="C57" s="141"/>
      <c r="D57" s="29"/>
      <c r="E57" s="142" t="s">
        <v>158</v>
      </c>
      <c r="F57" s="142"/>
      <c r="G57" s="25"/>
      <c r="H57" s="48"/>
      <c r="I57" s="33"/>
      <c r="J57" s="33"/>
      <c r="K57" s="33"/>
      <c r="L57" s="33"/>
      <c r="M57" s="33"/>
      <c r="N57" s="33"/>
      <c r="O57" s="33"/>
      <c r="P57" s="33"/>
      <c r="Q57" s="29"/>
      <c r="R57" s="25"/>
    </row>
    <row r="58" spans="2:18" ht="15.75" x14ac:dyDescent="0.25">
      <c r="B58" s="27" t="s">
        <v>159</v>
      </c>
      <c r="C58" s="28">
        <v>1</v>
      </c>
      <c r="D58" s="29"/>
      <c r="E58" s="30" t="s">
        <v>160</v>
      </c>
      <c r="F58" s="31">
        <v>2700</v>
      </c>
      <c r="G58" s="25"/>
      <c r="H58" s="143" t="s">
        <v>192</v>
      </c>
      <c r="I58" s="137"/>
      <c r="J58" s="32"/>
      <c r="K58" s="29"/>
      <c r="L58" s="33"/>
      <c r="M58" s="33"/>
      <c r="N58" s="33"/>
      <c r="O58" s="33"/>
      <c r="P58" s="33"/>
      <c r="Q58" s="29"/>
      <c r="R58" s="25"/>
    </row>
    <row r="59" spans="2:18" ht="15.75" x14ac:dyDescent="0.25">
      <c r="B59" s="27" t="s">
        <v>162</v>
      </c>
      <c r="C59" s="28">
        <f xml:space="preserve"> 0.0045*C58</f>
        <v>4.4999999999999997E-3</v>
      </c>
      <c r="D59" s="29"/>
      <c r="E59" s="30" t="s">
        <v>163</v>
      </c>
      <c r="F59" s="31">
        <v>4096</v>
      </c>
      <c r="G59" s="25"/>
      <c r="H59" s="48"/>
      <c r="I59" s="33"/>
      <c r="J59" s="33"/>
      <c r="K59" s="33"/>
      <c r="L59" s="33"/>
      <c r="M59" s="33"/>
      <c r="N59" s="33"/>
      <c r="O59" s="33"/>
      <c r="P59" s="33"/>
      <c r="Q59" s="29"/>
      <c r="R59" s="25"/>
    </row>
    <row r="60" spans="2:18" ht="15.75" x14ac:dyDescent="0.25">
      <c r="B60" s="27" t="s">
        <v>164</v>
      </c>
      <c r="C60" s="28">
        <v>2.5</v>
      </c>
      <c r="D60" s="29"/>
      <c r="E60" s="30" t="s">
        <v>165</v>
      </c>
      <c r="F60" s="31">
        <v>5</v>
      </c>
      <c r="G60" s="25"/>
      <c r="H60" s="143" t="s">
        <v>193</v>
      </c>
      <c r="I60" s="137"/>
      <c r="J60" s="32"/>
      <c r="K60" s="29"/>
      <c r="L60" s="33"/>
      <c r="M60" s="33"/>
      <c r="N60" s="33"/>
      <c r="O60" s="33"/>
      <c r="P60" s="33"/>
      <c r="Q60" s="29"/>
      <c r="R60" s="25"/>
    </row>
    <row r="61" spans="2:18" ht="15.75" x14ac:dyDescent="0.25">
      <c r="B61" s="27" t="s">
        <v>167</v>
      </c>
      <c r="C61" s="28">
        <f>(F61-C60-C59)/C58</f>
        <v>0.79139843750000005</v>
      </c>
      <c r="D61" s="29"/>
      <c r="E61" s="30" t="s">
        <v>168</v>
      </c>
      <c r="F61" s="31">
        <f>(F60/F59)*F58</f>
        <v>3.2958984375</v>
      </c>
      <c r="G61" s="25"/>
      <c r="H61" s="48"/>
      <c r="I61" s="29"/>
      <c r="J61" s="29"/>
      <c r="K61" s="29"/>
      <c r="L61" s="33"/>
      <c r="M61" s="33"/>
      <c r="N61" s="33"/>
      <c r="O61" s="33"/>
      <c r="P61" s="33"/>
      <c r="Q61" s="29"/>
      <c r="R61" s="25"/>
    </row>
    <row r="62" spans="2:18" ht="15.75" x14ac:dyDescent="0.25">
      <c r="B62" s="34"/>
      <c r="C62" s="35"/>
      <c r="D62" s="29"/>
      <c r="E62" s="29"/>
      <c r="F62" s="29"/>
      <c r="G62" s="25"/>
      <c r="H62" s="48"/>
      <c r="I62" s="29"/>
      <c r="J62" s="29"/>
      <c r="K62" s="29"/>
      <c r="L62" s="29"/>
      <c r="M62" s="33"/>
      <c r="N62" s="33"/>
      <c r="O62" s="33"/>
      <c r="P62" s="33"/>
      <c r="Q62" s="29"/>
      <c r="R62" s="25"/>
    </row>
    <row r="63" spans="2:18" ht="15.75" x14ac:dyDescent="0.25">
      <c r="B63" s="27" t="s">
        <v>194</v>
      </c>
      <c r="C63" s="28">
        <v>1.44</v>
      </c>
      <c r="D63" s="29"/>
      <c r="E63" s="29"/>
      <c r="F63" s="29"/>
      <c r="G63" s="25"/>
      <c r="H63" s="144" t="s">
        <v>195</v>
      </c>
      <c r="I63" s="140"/>
      <c r="J63" s="36"/>
      <c r="K63" s="32"/>
      <c r="L63" s="33"/>
      <c r="M63" s="33"/>
      <c r="N63" s="33"/>
      <c r="O63" s="33"/>
      <c r="P63" s="33"/>
      <c r="Q63" s="29"/>
      <c r="R63" s="25"/>
    </row>
    <row r="64" spans="2:18" ht="15.75" x14ac:dyDescent="0.25">
      <c r="B64" s="27" t="s">
        <v>196</v>
      </c>
      <c r="C64" s="28">
        <v>0.02</v>
      </c>
      <c r="D64" s="29"/>
      <c r="E64" s="29"/>
      <c r="F64" s="29"/>
      <c r="G64" s="25"/>
      <c r="H64" s="53"/>
      <c r="I64" s="40"/>
      <c r="J64" s="40"/>
      <c r="K64" s="40"/>
      <c r="L64" s="47"/>
      <c r="M64" s="47"/>
      <c r="N64" s="47"/>
      <c r="O64" s="47"/>
      <c r="P64" s="47"/>
      <c r="Q64" s="40"/>
      <c r="R64" s="41"/>
    </row>
    <row r="65" spans="2:20" ht="15.75" x14ac:dyDescent="0.25">
      <c r="B65" s="27" t="s">
        <v>174</v>
      </c>
      <c r="C65" s="28">
        <f>C61/C64</f>
        <v>39.569921874999999</v>
      </c>
      <c r="D65" s="29"/>
      <c r="E65" s="29"/>
      <c r="F65" s="29"/>
      <c r="G65" s="25"/>
      <c r="H65" s="138" t="s">
        <v>173</v>
      </c>
      <c r="I65" s="138"/>
      <c r="J65" s="138"/>
      <c r="K65" s="138"/>
      <c r="L65" s="138"/>
      <c r="M65" s="138"/>
      <c r="N65" s="138"/>
      <c r="O65" s="138"/>
      <c r="P65" s="138"/>
      <c r="Q65" s="138"/>
      <c r="R65" s="139"/>
    </row>
    <row r="66" spans="2:20" ht="15.75" x14ac:dyDescent="0.25">
      <c r="B66" s="57"/>
      <c r="C66" s="29"/>
      <c r="D66" s="29"/>
      <c r="E66" s="29"/>
      <c r="F66" s="29"/>
      <c r="G66" s="25"/>
      <c r="H66" s="50"/>
      <c r="I66" s="42"/>
      <c r="J66" s="42"/>
      <c r="K66" s="43"/>
      <c r="L66" s="26"/>
      <c r="M66" s="26"/>
      <c r="N66" s="26"/>
      <c r="O66" s="26"/>
      <c r="P66" s="26"/>
      <c r="Q66" s="24"/>
      <c r="R66" s="23"/>
    </row>
    <row r="67" spans="2:20" ht="15.75" x14ac:dyDescent="0.25">
      <c r="B67" s="44"/>
      <c r="C67" s="29"/>
      <c r="D67" s="29"/>
      <c r="E67" s="29"/>
      <c r="F67" s="29"/>
      <c r="G67" s="25"/>
      <c r="H67" s="44"/>
      <c r="I67" s="29"/>
      <c r="J67" s="36"/>
      <c r="K67" s="32"/>
      <c r="L67" s="33"/>
      <c r="M67" s="33"/>
      <c r="N67" s="33"/>
      <c r="O67" s="33"/>
      <c r="P67" s="33"/>
      <c r="Q67" s="29"/>
      <c r="R67" s="25"/>
    </row>
    <row r="68" spans="2:20" ht="15.75" x14ac:dyDescent="0.25">
      <c r="B68" s="44"/>
      <c r="C68" s="29"/>
      <c r="D68" s="29"/>
      <c r="E68" s="29"/>
      <c r="F68" s="29"/>
      <c r="G68" s="25"/>
      <c r="H68" s="144" t="s">
        <v>176</v>
      </c>
      <c r="I68" s="140"/>
      <c r="J68" s="36"/>
      <c r="K68" s="32"/>
      <c r="L68" s="33"/>
      <c r="M68" s="33"/>
      <c r="N68" s="33"/>
      <c r="O68" s="33"/>
      <c r="P68" s="33"/>
      <c r="Q68" s="29"/>
      <c r="R68" s="25"/>
    </row>
    <row r="69" spans="2:20" ht="15.75" x14ac:dyDescent="0.25">
      <c r="B69" s="44"/>
      <c r="C69" s="29"/>
      <c r="D69" s="29"/>
      <c r="E69" s="29"/>
      <c r="F69" s="29"/>
      <c r="G69" s="25"/>
      <c r="H69" s="52"/>
      <c r="I69" s="36"/>
      <c r="J69" s="36"/>
      <c r="K69" s="32"/>
      <c r="L69" s="33"/>
      <c r="M69" s="33"/>
      <c r="N69" s="45"/>
      <c r="O69" s="33"/>
      <c r="P69" s="33"/>
      <c r="Q69" s="29"/>
      <c r="R69" s="25"/>
    </row>
    <row r="70" spans="2:20" ht="15.75" x14ac:dyDescent="0.25">
      <c r="B70" s="44"/>
      <c r="C70" s="29"/>
      <c r="D70" s="29"/>
      <c r="E70" s="29"/>
      <c r="F70" s="29"/>
      <c r="G70" s="25"/>
      <c r="H70" s="44"/>
      <c r="I70" s="29"/>
      <c r="J70" s="36"/>
      <c r="K70" s="32"/>
      <c r="L70" s="33"/>
      <c r="M70" s="33"/>
      <c r="N70" s="46"/>
      <c r="O70" s="33"/>
      <c r="P70" s="33"/>
      <c r="Q70" s="29"/>
      <c r="R70" s="25"/>
    </row>
    <row r="71" spans="2:20" ht="15.75" x14ac:dyDescent="0.25">
      <c r="B71" s="44"/>
      <c r="C71" s="29"/>
      <c r="D71" s="29"/>
      <c r="E71" s="29"/>
      <c r="F71" s="29"/>
      <c r="G71" s="25"/>
      <c r="H71" s="144"/>
      <c r="I71" s="140"/>
      <c r="J71" s="36"/>
      <c r="K71" s="32"/>
      <c r="L71" s="33"/>
      <c r="M71" s="33"/>
      <c r="N71" s="45"/>
      <c r="O71" s="33"/>
      <c r="P71" s="33"/>
      <c r="Q71" s="29"/>
      <c r="R71" s="25"/>
    </row>
    <row r="72" spans="2:20" ht="15.75" x14ac:dyDescent="0.25">
      <c r="B72" s="39"/>
      <c r="C72" s="40"/>
      <c r="D72" s="40"/>
      <c r="E72" s="40"/>
      <c r="F72" s="40"/>
      <c r="G72" s="41"/>
      <c r="H72" s="53"/>
      <c r="I72" s="40"/>
      <c r="J72" s="40"/>
      <c r="K72" s="40"/>
      <c r="L72" s="47"/>
      <c r="M72" s="47"/>
      <c r="N72" s="47"/>
      <c r="O72" s="47"/>
      <c r="P72" s="47"/>
      <c r="Q72" s="40"/>
      <c r="R72" s="41"/>
    </row>
    <row r="75" spans="2:20" ht="15.75" x14ac:dyDescent="0.25">
      <c r="B75" s="121" t="s">
        <v>155</v>
      </c>
      <c r="C75" s="122"/>
      <c r="D75" s="122"/>
      <c r="E75" s="122"/>
      <c r="F75" s="122"/>
      <c r="G75" s="123"/>
      <c r="H75" s="130" t="s">
        <v>197</v>
      </c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2"/>
    </row>
    <row r="76" spans="2:20" ht="15.75" x14ac:dyDescent="0.25">
      <c r="B76" s="141" t="s">
        <v>198</v>
      </c>
      <c r="C76" s="141"/>
      <c r="D76" s="29"/>
      <c r="E76" s="142" t="s">
        <v>158</v>
      </c>
      <c r="F76" s="142"/>
      <c r="G76" s="25"/>
      <c r="H76" s="145" t="s">
        <v>199</v>
      </c>
      <c r="I76" s="146"/>
      <c r="J76" s="146"/>
      <c r="K76" s="146"/>
      <c r="L76" s="146"/>
      <c r="M76" s="147"/>
      <c r="N76" s="145" t="s">
        <v>200</v>
      </c>
      <c r="O76" s="146"/>
      <c r="P76" s="146"/>
      <c r="Q76" s="146"/>
      <c r="R76" s="146"/>
      <c r="S76" s="146"/>
      <c r="T76" s="147"/>
    </row>
    <row r="77" spans="2:20" x14ac:dyDescent="0.25">
      <c r="B77" s="27" t="s">
        <v>159</v>
      </c>
      <c r="C77" s="28">
        <v>0.57599999999999996</v>
      </c>
      <c r="D77" s="29"/>
      <c r="E77" s="30" t="s">
        <v>160</v>
      </c>
      <c r="F77" s="31">
        <v>2705</v>
      </c>
      <c r="G77" s="25"/>
      <c r="H77" s="119" t="s">
        <v>201</v>
      </c>
      <c r="I77" s="119"/>
      <c r="J77" s="119"/>
      <c r="K77" s="119"/>
      <c r="L77" s="119"/>
      <c r="M77" s="119"/>
      <c r="N77" s="148" t="s">
        <v>202</v>
      </c>
      <c r="O77" s="148"/>
      <c r="P77" s="148"/>
      <c r="Q77" s="148"/>
      <c r="R77" s="148"/>
      <c r="S77" s="148"/>
      <c r="T77" s="148"/>
    </row>
    <row r="78" spans="2:20" x14ac:dyDescent="0.25">
      <c r="B78" s="27" t="s">
        <v>162</v>
      </c>
      <c r="C78" s="28">
        <v>5.4000000000000003E-3</v>
      </c>
      <c r="D78" s="29"/>
      <c r="E78" s="30" t="s">
        <v>163</v>
      </c>
      <c r="F78" s="31">
        <v>4096</v>
      </c>
      <c r="G78" s="25"/>
      <c r="H78" s="119"/>
      <c r="I78" s="119"/>
      <c r="J78" s="119"/>
      <c r="K78" s="119"/>
      <c r="L78" s="119"/>
      <c r="M78" s="119"/>
      <c r="N78" s="148"/>
      <c r="O78" s="148"/>
      <c r="P78" s="148"/>
      <c r="Q78" s="148"/>
      <c r="R78" s="148"/>
      <c r="S78" s="148"/>
      <c r="T78" s="148"/>
    </row>
    <row r="79" spans="2:20" x14ac:dyDescent="0.25">
      <c r="B79" s="27" t="s">
        <v>164</v>
      </c>
      <c r="C79" s="28">
        <v>2.5</v>
      </c>
      <c r="D79" s="29"/>
      <c r="E79" s="30" t="s">
        <v>165</v>
      </c>
      <c r="F79" s="31">
        <v>5</v>
      </c>
      <c r="G79" s="25"/>
      <c r="H79" s="119" t="s">
        <v>203</v>
      </c>
      <c r="I79" s="119"/>
      <c r="J79" s="119"/>
      <c r="K79" s="119"/>
      <c r="L79" s="119"/>
      <c r="M79" s="119"/>
      <c r="N79" s="119" t="s">
        <v>204</v>
      </c>
      <c r="O79" s="149"/>
      <c r="P79" s="149"/>
      <c r="Q79" s="149"/>
      <c r="R79" s="149"/>
      <c r="S79" s="149"/>
      <c r="T79" s="149"/>
    </row>
    <row r="80" spans="2:20" x14ac:dyDescent="0.25">
      <c r="B80" s="27" t="s">
        <v>167</v>
      </c>
      <c r="C80" s="28">
        <f>(F80-C79-C78)/C77</f>
        <v>1.3829895019531251</v>
      </c>
      <c r="D80" s="29"/>
      <c r="E80" s="30" t="s">
        <v>168</v>
      </c>
      <c r="F80" s="31">
        <f>(F79/F78)*F77</f>
        <v>3.302001953125</v>
      </c>
      <c r="G80" s="25"/>
      <c r="H80" s="119"/>
      <c r="I80" s="119"/>
      <c r="J80" s="119"/>
      <c r="K80" s="119"/>
      <c r="L80" s="119"/>
      <c r="M80" s="119"/>
      <c r="N80" s="149"/>
      <c r="O80" s="149"/>
      <c r="P80" s="149"/>
      <c r="Q80" s="149"/>
      <c r="R80" s="149"/>
      <c r="S80" s="149"/>
      <c r="T80" s="149"/>
    </row>
    <row r="81" spans="2:20" ht="15.75" x14ac:dyDescent="0.25">
      <c r="B81" s="34"/>
      <c r="C81" s="35"/>
      <c r="D81" s="29"/>
      <c r="E81" s="29"/>
      <c r="F81" s="29"/>
      <c r="G81" s="25"/>
      <c r="H81" s="138" t="s">
        <v>173</v>
      </c>
      <c r="I81" s="138"/>
      <c r="J81" s="138"/>
      <c r="K81" s="138"/>
      <c r="L81" s="138"/>
      <c r="M81" s="138"/>
      <c r="N81" s="138"/>
      <c r="O81" s="138"/>
      <c r="P81" s="138"/>
      <c r="Q81" s="138"/>
      <c r="R81" s="139"/>
    </row>
    <row r="82" spans="2:20" ht="15.75" x14ac:dyDescent="0.25">
      <c r="B82" s="27" t="s">
        <v>170</v>
      </c>
      <c r="C82" s="28">
        <v>1.44</v>
      </c>
      <c r="D82" s="29"/>
      <c r="E82" s="29"/>
      <c r="F82" s="29"/>
      <c r="G82" s="25"/>
      <c r="H82" s="58"/>
      <c r="I82" s="59"/>
      <c r="J82" s="59"/>
      <c r="K82" s="60"/>
      <c r="L82" s="61"/>
      <c r="M82" s="61"/>
      <c r="N82" s="61"/>
      <c r="O82" s="61"/>
      <c r="P82" s="61"/>
      <c r="Q82" s="62"/>
      <c r="R82" s="63"/>
    </row>
    <row r="83" spans="2:20" ht="15.75" x14ac:dyDescent="0.25">
      <c r="B83" s="27" t="s">
        <v>180</v>
      </c>
      <c r="C83" s="28">
        <v>4082.63</v>
      </c>
      <c r="D83" s="29"/>
      <c r="E83" s="29"/>
      <c r="F83" s="29"/>
      <c r="G83" s="25"/>
      <c r="H83" s="64"/>
      <c r="I83" s="65"/>
      <c r="J83" s="66" t="s">
        <v>176</v>
      </c>
      <c r="K83" s="66"/>
      <c r="L83" s="66"/>
      <c r="M83" s="67"/>
      <c r="N83" s="68"/>
      <c r="O83" s="68"/>
      <c r="P83" s="69"/>
      <c r="Q83" s="69"/>
      <c r="R83" s="70"/>
    </row>
    <row r="84" spans="2:20" ht="15.75" x14ac:dyDescent="0.25">
      <c r="B84" s="27" t="s">
        <v>172</v>
      </c>
      <c r="C84" s="28">
        <v>8.1999999999999993</v>
      </c>
      <c r="D84" s="29"/>
      <c r="E84" s="29"/>
      <c r="F84" s="29"/>
      <c r="G84" s="25"/>
      <c r="H84" s="150"/>
      <c r="I84" s="151"/>
      <c r="J84" s="66"/>
      <c r="K84" s="67"/>
      <c r="L84" s="68"/>
      <c r="M84" s="68"/>
      <c r="N84" s="68"/>
      <c r="O84" s="68"/>
      <c r="P84" s="68"/>
      <c r="Q84" s="71"/>
      <c r="R84" s="70"/>
    </row>
    <row r="85" spans="2:20" ht="30" x14ac:dyDescent="0.25">
      <c r="B85" s="37" t="s">
        <v>205</v>
      </c>
      <c r="C85" s="28">
        <f>(0.763*(C80)^4) + (5.5805*(C80)^3) + (15.971*(C80)^2) + (6.5704*(C80)) + 28.169</f>
        <v>85.355620325314675</v>
      </c>
      <c r="D85" s="39"/>
      <c r="E85" s="40" t="s">
        <v>206</v>
      </c>
      <c r="F85" s="40"/>
      <c r="G85" s="41"/>
      <c r="H85" s="72"/>
      <c r="I85" s="73"/>
      <c r="J85" s="73"/>
      <c r="K85" s="73"/>
      <c r="L85" s="74"/>
      <c r="M85" s="74"/>
      <c r="N85" s="74"/>
      <c r="O85" s="74"/>
      <c r="P85" s="74"/>
      <c r="Q85" s="75"/>
      <c r="R85" s="76"/>
    </row>
    <row r="86" spans="2:20" ht="30" x14ac:dyDescent="0.25">
      <c r="B86" s="37" t="s">
        <v>207</v>
      </c>
      <c r="C86" s="28">
        <f>-0.7243*(C80)^3 + 0.3661*(C80)^2 - 11.981*(C80) + 20.985</f>
        <v>3.1997174509330613</v>
      </c>
      <c r="D86" s="77"/>
      <c r="E86" s="77"/>
      <c r="F86" s="68"/>
      <c r="G86" s="68"/>
      <c r="H86" s="68"/>
      <c r="I86" s="68"/>
      <c r="J86" s="68"/>
      <c r="K86" s="78"/>
      <c r="L86" s="77"/>
    </row>
    <row r="88" spans="2:20" ht="15.75" x14ac:dyDescent="0.25">
      <c r="B88" s="121" t="s">
        <v>155</v>
      </c>
      <c r="C88" s="122"/>
      <c r="D88" s="122"/>
      <c r="E88" s="122"/>
      <c r="F88" s="122"/>
      <c r="G88" s="123"/>
      <c r="H88" s="130" t="s">
        <v>208</v>
      </c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2"/>
    </row>
    <row r="89" spans="2:20" ht="15.75" customHeight="1" x14ac:dyDescent="0.25">
      <c r="B89" s="141" t="s">
        <v>209</v>
      </c>
      <c r="C89" s="141"/>
      <c r="D89" s="29"/>
      <c r="E89" s="142" t="s">
        <v>158</v>
      </c>
      <c r="F89" s="142"/>
      <c r="G89" s="25"/>
      <c r="H89" s="145" t="s">
        <v>199</v>
      </c>
      <c r="I89" s="146"/>
      <c r="J89" s="146"/>
      <c r="K89" s="146"/>
      <c r="L89" s="146"/>
      <c r="M89" s="147"/>
      <c r="N89" s="145" t="s">
        <v>200</v>
      </c>
      <c r="O89" s="146"/>
      <c r="P89" s="146"/>
      <c r="Q89" s="146"/>
      <c r="R89" s="146"/>
      <c r="S89" s="146"/>
      <c r="T89" s="147"/>
    </row>
    <row r="90" spans="2:20" x14ac:dyDescent="0.25">
      <c r="B90" s="27" t="s">
        <v>159</v>
      </c>
      <c r="C90" s="28">
        <v>0.57599999999999996</v>
      </c>
      <c r="D90" s="29"/>
      <c r="E90" s="30" t="s">
        <v>160</v>
      </c>
      <c r="F90" s="31">
        <v>2700</v>
      </c>
      <c r="G90" s="25"/>
      <c r="H90" s="152" t="s">
        <v>210</v>
      </c>
      <c r="I90" s="153"/>
      <c r="J90" s="153"/>
      <c r="K90" s="153"/>
      <c r="L90" s="153"/>
      <c r="M90" s="154"/>
      <c r="N90" s="158" t="s">
        <v>211</v>
      </c>
      <c r="O90" s="159"/>
      <c r="P90" s="159"/>
      <c r="Q90" s="159"/>
      <c r="R90" s="159"/>
      <c r="S90" s="159"/>
      <c r="T90" s="160"/>
    </row>
    <row r="91" spans="2:20" ht="15" customHeight="1" x14ac:dyDescent="0.25">
      <c r="B91" s="27" t="s">
        <v>162</v>
      </c>
      <c r="C91" s="28">
        <v>5.4000000000000003E-3</v>
      </c>
      <c r="D91" s="29"/>
      <c r="E91" s="30" t="s">
        <v>163</v>
      </c>
      <c r="F91" s="31">
        <v>4096</v>
      </c>
      <c r="G91" s="25"/>
      <c r="H91" s="155"/>
      <c r="I91" s="156"/>
      <c r="J91" s="156"/>
      <c r="K91" s="156"/>
      <c r="L91" s="156"/>
      <c r="M91" s="157"/>
      <c r="N91" s="161"/>
      <c r="O91" s="162"/>
      <c r="P91" s="162"/>
      <c r="Q91" s="162"/>
      <c r="R91" s="162"/>
      <c r="S91" s="162"/>
      <c r="T91" s="163"/>
    </row>
    <row r="92" spans="2:20" ht="15" customHeight="1" x14ac:dyDescent="0.25">
      <c r="B92" s="27" t="s">
        <v>164</v>
      </c>
      <c r="C92" s="28">
        <v>2.5</v>
      </c>
      <c r="D92" s="29"/>
      <c r="E92" s="30" t="s">
        <v>165</v>
      </c>
      <c r="F92" s="31">
        <v>5</v>
      </c>
      <c r="G92" s="25"/>
      <c r="H92" s="152" t="s">
        <v>203</v>
      </c>
      <c r="I92" s="153"/>
      <c r="J92" s="153"/>
      <c r="K92" s="153"/>
      <c r="L92" s="153"/>
      <c r="M92" s="154"/>
      <c r="N92" s="152" t="s">
        <v>212</v>
      </c>
      <c r="O92" s="153"/>
      <c r="P92" s="153"/>
      <c r="Q92" s="153"/>
      <c r="R92" s="153"/>
      <c r="S92" s="153"/>
      <c r="T92" s="154"/>
    </row>
    <row r="93" spans="2:20" ht="15" customHeight="1" x14ac:dyDescent="0.25">
      <c r="B93" s="27" t="s">
        <v>167</v>
      </c>
      <c r="C93" s="28">
        <f>(F93-C92-C91)/C90</f>
        <v>1.3723931206597224</v>
      </c>
      <c r="D93" s="29"/>
      <c r="E93" s="30" t="s">
        <v>168</v>
      </c>
      <c r="F93" s="31">
        <f>(F92/F91)*F90</f>
        <v>3.2958984375</v>
      </c>
      <c r="G93" s="25"/>
      <c r="H93" s="155"/>
      <c r="I93" s="156"/>
      <c r="J93" s="156"/>
      <c r="K93" s="156"/>
      <c r="L93" s="156"/>
      <c r="M93" s="157"/>
      <c r="N93" s="155"/>
      <c r="O93" s="156"/>
      <c r="P93" s="156"/>
      <c r="Q93" s="156"/>
      <c r="R93" s="156"/>
      <c r="S93" s="156"/>
      <c r="T93" s="157"/>
    </row>
    <row r="94" spans="2:20" ht="15" customHeight="1" x14ac:dyDescent="0.25">
      <c r="B94" s="34"/>
      <c r="C94" s="35"/>
      <c r="D94" s="29"/>
      <c r="E94" s="29"/>
      <c r="F94" s="29"/>
      <c r="G94" s="25"/>
      <c r="H94" s="164" t="s">
        <v>173</v>
      </c>
      <c r="I94" s="138"/>
      <c r="J94" s="138"/>
      <c r="K94" s="138"/>
      <c r="L94" s="138"/>
      <c r="M94" s="138"/>
      <c r="N94" s="138"/>
      <c r="O94" s="138"/>
      <c r="P94" s="138"/>
      <c r="Q94" s="138"/>
      <c r="R94" s="139"/>
    </row>
    <row r="95" spans="2:20" ht="15.75" x14ac:dyDescent="0.25">
      <c r="B95" s="27" t="s">
        <v>170</v>
      </c>
      <c r="C95" s="28">
        <v>1.44</v>
      </c>
      <c r="D95" s="29"/>
      <c r="E95" s="29"/>
      <c r="F95" s="29"/>
      <c r="G95" s="25"/>
      <c r="H95" s="58"/>
      <c r="I95" s="59"/>
      <c r="J95" s="59"/>
      <c r="K95" s="60"/>
      <c r="L95" s="61"/>
      <c r="M95" s="61"/>
      <c r="N95" s="61"/>
      <c r="O95" s="61"/>
      <c r="P95" s="61"/>
      <c r="Q95" s="62"/>
      <c r="R95" s="63"/>
    </row>
    <row r="96" spans="2:20" ht="15.75" x14ac:dyDescent="0.25">
      <c r="B96" s="27" t="s">
        <v>180</v>
      </c>
      <c r="C96" s="28">
        <v>4082.63</v>
      </c>
      <c r="D96" s="29"/>
      <c r="E96" s="29"/>
      <c r="F96" s="29"/>
      <c r="G96" s="25"/>
      <c r="H96" s="64"/>
      <c r="I96" s="65"/>
      <c r="J96" s="66" t="s">
        <v>176</v>
      </c>
      <c r="K96" s="66"/>
      <c r="L96" s="66"/>
      <c r="M96" s="67"/>
      <c r="N96" s="68"/>
      <c r="O96" s="68"/>
      <c r="P96" s="69" t="s">
        <v>164</v>
      </c>
      <c r="Q96" s="69" t="str">
        <f>B93</f>
        <v>Vdiff</v>
      </c>
      <c r="R96" s="70"/>
    </row>
    <row r="97" spans="2:20" ht="15.75" x14ac:dyDescent="0.25">
      <c r="B97" s="27" t="s">
        <v>172</v>
      </c>
      <c r="C97" s="28">
        <v>8.1999999999999993</v>
      </c>
      <c r="D97" s="29"/>
      <c r="E97" s="29"/>
      <c r="F97" s="29"/>
      <c r="G97" s="25"/>
      <c r="H97" s="150"/>
      <c r="I97" s="151"/>
      <c r="J97" s="66"/>
      <c r="K97" s="67"/>
      <c r="L97" s="68"/>
      <c r="M97" s="68"/>
      <c r="N97" s="68"/>
      <c r="O97" s="68"/>
      <c r="P97" s="68" t="s">
        <v>188</v>
      </c>
      <c r="Q97" s="71">
        <f>C93</f>
        <v>1.3723931206597224</v>
      </c>
      <c r="R97" s="70"/>
    </row>
    <row r="98" spans="2:20" ht="30" x14ac:dyDescent="0.25">
      <c r="B98" s="37" t="s">
        <v>205</v>
      </c>
      <c r="C98" s="28">
        <f>0.3855*(C93)^4 +0.507*(C93)^3 + 1.091*(C93)^2+16.217*(C93)+48.434</f>
        <v>75.423012140457715</v>
      </c>
      <c r="D98" s="39"/>
      <c r="E98" s="40" t="s">
        <v>213</v>
      </c>
      <c r="F98" s="40"/>
      <c r="G98" s="41"/>
      <c r="H98" s="72"/>
      <c r="I98" s="73"/>
      <c r="J98" s="73"/>
      <c r="K98" s="73"/>
      <c r="L98" s="74"/>
      <c r="M98" s="74"/>
      <c r="N98" s="74"/>
      <c r="O98" s="74"/>
      <c r="P98" s="74" t="s">
        <v>159</v>
      </c>
      <c r="Q98" s="75" t="str">
        <f>B93</f>
        <v>Vdiff</v>
      </c>
      <c r="R98" s="76"/>
    </row>
    <row r="99" spans="2:20" ht="30" x14ac:dyDescent="0.25">
      <c r="B99" s="37" t="s">
        <v>214</v>
      </c>
      <c r="C99" s="28">
        <f>-0.5569*(C93)^4 - 4.8831*(C93)^3 -16.868*(C93)^2 -11.91*(C93)+32.525</f>
        <v>-30.188107338412614</v>
      </c>
    </row>
    <row r="101" spans="2:20" ht="15.75" x14ac:dyDescent="0.25">
      <c r="B101" s="121" t="s">
        <v>155</v>
      </c>
      <c r="C101" s="122"/>
      <c r="D101" s="122"/>
      <c r="E101" s="122"/>
      <c r="F101" s="122"/>
      <c r="G101" s="123"/>
      <c r="H101" s="130" t="s">
        <v>215</v>
      </c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2"/>
    </row>
    <row r="102" spans="2:20" ht="15.75" x14ac:dyDescent="0.25">
      <c r="B102" s="141" t="s">
        <v>216</v>
      </c>
      <c r="C102" s="141"/>
      <c r="D102" s="29"/>
      <c r="E102" s="142" t="s">
        <v>158</v>
      </c>
      <c r="F102" s="142"/>
      <c r="G102" s="25"/>
      <c r="H102" s="145" t="s">
        <v>199</v>
      </c>
      <c r="I102" s="146"/>
      <c r="J102" s="146"/>
      <c r="K102" s="146"/>
      <c r="L102" s="146"/>
      <c r="M102" s="147"/>
      <c r="N102" s="145" t="s">
        <v>200</v>
      </c>
      <c r="O102" s="146"/>
      <c r="P102" s="146"/>
      <c r="Q102" s="146"/>
      <c r="R102" s="146"/>
      <c r="S102" s="146"/>
      <c r="T102" s="147"/>
    </row>
    <row r="103" spans="2:20" ht="15" customHeight="1" x14ac:dyDescent="0.25">
      <c r="B103" s="27" t="s">
        <v>159</v>
      </c>
      <c r="C103" s="54">
        <v>2.4900000000000002</v>
      </c>
      <c r="D103" s="29"/>
      <c r="E103" s="30" t="s">
        <v>160</v>
      </c>
      <c r="F103" s="31">
        <v>2710</v>
      </c>
      <c r="G103" s="25"/>
      <c r="H103" s="165" t="s">
        <v>217</v>
      </c>
      <c r="I103" s="165"/>
      <c r="J103" s="165"/>
      <c r="K103" s="165"/>
      <c r="L103" s="165"/>
      <c r="M103" s="165"/>
      <c r="N103" s="165" t="s">
        <v>218</v>
      </c>
      <c r="O103" s="165"/>
      <c r="P103" s="165"/>
      <c r="Q103" s="165"/>
      <c r="R103" s="165"/>
      <c r="S103" s="165"/>
      <c r="T103" s="165"/>
    </row>
    <row r="104" spans="2:20" ht="15" customHeight="1" x14ac:dyDescent="0.25">
      <c r="B104" s="27" t="s">
        <v>162</v>
      </c>
      <c r="C104" s="28">
        <v>5.4000000000000003E-3</v>
      </c>
      <c r="D104" s="29"/>
      <c r="E104" s="30" t="s">
        <v>163</v>
      </c>
      <c r="F104" s="31">
        <v>4096</v>
      </c>
      <c r="G104" s="2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</row>
    <row r="105" spans="2:20" ht="15" customHeight="1" x14ac:dyDescent="0.25">
      <c r="B105" s="27" t="s">
        <v>164</v>
      </c>
      <c r="C105" s="54">
        <v>0</v>
      </c>
      <c r="D105" s="29"/>
      <c r="E105" s="30" t="s">
        <v>165</v>
      </c>
      <c r="F105" s="31">
        <v>5</v>
      </c>
      <c r="G105" s="25"/>
      <c r="H105" s="165" t="s">
        <v>219</v>
      </c>
      <c r="I105" s="165"/>
      <c r="J105" s="165"/>
      <c r="K105" s="165"/>
      <c r="L105" s="165"/>
      <c r="M105" s="165"/>
      <c r="N105" s="165" t="s">
        <v>220</v>
      </c>
      <c r="O105" s="174"/>
      <c r="P105" s="174"/>
      <c r="Q105" s="174"/>
      <c r="R105" s="174"/>
      <c r="S105" s="174"/>
      <c r="T105" s="174"/>
    </row>
    <row r="106" spans="2:20" ht="15" customHeight="1" x14ac:dyDescent="0.25">
      <c r="B106" s="27" t="s">
        <v>167</v>
      </c>
      <c r="C106" s="28">
        <v>1.5</v>
      </c>
      <c r="D106" s="29"/>
      <c r="E106" s="30" t="s">
        <v>168</v>
      </c>
      <c r="F106" s="31">
        <f>(F105/F104)*F103</f>
        <v>3.30810546875</v>
      </c>
      <c r="G106" s="25"/>
      <c r="H106" s="165"/>
      <c r="I106" s="165"/>
      <c r="J106" s="165"/>
      <c r="K106" s="165"/>
      <c r="L106" s="165"/>
      <c r="M106" s="165"/>
      <c r="N106" s="174"/>
      <c r="O106" s="174"/>
      <c r="P106" s="174"/>
      <c r="Q106" s="174"/>
      <c r="R106" s="174"/>
      <c r="S106" s="174"/>
      <c r="T106" s="174"/>
    </row>
    <row r="107" spans="2:20" ht="15.75" x14ac:dyDescent="0.25">
      <c r="B107" s="34"/>
      <c r="C107" s="35"/>
      <c r="D107" s="29"/>
      <c r="E107" s="29"/>
      <c r="F107" s="29"/>
      <c r="G107" s="25"/>
      <c r="H107" s="138" t="s">
        <v>173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9"/>
    </row>
    <row r="108" spans="2:20" ht="15.75" x14ac:dyDescent="0.25">
      <c r="B108" s="27" t="s">
        <v>170</v>
      </c>
      <c r="C108" s="28">
        <v>1.44</v>
      </c>
      <c r="D108" s="29"/>
      <c r="E108" s="29"/>
      <c r="F108" s="29"/>
      <c r="G108" s="25"/>
      <c r="H108" s="58"/>
      <c r="I108" s="59"/>
      <c r="J108" s="59"/>
      <c r="K108" s="60"/>
      <c r="L108" s="61"/>
      <c r="M108" s="61"/>
      <c r="N108" s="61"/>
      <c r="O108" s="61"/>
      <c r="P108" s="61"/>
      <c r="Q108" s="62"/>
      <c r="R108" s="63"/>
    </row>
    <row r="109" spans="2:20" ht="15.75" x14ac:dyDescent="0.25">
      <c r="B109" s="27" t="s">
        <v>180</v>
      </c>
      <c r="C109" s="28">
        <v>4082.63</v>
      </c>
      <c r="D109" s="29"/>
      <c r="E109" s="29"/>
      <c r="F109" s="29"/>
      <c r="G109" s="25"/>
      <c r="H109" s="64"/>
      <c r="I109" s="65"/>
      <c r="J109" s="66" t="s">
        <v>176</v>
      </c>
      <c r="K109" s="66"/>
      <c r="L109" s="66"/>
      <c r="M109" s="67"/>
      <c r="N109" s="68"/>
      <c r="O109" s="68"/>
      <c r="P109" s="69" t="s">
        <v>164</v>
      </c>
      <c r="Q109" s="69" t="str">
        <f>B106</f>
        <v>Vdiff</v>
      </c>
      <c r="R109" s="70"/>
    </row>
    <row r="110" spans="2:20" ht="15.75" x14ac:dyDescent="0.25">
      <c r="B110" s="27" t="s">
        <v>172</v>
      </c>
      <c r="C110" s="28">
        <v>8.1999999999999993</v>
      </c>
      <c r="D110" s="29"/>
      <c r="E110" s="29"/>
      <c r="F110" s="29"/>
      <c r="G110" s="25"/>
      <c r="H110" s="150"/>
      <c r="I110" s="151"/>
      <c r="J110" s="66"/>
      <c r="K110" s="67"/>
      <c r="L110" s="68"/>
      <c r="M110" s="68"/>
      <c r="N110" s="68"/>
      <c r="O110" s="68"/>
      <c r="P110" s="68" t="s">
        <v>188</v>
      </c>
      <c r="Q110" s="71">
        <f>C106</f>
        <v>1.5</v>
      </c>
      <c r="R110" s="70"/>
    </row>
    <row r="111" spans="2:20" ht="30" x14ac:dyDescent="0.25">
      <c r="B111" s="37" t="s">
        <v>221</v>
      </c>
      <c r="C111" s="28">
        <f>837.08*(C106)^3 - 3859.7*(C106)^2 +6034.6*(C106) - 3112.5</f>
        <v>80.220000000002983</v>
      </c>
      <c r="D111" s="39"/>
      <c r="E111" s="40" t="s">
        <v>222</v>
      </c>
      <c r="F111" s="40"/>
      <c r="G111" s="41"/>
      <c r="H111" s="72"/>
      <c r="I111" s="73"/>
      <c r="J111" s="73"/>
      <c r="K111" s="73"/>
      <c r="L111" s="74"/>
      <c r="M111" s="74"/>
      <c r="N111" s="74"/>
      <c r="O111" s="74"/>
      <c r="P111" s="74" t="s">
        <v>159</v>
      </c>
      <c r="Q111" s="75" t="str">
        <f>B106</f>
        <v>Vdiff</v>
      </c>
      <c r="R111" s="76"/>
    </row>
    <row r="112" spans="2:20" ht="30" x14ac:dyDescent="0.25">
      <c r="B112" s="37" t="s">
        <v>223</v>
      </c>
      <c r="C112" s="28">
        <f>26.408*(C106)^3  - 66.507*(C106)^2 +  112.01*(C106)  - 28.402</f>
        <v>79.099249999999998</v>
      </c>
    </row>
    <row r="116" spans="2:20" ht="15.75" customHeight="1" x14ac:dyDescent="0.25">
      <c r="B116" s="121" t="s">
        <v>155</v>
      </c>
      <c r="C116" s="122"/>
      <c r="D116" s="122"/>
      <c r="E116" s="122"/>
      <c r="F116" s="122"/>
      <c r="G116" s="123"/>
      <c r="H116" s="130" t="s">
        <v>215</v>
      </c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2"/>
    </row>
    <row r="117" spans="2:20" ht="15.75" x14ac:dyDescent="0.25">
      <c r="B117" s="141" t="s">
        <v>242</v>
      </c>
      <c r="C117" s="141"/>
      <c r="D117" s="29"/>
      <c r="E117" s="142" t="s">
        <v>158</v>
      </c>
      <c r="F117" s="142"/>
      <c r="G117" s="25"/>
      <c r="H117" s="145" t="s">
        <v>199</v>
      </c>
      <c r="I117" s="146"/>
      <c r="J117" s="146"/>
      <c r="K117" s="146"/>
      <c r="L117" s="146"/>
      <c r="M117" s="147"/>
      <c r="N117" s="145" t="s">
        <v>200</v>
      </c>
      <c r="O117" s="146"/>
      <c r="P117" s="146"/>
      <c r="Q117" s="146"/>
      <c r="R117" s="146"/>
      <c r="S117" s="146"/>
      <c r="T117" s="147"/>
    </row>
    <row r="118" spans="2:20" ht="15" customHeight="1" x14ac:dyDescent="0.25">
      <c r="B118" s="27" t="s">
        <v>159</v>
      </c>
      <c r="C118" s="54">
        <v>2.4900000000000002</v>
      </c>
      <c r="D118" s="29"/>
      <c r="E118" s="30" t="s">
        <v>160</v>
      </c>
      <c r="F118" s="31">
        <v>2710</v>
      </c>
      <c r="G118" s="25"/>
      <c r="H118" s="166" t="s">
        <v>217</v>
      </c>
      <c r="I118" s="167"/>
      <c r="J118" s="167"/>
      <c r="K118" s="167"/>
      <c r="L118" s="167"/>
      <c r="M118" s="168"/>
      <c r="N118" s="165" t="s">
        <v>218</v>
      </c>
      <c r="O118" s="165"/>
      <c r="P118" s="165"/>
      <c r="Q118" s="165"/>
      <c r="R118" s="165"/>
      <c r="S118" s="165"/>
      <c r="T118" s="165"/>
    </row>
    <row r="119" spans="2:20" ht="15" customHeight="1" x14ac:dyDescent="0.25">
      <c r="B119" s="27" t="s">
        <v>162</v>
      </c>
      <c r="C119" s="28">
        <v>5.4000000000000003E-3</v>
      </c>
      <c r="D119" s="29"/>
      <c r="E119" s="30" t="s">
        <v>163</v>
      </c>
      <c r="F119" s="31">
        <v>4096</v>
      </c>
      <c r="G119" s="25"/>
      <c r="H119" s="169"/>
      <c r="I119" s="170"/>
      <c r="J119" s="170"/>
      <c r="K119" s="170"/>
      <c r="L119" s="170"/>
      <c r="M119" s="171"/>
      <c r="N119" s="165"/>
      <c r="O119" s="165"/>
      <c r="P119" s="165"/>
      <c r="Q119" s="165"/>
      <c r="R119" s="165"/>
      <c r="S119" s="165"/>
      <c r="T119" s="165"/>
    </row>
    <row r="120" spans="2:20" ht="15" customHeight="1" x14ac:dyDescent="0.25">
      <c r="B120" s="27" t="s">
        <v>164</v>
      </c>
      <c r="C120" s="54">
        <v>0</v>
      </c>
      <c r="D120" s="29"/>
      <c r="E120" s="30" t="s">
        <v>165</v>
      </c>
      <c r="F120" s="31">
        <v>5</v>
      </c>
      <c r="G120" s="25"/>
      <c r="H120" s="166" t="s">
        <v>219</v>
      </c>
      <c r="I120" s="167"/>
      <c r="J120" s="167"/>
      <c r="K120" s="167"/>
      <c r="L120" s="167"/>
      <c r="M120" s="168"/>
      <c r="N120" s="165" t="s">
        <v>220</v>
      </c>
      <c r="O120" s="174"/>
      <c r="P120" s="174"/>
      <c r="Q120" s="174"/>
      <c r="R120" s="174"/>
      <c r="S120" s="174"/>
      <c r="T120" s="174"/>
    </row>
    <row r="121" spans="2:20" ht="15" customHeight="1" x14ac:dyDescent="0.25">
      <c r="B121" s="27" t="s">
        <v>167</v>
      </c>
      <c r="C121" s="28">
        <v>1.5</v>
      </c>
      <c r="D121" s="29"/>
      <c r="E121" s="30" t="s">
        <v>168</v>
      </c>
      <c r="F121" s="31">
        <f>(F120/F119)*F118</f>
        <v>3.30810546875</v>
      </c>
      <c r="G121" s="25"/>
      <c r="H121" s="169"/>
      <c r="I121" s="170"/>
      <c r="J121" s="170"/>
      <c r="K121" s="170"/>
      <c r="L121" s="170"/>
      <c r="M121" s="171"/>
      <c r="N121" s="174"/>
      <c r="O121" s="174"/>
      <c r="P121" s="174"/>
      <c r="Q121" s="174"/>
      <c r="R121" s="174"/>
      <c r="S121" s="174"/>
      <c r="T121" s="174"/>
    </row>
    <row r="122" spans="2:20" ht="15.75" x14ac:dyDescent="0.25">
      <c r="B122" s="34"/>
      <c r="C122" s="35"/>
      <c r="D122" s="29"/>
      <c r="E122" s="29"/>
      <c r="F122" s="29"/>
      <c r="G122" s="25"/>
      <c r="H122" s="164" t="s">
        <v>173</v>
      </c>
      <c r="I122" s="138"/>
      <c r="J122" s="138"/>
      <c r="K122" s="138"/>
      <c r="L122" s="138"/>
      <c r="M122" s="138"/>
      <c r="N122" s="138"/>
      <c r="O122" s="138"/>
      <c r="P122" s="138"/>
      <c r="Q122" s="138"/>
      <c r="R122" s="139"/>
    </row>
    <row r="123" spans="2:20" ht="15.75" x14ac:dyDescent="0.25">
      <c r="B123" s="27" t="s">
        <v>170</v>
      </c>
      <c r="C123" s="28">
        <v>1.44</v>
      </c>
      <c r="D123" s="29"/>
      <c r="E123" s="29"/>
      <c r="F123" s="29"/>
      <c r="G123" s="25"/>
      <c r="H123" s="58"/>
      <c r="I123" s="59"/>
      <c r="J123" s="59"/>
      <c r="K123" s="60"/>
      <c r="L123" s="61"/>
      <c r="M123" s="61"/>
      <c r="N123" s="61"/>
      <c r="O123" s="61"/>
      <c r="P123" s="61"/>
      <c r="Q123" s="62"/>
      <c r="R123" s="63"/>
    </row>
    <row r="124" spans="2:20" ht="15.75" x14ac:dyDescent="0.25">
      <c r="B124" s="27" t="s">
        <v>180</v>
      </c>
      <c r="C124" s="28">
        <v>4082.63</v>
      </c>
      <c r="D124" s="29"/>
      <c r="E124" s="29"/>
      <c r="F124" s="29"/>
      <c r="G124" s="25"/>
      <c r="H124" s="64"/>
      <c r="I124" s="65"/>
      <c r="J124" s="81" t="s">
        <v>176</v>
      </c>
      <c r="K124" s="81"/>
      <c r="L124" s="81"/>
      <c r="M124" s="67"/>
      <c r="N124" s="68"/>
      <c r="O124" s="68"/>
      <c r="P124" s="69" t="s">
        <v>164</v>
      </c>
      <c r="Q124" s="69" t="str">
        <f>B121</f>
        <v>Vdiff</v>
      </c>
      <c r="R124" s="70"/>
    </row>
    <row r="125" spans="2:20" ht="15.75" x14ac:dyDescent="0.25">
      <c r="B125" s="27" t="s">
        <v>172</v>
      </c>
      <c r="C125" s="28">
        <v>8.1999999999999993</v>
      </c>
      <c r="D125" s="29"/>
      <c r="E125" s="29"/>
      <c r="F125" s="29"/>
      <c r="G125" s="25"/>
      <c r="H125" s="150"/>
      <c r="I125" s="151"/>
      <c r="J125" s="81"/>
      <c r="K125" s="67"/>
      <c r="L125" s="68"/>
      <c r="M125" s="68"/>
      <c r="N125" s="68"/>
      <c r="O125" s="68"/>
      <c r="P125" s="68" t="s">
        <v>188</v>
      </c>
      <c r="Q125" s="71">
        <f>C121</f>
        <v>1.5</v>
      </c>
      <c r="R125" s="70"/>
    </row>
    <row r="126" spans="2:20" ht="30" x14ac:dyDescent="0.25">
      <c r="B126" s="37" t="s">
        <v>221</v>
      </c>
      <c r="C126" s="28">
        <f>837.08*(C121)^3 - 3859.7*(C121)^2 +6034.6*(C121) - 3112.5</f>
        <v>80.220000000002983</v>
      </c>
      <c r="D126" s="39"/>
      <c r="E126" s="40" t="s">
        <v>222</v>
      </c>
      <c r="F126" s="40"/>
      <c r="G126" s="41"/>
      <c r="H126" s="72"/>
      <c r="I126" s="73"/>
      <c r="J126" s="73"/>
      <c r="K126" s="73"/>
      <c r="L126" s="74"/>
      <c r="M126" s="74"/>
      <c r="N126" s="74"/>
      <c r="O126" s="74"/>
      <c r="P126" s="74" t="s">
        <v>159</v>
      </c>
      <c r="Q126" s="75" t="str">
        <f>B121</f>
        <v>Vdiff</v>
      </c>
      <c r="R126" s="76"/>
    </row>
    <row r="127" spans="2:20" ht="30" x14ac:dyDescent="0.25">
      <c r="B127" s="37" t="s">
        <v>223</v>
      </c>
      <c r="C127" s="28">
        <f>26.408*(C121)^3  - 66.507*(C121)^2 +  112.01*(C121)  - 28.402</f>
        <v>79.099249999999998</v>
      </c>
    </row>
    <row r="129" spans="2:20" ht="15.75" customHeight="1" x14ac:dyDescent="0.25">
      <c r="B129" s="121" t="s">
        <v>241</v>
      </c>
      <c r="C129" s="122"/>
      <c r="D129" s="122"/>
      <c r="E129" s="122"/>
      <c r="F129" s="122"/>
      <c r="G129" s="123"/>
      <c r="H129" s="124" t="s">
        <v>224</v>
      </c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6"/>
    </row>
    <row r="130" spans="2:20" ht="30" x14ac:dyDescent="0.25">
      <c r="B130" s="37" t="s">
        <v>225</v>
      </c>
      <c r="C130" s="28">
        <f>27.564*(F134^3)+99.063*(F134^2)-144.29*(F134)+114.4</f>
        <v>1710.4308662624667</v>
      </c>
      <c r="D130" s="29"/>
      <c r="E130" s="172" t="s">
        <v>158</v>
      </c>
      <c r="F130" s="173"/>
      <c r="G130" s="25"/>
      <c r="H130" s="127" t="s">
        <v>199</v>
      </c>
      <c r="I130" s="128"/>
      <c r="J130" s="128"/>
      <c r="K130" s="128"/>
      <c r="L130" s="128"/>
      <c r="M130" s="129"/>
      <c r="N130" s="127" t="s">
        <v>200</v>
      </c>
      <c r="O130" s="128"/>
      <c r="P130" s="128"/>
      <c r="Q130" s="128"/>
      <c r="R130" s="128"/>
      <c r="S130" s="128"/>
      <c r="T130" s="129"/>
    </row>
    <row r="131" spans="2:20" ht="30" customHeight="1" x14ac:dyDescent="0.25">
      <c r="B131" s="37" t="s">
        <v>226</v>
      </c>
      <c r="C131" s="28">
        <f>-2.1966*(F134^3)+18.637*(F134^2)-67.779*(F134)+96.86</f>
        <v>-2.8261044235261892</v>
      </c>
      <c r="D131" s="29"/>
      <c r="E131" s="30" t="s">
        <v>160</v>
      </c>
      <c r="F131" s="31">
        <v>2705</v>
      </c>
      <c r="G131" s="25"/>
      <c r="H131" s="152" t="s">
        <v>227</v>
      </c>
      <c r="I131" s="153"/>
      <c r="J131" s="153"/>
      <c r="K131" s="153"/>
      <c r="L131" s="153"/>
      <c r="M131" s="154"/>
      <c r="N131" s="152" t="s">
        <v>228</v>
      </c>
      <c r="O131" s="153"/>
      <c r="P131" s="153"/>
      <c r="Q131" s="153"/>
      <c r="R131" s="153"/>
      <c r="S131" s="153"/>
      <c r="T131" s="154"/>
    </row>
    <row r="132" spans="2:20" ht="15" customHeight="1" x14ac:dyDescent="0.25">
      <c r="B132" s="44"/>
      <c r="C132" s="29"/>
      <c r="D132" s="29"/>
      <c r="E132" s="30" t="s">
        <v>163</v>
      </c>
      <c r="F132" s="31">
        <v>4096</v>
      </c>
      <c r="G132" s="25"/>
      <c r="H132" s="155"/>
      <c r="I132" s="156"/>
      <c r="J132" s="156"/>
      <c r="K132" s="156"/>
      <c r="L132" s="156"/>
      <c r="M132" s="157"/>
      <c r="N132" s="155"/>
      <c r="O132" s="156"/>
      <c r="P132" s="156"/>
      <c r="Q132" s="156"/>
      <c r="R132" s="156"/>
      <c r="S132" s="156"/>
      <c r="T132" s="157"/>
    </row>
    <row r="133" spans="2:20" ht="15" customHeight="1" x14ac:dyDescent="0.25">
      <c r="B133" s="44"/>
      <c r="C133" s="29"/>
      <c r="D133" s="29"/>
      <c r="E133" s="30" t="s">
        <v>165</v>
      </c>
      <c r="F133" s="31">
        <v>5</v>
      </c>
      <c r="G133" s="25"/>
      <c r="H133" s="152" t="s">
        <v>229</v>
      </c>
      <c r="I133" s="153"/>
      <c r="J133" s="153"/>
      <c r="K133" s="153"/>
      <c r="L133" s="153"/>
      <c r="M133" s="154"/>
      <c r="N133" s="152" t="s">
        <v>230</v>
      </c>
      <c r="O133" s="153"/>
      <c r="P133" s="153"/>
      <c r="Q133" s="153"/>
      <c r="R133" s="153"/>
      <c r="S133" s="153"/>
      <c r="T133" s="154"/>
    </row>
    <row r="134" spans="2:20" ht="15" customHeight="1" x14ac:dyDescent="0.25">
      <c r="B134" s="44"/>
      <c r="C134" s="29"/>
      <c r="D134" s="29"/>
      <c r="E134" s="30" t="s">
        <v>168</v>
      </c>
      <c r="F134" s="31">
        <f>(F133/F132)*F131</f>
        <v>3.302001953125</v>
      </c>
      <c r="G134" s="25"/>
      <c r="H134" s="155"/>
      <c r="I134" s="156"/>
      <c r="J134" s="156"/>
      <c r="K134" s="156"/>
      <c r="L134" s="156"/>
      <c r="M134" s="157"/>
      <c r="N134" s="155"/>
      <c r="O134" s="156"/>
      <c r="P134" s="156"/>
      <c r="Q134" s="156"/>
      <c r="R134" s="156"/>
      <c r="S134" s="156"/>
      <c r="T134" s="157"/>
    </row>
    <row r="135" spans="2:20" ht="15.75" x14ac:dyDescent="0.25">
      <c r="B135" s="44"/>
      <c r="C135" s="29"/>
      <c r="D135" s="29"/>
      <c r="E135" s="79"/>
      <c r="F135" s="29"/>
      <c r="G135" s="25"/>
      <c r="H135" s="80"/>
      <c r="I135" s="80"/>
      <c r="J135" s="80"/>
      <c r="K135" s="80"/>
      <c r="L135" s="80"/>
      <c r="M135" s="80"/>
      <c r="N135" s="81"/>
      <c r="O135" s="81"/>
      <c r="P135" s="81"/>
      <c r="Q135" s="81"/>
      <c r="R135" s="81"/>
      <c r="S135" s="81"/>
      <c r="T135" s="81"/>
    </row>
    <row r="136" spans="2:20" x14ac:dyDescent="0.25">
      <c r="B136" s="39"/>
      <c r="C136" s="40"/>
      <c r="D136" s="40" t="s">
        <v>231</v>
      </c>
      <c r="E136" s="40"/>
      <c r="F136" s="40"/>
      <c r="G136" s="41"/>
    </row>
    <row r="138" spans="2:20" ht="15.75" x14ac:dyDescent="0.25">
      <c r="B138" s="121" t="s">
        <v>262</v>
      </c>
      <c r="C138" s="122"/>
      <c r="D138" s="122"/>
      <c r="E138" s="122"/>
      <c r="F138" s="122"/>
      <c r="G138" s="123"/>
      <c r="H138" s="124" t="s">
        <v>224</v>
      </c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6"/>
    </row>
    <row r="139" spans="2:20" ht="15.75" x14ac:dyDescent="0.25">
      <c r="B139" s="86"/>
      <c r="C139" s="86" t="s">
        <v>248</v>
      </c>
      <c r="D139" s="86" t="s">
        <v>249</v>
      </c>
      <c r="H139" s="127" t="s">
        <v>199</v>
      </c>
      <c r="I139" s="128"/>
      <c r="J139" s="128"/>
      <c r="K139" s="128"/>
      <c r="L139" s="128"/>
      <c r="M139" s="129"/>
      <c r="N139" s="127" t="s">
        <v>200</v>
      </c>
      <c r="O139" s="128"/>
      <c r="P139" s="128"/>
      <c r="Q139" s="128"/>
      <c r="R139" s="128"/>
      <c r="S139" s="128"/>
      <c r="T139" s="129"/>
    </row>
    <row r="140" spans="2:20" ht="15" customHeight="1" x14ac:dyDescent="0.25">
      <c r="B140" s="28" t="s">
        <v>250</v>
      </c>
      <c r="C140" s="87">
        <v>0.32800000000000001</v>
      </c>
      <c r="D140" s="87">
        <v>0.34599999999999997</v>
      </c>
      <c r="E140" s="117" t="s">
        <v>248</v>
      </c>
      <c r="F140" s="102" t="s">
        <v>265</v>
      </c>
      <c r="G140" s="1">
        <f>(7*(10^-9)*(C142^3)) - (8*(10^-6)*C142^2 )+ (0.0132*C142) + 0.5212</f>
        <v>1.709001625</v>
      </c>
      <c r="H140" s="120" t="s">
        <v>248</v>
      </c>
      <c r="I140" s="119" t="s">
        <v>270</v>
      </c>
      <c r="J140" s="119"/>
      <c r="K140" s="119"/>
      <c r="L140" s="119"/>
      <c r="M140" s="119"/>
      <c r="N140" s="119" t="s">
        <v>267</v>
      </c>
      <c r="O140" s="119"/>
      <c r="P140" s="119"/>
      <c r="Q140" s="119"/>
      <c r="R140" s="119"/>
      <c r="S140" s="119"/>
      <c r="T140" s="119"/>
    </row>
    <row r="141" spans="2:20" ht="15" customHeight="1" x14ac:dyDescent="0.25">
      <c r="B141" s="28" t="s">
        <v>252</v>
      </c>
      <c r="C141" s="87">
        <v>7.38</v>
      </c>
      <c r="D141" s="87">
        <v>9.83</v>
      </c>
      <c r="E141" s="118"/>
      <c r="F141" s="102" t="s">
        <v>266</v>
      </c>
      <c r="G141" s="1">
        <f>(2*(10^-5)*(C142^2)) + 0.0009*C142 + 0.1311</f>
        <v>0.39710000000000001</v>
      </c>
      <c r="H141" s="120"/>
      <c r="I141" s="119" t="s">
        <v>266</v>
      </c>
      <c r="J141" s="119"/>
      <c r="K141" s="119"/>
      <c r="L141" s="119"/>
      <c r="M141" s="119"/>
      <c r="N141" s="119" t="s">
        <v>264</v>
      </c>
      <c r="O141" s="119"/>
      <c r="P141" s="119"/>
      <c r="Q141" s="119"/>
      <c r="R141" s="119"/>
      <c r="S141" s="119"/>
      <c r="T141" s="119"/>
    </row>
    <row r="142" spans="2:20" ht="15" customHeight="1" x14ac:dyDescent="0.25">
      <c r="B142" s="28" t="s">
        <v>271</v>
      </c>
      <c r="C142" s="90">
        <v>95</v>
      </c>
      <c r="D142" s="90">
        <v>120</v>
      </c>
      <c r="E142" s="117" t="s">
        <v>249</v>
      </c>
      <c r="F142" s="102" t="s">
        <v>265</v>
      </c>
      <c r="G142" s="1">
        <f>(-8*(10^-6)*(D142^2)) + 0.0126*D142 + 0.4001</f>
        <v>1.7968999999999999</v>
      </c>
      <c r="H142" s="120" t="s">
        <v>249</v>
      </c>
      <c r="I142" s="119" t="s">
        <v>269</v>
      </c>
      <c r="J142" s="119"/>
      <c r="K142" s="119"/>
      <c r="L142" s="119"/>
      <c r="M142" s="119"/>
      <c r="N142" s="116" t="s">
        <v>274</v>
      </c>
      <c r="O142" s="116"/>
      <c r="P142" s="116"/>
      <c r="Q142" s="116"/>
      <c r="R142" s="116"/>
      <c r="S142" s="116"/>
      <c r="T142" s="116"/>
    </row>
    <row r="143" spans="2:20" ht="15" customHeight="1" x14ac:dyDescent="0.25">
      <c r="B143" s="28" t="s">
        <v>272</v>
      </c>
      <c r="C143" s="87">
        <v>60</v>
      </c>
      <c r="D143" s="87">
        <v>100</v>
      </c>
      <c r="E143" s="118"/>
      <c r="F143" s="102" t="s">
        <v>266</v>
      </c>
      <c r="G143" s="1">
        <f xml:space="preserve"> ((-8*(10^-6)*D142^2) + 0.0131*D142 + 0.4302)</f>
        <v>1.887</v>
      </c>
      <c r="H143" s="120"/>
      <c r="I143" s="119" t="s">
        <v>268</v>
      </c>
      <c r="J143" s="119"/>
      <c r="K143" s="119"/>
      <c r="L143" s="119"/>
      <c r="M143" s="119"/>
      <c r="N143" s="119" t="s">
        <v>275</v>
      </c>
      <c r="O143" s="119"/>
      <c r="P143" s="119"/>
      <c r="Q143" s="119"/>
      <c r="R143" s="119"/>
      <c r="S143" s="119"/>
      <c r="T143" s="119"/>
    </row>
    <row r="144" spans="2:20" x14ac:dyDescent="0.25">
      <c r="B144" s="28" t="s">
        <v>276</v>
      </c>
      <c r="C144" s="87">
        <f>G140+G141</f>
        <v>2.106101625</v>
      </c>
      <c r="D144" s="87">
        <f>G142+G143</f>
        <v>3.6839</v>
      </c>
    </row>
    <row r="145" spans="2:15" ht="15.75" x14ac:dyDescent="0.25">
      <c r="B145" s="28" t="s">
        <v>273</v>
      </c>
      <c r="C145" s="28">
        <f>C126-(10*10^3)+((C142^2*C141*10^6)+((C144)*C143*10^3))*(C140*10^3)</f>
        <v>21846317438160.199</v>
      </c>
      <c r="D145" s="28">
        <f>D126-(10*10^3)+((D142^2*D141*10^6)+((D144)*D143*10^3))*(D140*10^3)</f>
        <v>48977119452940</v>
      </c>
      <c r="I145" s="88" t="s">
        <v>263</v>
      </c>
      <c r="J145" s="89"/>
      <c r="K145" s="89"/>
      <c r="L145" s="89"/>
      <c r="M145" s="89"/>
      <c r="N145" s="89"/>
      <c r="O145" s="89"/>
    </row>
    <row r="149" spans="2:15" x14ac:dyDescent="0.25">
      <c r="L149" s="85"/>
    </row>
  </sheetData>
  <mergeCells count="113">
    <mergeCell ref="E130:F130"/>
    <mergeCell ref="H130:M130"/>
    <mergeCell ref="N130:T130"/>
    <mergeCell ref="H131:M132"/>
    <mergeCell ref="N131:T132"/>
    <mergeCell ref="H133:M134"/>
    <mergeCell ref="N133:T134"/>
    <mergeCell ref="H105:M106"/>
    <mergeCell ref="N105:T106"/>
    <mergeCell ref="H107:R107"/>
    <mergeCell ref="H110:I110"/>
    <mergeCell ref="N118:T119"/>
    <mergeCell ref="H120:M121"/>
    <mergeCell ref="N120:T121"/>
    <mergeCell ref="H122:R122"/>
    <mergeCell ref="H90:M91"/>
    <mergeCell ref="N90:T91"/>
    <mergeCell ref="H92:M93"/>
    <mergeCell ref="N92:T93"/>
    <mergeCell ref="H94:R94"/>
    <mergeCell ref="H97:I97"/>
    <mergeCell ref="B101:G101"/>
    <mergeCell ref="H101:T101"/>
    <mergeCell ref="B129:G129"/>
    <mergeCell ref="H129:T129"/>
    <mergeCell ref="B102:C102"/>
    <mergeCell ref="E102:F102"/>
    <mergeCell ref="H102:M102"/>
    <mergeCell ref="N102:T102"/>
    <mergeCell ref="H103:M104"/>
    <mergeCell ref="N103:T104"/>
    <mergeCell ref="B116:G116"/>
    <mergeCell ref="H116:T116"/>
    <mergeCell ref="B117:C117"/>
    <mergeCell ref="E117:F117"/>
    <mergeCell ref="H117:M117"/>
    <mergeCell ref="N117:T117"/>
    <mergeCell ref="H125:I125"/>
    <mergeCell ref="H118:M119"/>
    <mergeCell ref="H77:M78"/>
    <mergeCell ref="N77:T78"/>
    <mergeCell ref="H79:M80"/>
    <mergeCell ref="N79:T80"/>
    <mergeCell ref="H81:R81"/>
    <mergeCell ref="H84:I84"/>
    <mergeCell ref="B88:G88"/>
    <mergeCell ref="H88:T88"/>
    <mergeCell ref="B89:C89"/>
    <mergeCell ref="E89:F89"/>
    <mergeCell ref="H89:M89"/>
    <mergeCell ref="N89:T89"/>
    <mergeCell ref="H63:I63"/>
    <mergeCell ref="H65:R65"/>
    <mergeCell ref="H68:I68"/>
    <mergeCell ref="H71:I71"/>
    <mergeCell ref="B75:G75"/>
    <mergeCell ref="H75:T75"/>
    <mergeCell ref="B76:C76"/>
    <mergeCell ref="E76:F76"/>
    <mergeCell ref="H76:M76"/>
    <mergeCell ref="N76:T76"/>
    <mergeCell ref="B38:G38"/>
    <mergeCell ref="H38:R38"/>
    <mergeCell ref="B39:C39"/>
    <mergeCell ref="E39:F39"/>
    <mergeCell ref="H60:I60"/>
    <mergeCell ref="H40:I40"/>
    <mergeCell ref="H42:I42"/>
    <mergeCell ref="H45:I45"/>
    <mergeCell ref="H47:R47"/>
    <mergeCell ref="H50:I50"/>
    <mergeCell ref="H53:I53"/>
    <mergeCell ref="B56:G56"/>
    <mergeCell ref="H56:R56"/>
    <mergeCell ref="B57:C57"/>
    <mergeCell ref="E57:F57"/>
    <mergeCell ref="H58:I58"/>
    <mergeCell ref="B138:G138"/>
    <mergeCell ref="H138:T138"/>
    <mergeCell ref="H139:M139"/>
    <mergeCell ref="N139:T139"/>
    <mergeCell ref="B20:G20"/>
    <mergeCell ref="H20:R20"/>
    <mergeCell ref="B2:F2"/>
    <mergeCell ref="H2:R2"/>
    <mergeCell ref="B3:C3"/>
    <mergeCell ref="E3:F3"/>
    <mergeCell ref="H4:I4"/>
    <mergeCell ref="H6:I6"/>
    <mergeCell ref="H29:R29"/>
    <mergeCell ref="H8:I8"/>
    <mergeCell ref="H11:R11"/>
    <mergeCell ref="H14:I14"/>
    <mergeCell ref="H17:I17"/>
    <mergeCell ref="B21:C21"/>
    <mergeCell ref="E21:F21"/>
    <mergeCell ref="H22:I22"/>
    <mergeCell ref="H24:I24"/>
    <mergeCell ref="H27:I27"/>
    <mergeCell ref="H32:I32"/>
    <mergeCell ref="H35:I35"/>
    <mergeCell ref="N142:T142"/>
    <mergeCell ref="E140:E141"/>
    <mergeCell ref="E142:E143"/>
    <mergeCell ref="N140:T140"/>
    <mergeCell ref="I140:M140"/>
    <mergeCell ref="I141:M141"/>
    <mergeCell ref="N141:T141"/>
    <mergeCell ref="H140:H141"/>
    <mergeCell ref="H142:H143"/>
    <mergeCell ref="I142:M142"/>
    <mergeCell ref="N143:T143"/>
    <mergeCell ref="I143:M1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H18"/>
  <sheetViews>
    <sheetView topLeftCell="A2" workbookViewId="0">
      <selection activeCell="F19" sqref="F19"/>
    </sheetView>
  </sheetViews>
  <sheetFormatPr defaultRowHeight="15" x14ac:dyDescent="0.25"/>
  <cols>
    <col min="1" max="1" width="15.42578125" customWidth="1"/>
    <col min="4" max="4" width="40.5703125" customWidth="1"/>
    <col min="6" max="6" width="18.7109375" customWidth="1"/>
    <col min="7" max="7" width="29.7109375" bestFit="1" customWidth="1"/>
  </cols>
  <sheetData>
    <row r="8" spans="3:8" ht="15.75" x14ac:dyDescent="0.25">
      <c r="C8" s="93" t="s">
        <v>243</v>
      </c>
      <c r="D8" s="94" t="s">
        <v>244</v>
      </c>
    </row>
    <row r="9" spans="3:8" ht="15.75" x14ac:dyDescent="0.25">
      <c r="C9" s="95"/>
      <c r="D9" s="96" t="s">
        <v>251</v>
      </c>
    </row>
    <row r="10" spans="3:8" x14ac:dyDescent="0.25">
      <c r="C10" s="97"/>
      <c r="D10" s="98" t="s">
        <v>245</v>
      </c>
    </row>
    <row r="11" spans="3:8" x14ac:dyDescent="0.25">
      <c r="C11" s="97"/>
      <c r="D11" s="98" t="s">
        <v>246</v>
      </c>
    </row>
    <row r="12" spans="3:8" x14ac:dyDescent="0.25">
      <c r="C12" s="97"/>
      <c r="D12" s="99" t="s">
        <v>253</v>
      </c>
      <c r="F12" s="91"/>
      <c r="G12" s="92" t="s">
        <v>248</v>
      </c>
      <c r="H12" s="92" t="s">
        <v>249</v>
      </c>
    </row>
    <row r="13" spans="3:8" x14ac:dyDescent="0.25">
      <c r="C13" s="100"/>
      <c r="D13" s="101" t="s">
        <v>247</v>
      </c>
      <c r="F13" s="91" t="s">
        <v>250</v>
      </c>
      <c r="G13" s="92">
        <v>0.32800000000000001</v>
      </c>
      <c r="H13" s="92">
        <v>0.34599999999999997</v>
      </c>
    </row>
    <row r="14" spans="3:8" x14ac:dyDescent="0.25">
      <c r="F14" s="91" t="s">
        <v>252</v>
      </c>
      <c r="G14" s="92">
        <v>7.83</v>
      </c>
      <c r="H14" s="92">
        <v>9.83</v>
      </c>
    </row>
    <row r="16" spans="3:8" x14ac:dyDescent="0.25">
      <c r="G16" s="84"/>
    </row>
    <row r="18" spans="7:7" x14ac:dyDescent="0.25">
      <c r="G18" s="8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topLeftCell="A6" workbookViewId="0">
      <selection activeCell="B4" sqref="B4"/>
    </sheetView>
  </sheetViews>
  <sheetFormatPr defaultRowHeight="15" x14ac:dyDescent="0.25"/>
  <cols>
    <col min="1" max="1" width="21.5703125" customWidth="1"/>
    <col min="2" max="2" width="13.28515625" customWidth="1"/>
    <col min="3" max="3" width="11.5703125" customWidth="1"/>
    <col min="5" max="5" width="11.5703125" customWidth="1"/>
  </cols>
  <sheetData>
    <row r="2" spans="2:5" x14ac:dyDescent="0.25">
      <c r="B2">
        <f>50/8.25</f>
        <v>6.0606060606060606</v>
      </c>
      <c r="C2">
        <f>1/16.75</f>
        <v>5.9701492537313432E-2</v>
      </c>
    </row>
    <row r="3" spans="2:5" ht="30" x14ac:dyDescent="0.25">
      <c r="B3" s="82" t="s">
        <v>254</v>
      </c>
      <c r="C3" s="82" t="s">
        <v>255</v>
      </c>
      <c r="D3" s="82" t="s">
        <v>256</v>
      </c>
      <c r="E3" s="82" t="s">
        <v>257</v>
      </c>
    </row>
    <row r="4" spans="2:5" x14ac:dyDescent="0.25">
      <c r="B4" s="83">
        <f>4*B2</f>
        <v>24.242424242424242</v>
      </c>
      <c r="C4" s="83">
        <f>C2*2.5</f>
        <v>0.14925373134328357</v>
      </c>
      <c r="D4" s="83">
        <f>C2*13.5</f>
        <v>0.80597014925373134</v>
      </c>
      <c r="E4" s="83">
        <f>C2*14</f>
        <v>0.83582089552238803</v>
      </c>
    </row>
    <row r="5" spans="2:5" x14ac:dyDescent="0.25">
      <c r="B5" s="1">
        <v>50</v>
      </c>
      <c r="C5" s="1">
        <f>C2*4</f>
        <v>0.23880597014925373</v>
      </c>
      <c r="D5" s="1">
        <f>19*C2</f>
        <v>1.1343283582089552</v>
      </c>
      <c r="E5" s="1">
        <f>C2*19.5</f>
        <v>1.164179104477612</v>
      </c>
    </row>
    <row r="6" spans="2:5" x14ac:dyDescent="0.25">
      <c r="B6" s="1">
        <v>100</v>
      </c>
      <c r="C6" s="1">
        <f>C2*7.5</f>
        <v>0.44776119402985076</v>
      </c>
      <c r="D6" s="1">
        <f>C2*28.5</f>
        <v>1.7014925373134329</v>
      </c>
      <c r="E6" s="1">
        <f>C2*29.5</f>
        <v>1.7611940298507462</v>
      </c>
    </row>
    <row r="7" spans="2:5" x14ac:dyDescent="0.25">
      <c r="B7" s="1">
        <v>150</v>
      </c>
      <c r="C7" s="1">
        <f>C2*13.5</f>
        <v>0.80597014925373134</v>
      </c>
      <c r="D7" s="1">
        <f>C2*37.5</f>
        <v>2.2388059701492535</v>
      </c>
      <c r="E7" s="1">
        <f>C2*39</f>
        <v>2.3283582089552239</v>
      </c>
    </row>
    <row r="8" spans="2:5" x14ac:dyDescent="0.25">
      <c r="B8" s="1">
        <v>200</v>
      </c>
      <c r="C8" s="1">
        <f>C2*21</f>
        <v>1.2537313432835822</v>
      </c>
      <c r="D8" s="1">
        <f>C2*46</f>
        <v>2.7462686567164178</v>
      </c>
      <c r="E8" s="1">
        <f>C2*48.5</f>
        <v>2.8955223880597014</v>
      </c>
    </row>
    <row r="9" spans="2:5" x14ac:dyDescent="0.25">
      <c r="B9" s="1">
        <v>250</v>
      </c>
      <c r="C9" s="1">
        <f>C2*30.5</f>
        <v>1.8208955223880596</v>
      </c>
      <c r="D9" s="1">
        <f>C2*54</f>
        <v>3.2238805970149254</v>
      </c>
      <c r="E9" s="1">
        <f>C2*57</f>
        <v>3.4029850746268657</v>
      </c>
    </row>
    <row r="10" spans="2:5" x14ac:dyDescent="0.25">
      <c r="B10" s="1">
        <v>300</v>
      </c>
      <c r="C10" s="1">
        <f>C2*42</f>
        <v>2.5074626865671643</v>
      </c>
      <c r="D10" s="1">
        <f>C2*62</f>
        <v>3.7014925373134329</v>
      </c>
      <c r="E10" s="1">
        <f>C2*65.5</f>
        <v>3.9104477611940296</v>
      </c>
    </row>
    <row r="11" spans="2:5" x14ac:dyDescent="0.25">
      <c r="B11" s="1">
        <v>350</v>
      </c>
      <c r="C11" s="1">
        <f>C2*55.5</f>
        <v>3.3134328358208953</v>
      </c>
      <c r="D11" s="1">
        <f>C2*70</f>
        <v>4.1791044776119399</v>
      </c>
      <c r="E11" s="1">
        <f>C2*74</f>
        <v>4.4179104477611943</v>
      </c>
    </row>
    <row r="12" spans="2:5" x14ac:dyDescent="0.25">
      <c r="B12" s="1">
        <v>400</v>
      </c>
      <c r="C12" s="1">
        <f>C2*71</f>
        <v>4.2388059701492535</v>
      </c>
      <c r="D12" s="1">
        <f>C2*78.25</f>
        <v>4.6716417910447756</v>
      </c>
      <c r="E12" s="1">
        <f>C2*82.25</f>
        <v>4.91044776119403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opLeftCell="A6" workbookViewId="0">
      <selection activeCell="E9" sqref="E9"/>
    </sheetView>
  </sheetViews>
  <sheetFormatPr defaultRowHeight="15" x14ac:dyDescent="0.25"/>
  <sheetData>
    <row r="2" spans="2:5" x14ac:dyDescent="0.25">
      <c r="B2">
        <f>50/11.0625</f>
        <v>4.5197740112994351</v>
      </c>
      <c r="C2">
        <f>0.5/11.4</f>
        <v>4.3859649122807015E-2</v>
      </c>
    </row>
    <row r="3" spans="2:5" ht="30" x14ac:dyDescent="0.25">
      <c r="B3" s="82" t="s">
        <v>258</v>
      </c>
      <c r="C3" s="82" t="s">
        <v>259</v>
      </c>
      <c r="D3" s="82" t="s">
        <v>260</v>
      </c>
      <c r="E3" s="82" t="s">
        <v>261</v>
      </c>
    </row>
    <row r="4" spans="2:5" x14ac:dyDescent="0.25">
      <c r="B4" s="1">
        <f>B2*4</f>
        <v>18.07909604519774</v>
      </c>
      <c r="C4" s="1">
        <f>C2*3</f>
        <v>0.13157894736842105</v>
      </c>
      <c r="D4" s="1">
        <f>C2*14</f>
        <v>0.61403508771929816</v>
      </c>
      <c r="E4" s="1">
        <f>C2*15</f>
        <v>0.6578947368421052</v>
      </c>
    </row>
    <row r="5" spans="2:5" x14ac:dyDescent="0.25">
      <c r="B5" s="1">
        <f>B2*11.0625</f>
        <v>50</v>
      </c>
      <c r="C5" s="1">
        <f>C2*4.5</f>
        <v>0.19736842105263158</v>
      </c>
      <c r="D5" s="1">
        <f>C2*23.5</f>
        <v>1.0307017543859649</v>
      </c>
      <c r="E5" s="1">
        <f>C2*24.5</f>
        <v>1.0745614035087718</v>
      </c>
    </row>
    <row r="6" spans="2:5" x14ac:dyDescent="0.25">
      <c r="B6" s="1">
        <v>100</v>
      </c>
      <c r="C6" s="1">
        <f>C2*9.5</f>
        <v>0.41666666666666663</v>
      </c>
      <c r="D6" s="1">
        <f>C2*36</f>
        <v>1.5789473684210527</v>
      </c>
      <c r="E6" s="1">
        <f>C2*38</f>
        <v>1.6666666666666665</v>
      </c>
    </row>
    <row r="7" spans="2:5" x14ac:dyDescent="0.25">
      <c r="B7" s="1">
        <v>150</v>
      </c>
      <c r="C7" s="1">
        <f>C2*17.75</f>
        <v>0.77850877192982448</v>
      </c>
      <c r="D7" s="1">
        <f>C2*48.5</f>
        <v>2.1271929824561404</v>
      </c>
      <c r="E7" s="1">
        <f>C2*50.5</f>
        <v>2.2149122807017543</v>
      </c>
    </row>
    <row r="8" spans="2:5" x14ac:dyDescent="0.25">
      <c r="B8" s="1">
        <v>200</v>
      </c>
      <c r="C8" s="1">
        <f>C2*29</f>
        <v>1.2719298245614035</v>
      </c>
      <c r="D8" s="1">
        <f>C2*59.75</f>
        <v>2.6206140350877192</v>
      </c>
      <c r="E8" s="1">
        <f>C2*62</f>
        <v>2.7192982456140351</v>
      </c>
    </row>
    <row r="9" spans="2:5" x14ac:dyDescent="0.25">
      <c r="B9" s="1">
        <v>250</v>
      </c>
      <c r="C9" s="1">
        <f>C2*43</f>
        <v>1.8859649122807016</v>
      </c>
      <c r="D9" s="1">
        <f>C2*70</f>
        <v>3.070175438596491</v>
      </c>
      <c r="E9" s="1">
        <f>C2*73</f>
        <v>3.2017543859649122</v>
      </c>
    </row>
    <row r="10" spans="2:5" x14ac:dyDescent="0.25">
      <c r="B10" s="1">
        <v>300</v>
      </c>
      <c r="C10" s="1">
        <f>C2*60.5</f>
        <v>2.6535087719298245</v>
      </c>
      <c r="D10" s="1">
        <f>C2*80</f>
        <v>3.5087719298245612</v>
      </c>
      <c r="E10" s="1">
        <f>C2*82.75</f>
        <v>3.6293859649122804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ADC Channels</vt:lpstr>
      <vt:lpstr>ADC Channels (2)</vt:lpstr>
      <vt:lpstr>ADC_Formulas</vt:lpstr>
      <vt:lpstr>Sheet1</vt:lpstr>
      <vt:lpstr>FF6 - DAB</vt:lpstr>
      <vt:lpstr>FF8 - AFC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Rahmathulla H</dc:creator>
  <cp:lastModifiedBy>Mohamed Rahmathulla H</cp:lastModifiedBy>
  <dcterms:created xsi:type="dcterms:W3CDTF">2020-12-09T09:17:26Z</dcterms:created>
  <dcterms:modified xsi:type="dcterms:W3CDTF">2021-03-25T08:42:57Z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5591f2-6b23-403d-aa5f-b6d577f5e572_Enabled">
    <vt:lpwstr>true</vt:lpwstr>
  </property>
  <property fmtid="{D5CDD505-2E9C-101B-9397-08002B2CF9AE}" pid="3" name="MSIP_Label_4b5591f2-6b23-403d-aa5f-b6d577f5e572_SetDate">
    <vt:lpwstr>2020-12-09T09:29:56Z</vt:lpwstr>
  </property>
  <property fmtid="{D5CDD505-2E9C-101B-9397-08002B2CF9AE}" pid="4" name="MSIP_Label_4b5591f2-6b23-403d-aa5f-b6d577f5e572_Method">
    <vt:lpwstr>Standard</vt:lpwstr>
  </property>
  <property fmtid="{D5CDD505-2E9C-101B-9397-08002B2CF9AE}" pid="5" name="MSIP_Label_4b5591f2-6b23-403d-aa5f-b6d577f5e572_Name">
    <vt:lpwstr>4b5591f2-6b23-403d-aa5f-b6d577f5e572</vt:lpwstr>
  </property>
  <property fmtid="{D5CDD505-2E9C-101B-9397-08002B2CF9AE}" pid="6" name="MSIP_Label_4b5591f2-6b23-403d-aa5f-b6d577f5e572_SiteId">
    <vt:lpwstr>311b3378-8e8a-4b5e-a33f-e80a3d8ba60a</vt:lpwstr>
  </property>
  <property fmtid="{D5CDD505-2E9C-101B-9397-08002B2CF9AE}" pid="7" name="MSIP_Label_4b5591f2-6b23-403d-aa5f-b6d577f5e572_ActionId">
    <vt:lpwstr>90b0e42c-d492-4bec-b2bc-0000481c3b65</vt:lpwstr>
  </property>
  <property fmtid="{D5CDD505-2E9C-101B-9397-08002B2CF9AE}" pid="8" name="MSIP_Label_4b5591f2-6b23-403d-aa5f-b6d577f5e572_ContentBits">
    <vt:lpwstr>0</vt:lpwstr>
  </property>
</Properties>
</file>