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ihu\OneDrive\Desktop\coding\"/>
    </mc:Choice>
  </mc:AlternateContent>
  <xr:revisionPtr revIDLastSave="0" documentId="8_{9F789454-E727-4A18-987E-5F009750A399}" xr6:coauthVersionLast="47" xr6:coauthVersionMax="47" xr10:uidLastSave="{00000000-0000-0000-0000-000000000000}"/>
  <bookViews>
    <workbookView xWindow="-108" yWindow="-108" windowWidth="23256" windowHeight="12456" activeTab="3" xr2:uid="{FEDD472F-E4A7-4E74-9378-811E6C8C8E66}"/>
  </bookViews>
  <sheets>
    <sheet name="Forecasting &amp; SA" sheetId="1" r:id="rId1"/>
    <sheet name="COC" sheetId="2" r:id="rId2"/>
    <sheet name="Scenario Summary" sheetId="7" r:id="rId3"/>
    <sheet name="Coupon" sheetId="3" r:id="rId4"/>
  </sheets>
  <definedNames>
    <definedName name="Beta">COC!$B$4</definedName>
    <definedName name="Cd">COC!$E$5</definedName>
    <definedName name="Ce">COC!$E$4</definedName>
    <definedName name="CostOfDebt">COC!$B$5</definedName>
    <definedName name="DebtValue">COC!$B$8</definedName>
    <definedName name="EquityValue">COC!$B$7</definedName>
    <definedName name="MarketReturn">COC!$B$3</definedName>
    <definedName name="RiskFreeRate">COC!$B$2</definedName>
    <definedName name="TaxRate">COC!$B$6</definedName>
    <definedName name="Total_Capital">COC!$B$9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2" i="7" l="1"/>
  <c r="C11" i="7"/>
  <c r="C10" i="7"/>
  <c r="C8" i="7"/>
  <c r="C7" i="7"/>
  <c r="C6" i="7"/>
  <c r="B24" i="3"/>
  <c r="B15" i="3"/>
  <c r="B12" i="3"/>
  <c r="B15" i="2"/>
  <c r="B12" i="2"/>
  <c r="E5" i="2"/>
  <c r="E4" i="2"/>
  <c r="B9" i="2"/>
  <c r="G68" i="1"/>
  <c r="B68" i="1"/>
  <c r="C69" i="1"/>
  <c r="B69" i="1" s="1"/>
  <c r="C65" i="1"/>
  <c r="E64" i="1"/>
  <c r="E63" i="1"/>
  <c r="E62" i="1"/>
  <c r="E61" i="1"/>
  <c r="E60" i="1"/>
  <c r="D64" i="1"/>
  <c r="D63" i="1"/>
  <c r="D62" i="1"/>
  <c r="D61" i="1"/>
  <c r="D60" i="1"/>
  <c r="C51" i="1"/>
  <c r="F53" i="1" s="1"/>
  <c r="F56" i="1" s="1"/>
  <c r="F57" i="1" s="1"/>
  <c r="B37" i="1"/>
  <c r="B25" i="1"/>
  <c r="B17" i="1"/>
  <c r="B5" i="1"/>
  <c r="H18" i="1"/>
  <c r="J18" i="1" s="1"/>
  <c r="E47" i="1"/>
  <c r="D47" i="1"/>
  <c r="E45" i="1"/>
  <c r="D45" i="1"/>
  <c r="E44" i="1"/>
  <c r="D44" i="1"/>
  <c r="E42" i="1"/>
  <c r="D42" i="1"/>
  <c r="E40" i="1"/>
  <c r="D40" i="1"/>
  <c r="E39" i="1"/>
  <c r="D39" i="1"/>
  <c r="D27" i="1"/>
  <c r="E27" i="1"/>
  <c r="D29" i="1"/>
  <c r="E29" i="1"/>
  <c r="D31" i="1"/>
  <c r="E31" i="1"/>
  <c r="D32" i="1"/>
  <c r="E32" i="1"/>
  <c r="D34" i="1"/>
  <c r="E34" i="1"/>
  <c r="E26" i="1"/>
  <c r="D26" i="1"/>
  <c r="F12" i="1"/>
  <c r="F63" i="1" s="1"/>
  <c r="F9" i="1"/>
  <c r="F42" i="1" s="1"/>
  <c r="F6" i="1"/>
  <c r="F39" i="1" s="1"/>
  <c r="G23" i="1"/>
  <c r="H23" i="1" s="1"/>
  <c r="I23" i="1" s="1"/>
  <c r="J23" i="1" s="1"/>
  <c r="G22" i="1"/>
  <c r="H22" i="1" s="1"/>
  <c r="I22" i="1" s="1"/>
  <c r="J22" i="1" s="1"/>
  <c r="J12" i="1" s="1"/>
  <c r="J45" i="1" s="1"/>
  <c r="G21" i="1"/>
  <c r="H21" i="1" s="1"/>
  <c r="I21" i="1" s="1"/>
  <c r="J21" i="1" s="1"/>
  <c r="G20" i="1"/>
  <c r="H20" i="1" s="1"/>
  <c r="I20" i="1" s="1"/>
  <c r="J20" i="1" s="1"/>
  <c r="J9" i="1" s="1"/>
  <c r="J42" i="1" s="1"/>
  <c r="G19" i="1"/>
  <c r="H19" i="1" s="1"/>
  <c r="G18" i="1"/>
  <c r="I18" i="1" s="1"/>
  <c r="E22" i="1"/>
  <c r="D22" i="1"/>
  <c r="E20" i="1"/>
  <c r="D20" i="1"/>
  <c r="E21" i="1"/>
  <c r="D21" i="1"/>
  <c r="E19" i="1"/>
  <c r="D19" i="1"/>
  <c r="E18" i="1"/>
  <c r="E8" i="1"/>
  <c r="E10" i="1" s="1"/>
  <c r="E13" i="1" s="1"/>
  <c r="E15" i="1" s="1"/>
  <c r="E35" i="1" s="1"/>
  <c r="D8" i="1"/>
  <c r="D10" i="1" s="1"/>
  <c r="D13" i="1" s="1"/>
  <c r="D15" i="1" s="1"/>
  <c r="D35" i="1" s="1"/>
  <c r="E3" i="1"/>
  <c r="F3" i="1" s="1"/>
  <c r="G3" i="1" s="1"/>
  <c r="H3" i="1" s="1"/>
  <c r="I3" i="1" s="1"/>
  <c r="J3" i="1" s="1"/>
  <c r="B25" i="3" l="1"/>
  <c r="B26" i="3" s="1"/>
  <c r="B30" i="3" s="1"/>
  <c r="C43" i="3" s="1"/>
  <c r="D74" i="1"/>
  <c r="E65" i="1"/>
  <c r="E79" i="1"/>
  <c r="E74" i="1"/>
  <c r="E76" i="1"/>
  <c r="E80" i="1"/>
  <c r="D78" i="1"/>
  <c r="D79" i="1"/>
  <c r="D75" i="1"/>
  <c r="D80" i="1"/>
  <c r="D81" i="1"/>
  <c r="E75" i="1"/>
  <c r="D76" i="1"/>
  <c r="E78" i="1"/>
  <c r="E81" i="1"/>
  <c r="F52" i="1"/>
  <c r="F55" i="1" s="1"/>
  <c r="E52" i="1"/>
  <c r="E55" i="1" s="1"/>
  <c r="D65" i="1"/>
  <c r="D68" i="1" s="1"/>
  <c r="F61" i="1"/>
  <c r="H53" i="1"/>
  <c r="H56" i="1" s="1"/>
  <c r="H57" i="1" s="1"/>
  <c r="J61" i="1"/>
  <c r="D53" i="1"/>
  <c r="D56" i="1" s="1"/>
  <c r="D57" i="1" s="1"/>
  <c r="I53" i="1"/>
  <c r="I56" i="1" s="1"/>
  <c r="I57" i="1" s="1"/>
  <c r="G53" i="1"/>
  <c r="G56" i="1" s="1"/>
  <c r="G57" i="1" s="1"/>
  <c r="F45" i="1"/>
  <c r="E53" i="1"/>
  <c r="E56" i="1" s="1"/>
  <c r="E57" i="1" s="1"/>
  <c r="J63" i="1"/>
  <c r="D52" i="1"/>
  <c r="D55" i="1" s="1"/>
  <c r="H52" i="1"/>
  <c r="H55" i="1" s="1"/>
  <c r="I52" i="1"/>
  <c r="I55" i="1" s="1"/>
  <c r="G52" i="1"/>
  <c r="G55" i="1" s="1"/>
  <c r="F29" i="1"/>
  <c r="E33" i="1"/>
  <c r="D33" i="1"/>
  <c r="E43" i="1"/>
  <c r="E28" i="1"/>
  <c r="D48" i="1"/>
  <c r="D28" i="1"/>
  <c r="D41" i="1"/>
  <c r="F32" i="1"/>
  <c r="E41" i="1"/>
  <c r="F26" i="1"/>
  <c r="E48" i="1"/>
  <c r="E30" i="1"/>
  <c r="D46" i="1"/>
  <c r="D30" i="1"/>
  <c r="D43" i="1"/>
  <c r="E46" i="1"/>
  <c r="I9" i="1"/>
  <c r="H9" i="1"/>
  <c r="G9" i="1"/>
  <c r="H12" i="1"/>
  <c r="F7" i="1"/>
  <c r="F60" i="1" s="1"/>
  <c r="I12" i="1"/>
  <c r="F11" i="1"/>
  <c r="F62" i="1" s="1"/>
  <c r="G12" i="1"/>
  <c r="G6" i="1"/>
  <c r="I19" i="1"/>
  <c r="J19" i="1" s="1"/>
  <c r="E69" i="1" l="1"/>
  <c r="E68" i="1"/>
  <c r="E70" i="1" s="1"/>
  <c r="E72" i="1" s="1"/>
  <c r="D69" i="1"/>
  <c r="D70" i="1" s="1"/>
  <c r="D72" i="1" s="1"/>
  <c r="I45" i="1"/>
  <c r="I63" i="1"/>
  <c r="H45" i="1"/>
  <c r="H63" i="1"/>
  <c r="G42" i="1"/>
  <c r="G61" i="1"/>
  <c r="H42" i="1"/>
  <c r="H61" i="1"/>
  <c r="I42" i="1"/>
  <c r="I61" i="1"/>
  <c r="G45" i="1"/>
  <c r="G63" i="1"/>
  <c r="G39" i="1"/>
  <c r="G26" i="1"/>
  <c r="G32" i="1"/>
  <c r="G29" i="1"/>
  <c r="F31" i="1"/>
  <c r="F44" i="1"/>
  <c r="F8" i="1"/>
  <c r="F27" i="1"/>
  <c r="F40" i="1"/>
  <c r="H6" i="1"/>
  <c r="G7" i="1"/>
  <c r="G60" i="1" s="1"/>
  <c r="G11" i="1"/>
  <c r="G62" i="1" s="1"/>
  <c r="G44" i="1" l="1"/>
  <c r="G31" i="1"/>
  <c r="G8" i="1"/>
  <c r="G27" i="1"/>
  <c r="G40" i="1"/>
  <c r="F10" i="1"/>
  <c r="F41" i="1"/>
  <c r="F28" i="1"/>
  <c r="H29" i="1"/>
  <c r="H26" i="1"/>
  <c r="H32" i="1"/>
  <c r="H39" i="1"/>
  <c r="H11" i="1"/>
  <c r="H62" i="1" s="1"/>
  <c r="H7" i="1"/>
  <c r="H60" i="1" s="1"/>
  <c r="I6" i="1"/>
  <c r="F30" i="1" l="1"/>
  <c r="F43" i="1"/>
  <c r="F13" i="1"/>
  <c r="G10" i="1"/>
  <c r="G41" i="1"/>
  <c r="G28" i="1"/>
  <c r="H8" i="1"/>
  <c r="H27" i="1"/>
  <c r="H40" i="1"/>
  <c r="I29" i="1"/>
  <c r="I26" i="1"/>
  <c r="I32" i="1"/>
  <c r="I39" i="1"/>
  <c r="H31" i="1"/>
  <c r="H44" i="1"/>
  <c r="J6" i="1"/>
  <c r="I7" i="1"/>
  <c r="I60" i="1" s="1"/>
  <c r="I11" i="1"/>
  <c r="I62" i="1" s="1"/>
  <c r="G30" i="1" l="1"/>
  <c r="G43" i="1"/>
  <c r="G13" i="1"/>
  <c r="F14" i="1"/>
  <c r="F64" i="1" s="1"/>
  <c r="F46" i="1"/>
  <c r="F33" i="1"/>
  <c r="I31" i="1"/>
  <c r="I44" i="1"/>
  <c r="I8" i="1"/>
  <c r="I40" i="1"/>
  <c r="I27" i="1"/>
  <c r="J29" i="1"/>
  <c r="J26" i="1"/>
  <c r="J39" i="1"/>
  <c r="J32" i="1"/>
  <c r="H10" i="1"/>
  <c r="H41" i="1"/>
  <c r="H28" i="1"/>
  <c r="J7" i="1"/>
  <c r="J60" i="1" s="1"/>
  <c r="J11" i="1"/>
  <c r="J62" i="1" s="1"/>
  <c r="F65" i="1" l="1"/>
  <c r="F68" i="1" s="1"/>
  <c r="F81" i="1"/>
  <c r="F78" i="1"/>
  <c r="F75" i="1"/>
  <c r="F74" i="1"/>
  <c r="F79" i="1"/>
  <c r="F76" i="1"/>
  <c r="F80" i="1"/>
  <c r="F15" i="1"/>
  <c r="F34" i="1"/>
  <c r="F47" i="1"/>
  <c r="G14" i="1"/>
  <c r="G64" i="1" s="1"/>
  <c r="G33" i="1"/>
  <c r="G46" i="1"/>
  <c r="J8" i="1"/>
  <c r="J40" i="1"/>
  <c r="J27" i="1"/>
  <c r="H43" i="1"/>
  <c r="H30" i="1"/>
  <c r="H13" i="1"/>
  <c r="I10" i="1"/>
  <c r="I41" i="1"/>
  <c r="I28" i="1"/>
  <c r="J31" i="1"/>
  <c r="J44" i="1"/>
  <c r="F69" i="1" l="1"/>
  <c r="F70" i="1"/>
  <c r="F72" i="1" s="1"/>
  <c r="G65" i="1"/>
  <c r="G81" i="1"/>
  <c r="G75" i="1"/>
  <c r="G78" i="1"/>
  <c r="G80" i="1"/>
  <c r="G74" i="1"/>
  <c r="G79" i="1"/>
  <c r="G76" i="1"/>
  <c r="F35" i="1"/>
  <c r="F48" i="1"/>
  <c r="G15" i="1"/>
  <c r="G34" i="1"/>
  <c r="G47" i="1"/>
  <c r="I43" i="1"/>
  <c r="I30" i="1"/>
  <c r="I13" i="1"/>
  <c r="H14" i="1"/>
  <c r="H33" i="1"/>
  <c r="H46" i="1"/>
  <c r="J10" i="1"/>
  <c r="J28" i="1"/>
  <c r="J41" i="1"/>
  <c r="G69" i="1" l="1"/>
  <c r="H15" i="1"/>
  <c r="H48" i="1" s="1"/>
  <c r="H64" i="1"/>
  <c r="G48" i="1"/>
  <c r="G35" i="1"/>
  <c r="J43" i="1"/>
  <c r="J30" i="1"/>
  <c r="J13" i="1"/>
  <c r="H47" i="1"/>
  <c r="H34" i="1"/>
  <c r="I33" i="1"/>
  <c r="I46" i="1"/>
  <c r="I14" i="1"/>
  <c r="I64" i="1" s="1"/>
  <c r="G70" i="1" l="1"/>
  <c r="G72" i="1" s="1"/>
  <c r="I65" i="1"/>
  <c r="I79" i="1"/>
  <c r="I76" i="1"/>
  <c r="I81" i="1"/>
  <c r="I78" i="1"/>
  <c r="I75" i="1"/>
  <c r="I74" i="1"/>
  <c r="I80" i="1"/>
  <c r="H65" i="1"/>
  <c r="H81" i="1"/>
  <c r="H75" i="1"/>
  <c r="H80" i="1"/>
  <c r="H74" i="1"/>
  <c r="H79" i="1"/>
  <c r="H78" i="1"/>
  <c r="H76" i="1"/>
  <c r="H35" i="1"/>
  <c r="I15" i="1"/>
  <c r="I47" i="1"/>
  <c r="I34" i="1"/>
  <c r="J33" i="1"/>
  <c r="J46" i="1"/>
  <c r="J14" i="1"/>
  <c r="J64" i="1" s="1"/>
  <c r="H69" i="1" l="1"/>
  <c r="H68" i="1"/>
  <c r="I69" i="1"/>
  <c r="I68" i="1"/>
  <c r="J65" i="1"/>
  <c r="J76" i="1"/>
  <c r="J78" i="1"/>
  <c r="J75" i="1"/>
  <c r="J80" i="1"/>
  <c r="J79" i="1"/>
  <c r="J81" i="1"/>
  <c r="J74" i="1"/>
  <c r="J15" i="1"/>
  <c r="J47" i="1"/>
  <c r="J34" i="1"/>
  <c r="I35" i="1"/>
  <c r="I48" i="1"/>
  <c r="J69" i="1" l="1"/>
  <c r="J68" i="1"/>
  <c r="J70" i="1" s="1"/>
  <c r="J72" i="1" s="1"/>
  <c r="I70" i="1"/>
  <c r="I72" i="1" s="1"/>
  <c r="H70" i="1"/>
  <c r="H72" i="1" s="1"/>
  <c r="J35" i="1"/>
  <c r="J48" i="1"/>
</calcChain>
</file>

<file path=xl/sharedStrings.xml><?xml version="1.0" encoding="utf-8"?>
<sst xmlns="http://schemas.openxmlformats.org/spreadsheetml/2006/main" count="122" uniqueCount="85">
  <si>
    <t>INR(Crores)</t>
  </si>
  <si>
    <t>Revenue</t>
  </si>
  <si>
    <t>COGS</t>
  </si>
  <si>
    <t>Gross profit</t>
  </si>
  <si>
    <t>SG&amp;A expenses</t>
  </si>
  <si>
    <t>EBITDA</t>
  </si>
  <si>
    <t>Depreciation</t>
  </si>
  <si>
    <t>Interest</t>
  </si>
  <si>
    <t>EBT</t>
  </si>
  <si>
    <t>Taxes</t>
  </si>
  <si>
    <t>Net Income</t>
  </si>
  <si>
    <t>Revenue Growth</t>
  </si>
  <si>
    <t>COGS % of Revenue</t>
  </si>
  <si>
    <t>Depreciation % Sales</t>
  </si>
  <si>
    <t>N/A</t>
  </si>
  <si>
    <t>SG&amp;A Expenses</t>
  </si>
  <si>
    <t>Tata Steel</t>
  </si>
  <si>
    <t>Time Periods</t>
  </si>
  <si>
    <t>Monthly Data</t>
  </si>
  <si>
    <t>Annual Data</t>
  </si>
  <si>
    <t>Monthly Period</t>
  </si>
  <si>
    <t>Annual Period</t>
  </si>
  <si>
    <t>#</t>
  </si>
  <si>
    <t>Costing Analysis</t>
  </si>
  <si>
    <t>Total Expenses</t>
  </si>
  <si>
    <t>Average</t>
  </si>
  <si>
    <t>Weighted Average</t>
  </si>
  <si>
    <t>Median</t>
  </si>
  <si>
    <t>Min</t>
  </si>
  <si>
    <t>Max</t>
  </si>
  <si>
    <t>Small</t>
  </si>
  <si>
    <t>Large</t>
  </si>
  <si>
    <t xml:space="preserve"> </t>
  </si>
  <si>
    <t>Stub or Full Year</t>
  </si>
  <si>
    <t>Total</t>
  </si>
  <si>
    <t xml:space="preserve">Total </t>
  </si>
  <si>
    <t>Use IF for Error Check</t>
  </si>
  <si>
    <t>RiskFreeRate</t>
  </si>
  <si>
    <t>MarketReturn</t>
  </si>
  <si>
    <t>Beta</t>
  </si>
  <si>
    <t>EquityValue</t>
  </si>
  <si>
    <t>DebtValue</t>
  </si>
  <si>
    <t>CostOfDebt</t>
  </si>
  <si>
    <t>TaxRate</t>
  </si>
  <si>
    <t>COC</t>
  </si>
  <si>
    <t>Method 1</t>
  </si>
  <si>
    <t xml:space="preserve">COC </t>
  </si>
  <si>
    <t>Total Capital</t>
  </si>
  <si>
    <t>Method 2</t>
  </si>
  <si>
    <t>Ce</t>
  </si>
  <si>
    <t>Cd</t>
  </si>
  <si>
    <t xml:space="preserve">D/E </t>
  </si>
  <si>
    <t>Rating</t>
  </si>
  <si>
    <t>Coupon</t>
  </si>
  <si>
    <t>Baa2</t>
  </si>
  <si>
    <t>Baa3</t>
  </si>
  <si>
    <t>Ba1</t>
  </si>
  <si>
    <t>Ba2</t>
  </si>
  <si>
    <t xml:space="preserve">Given the D/E ratio of a company is 22% , calculate the applicable coupon rate </t>
  </si>
  <si>
    <t>Using IF :</t>
  </si>
  <si>
    <t xml:space="preserve">coupon </t>
  </si>
  <si>
    <t>Using VLOOKUP</t>
  </si>
  <si>
    <t>Advanced Simplications :</t>
  </si>
  <si>
    <t xml:space="preserve">current sales </t>
  </si>
  <si>
    <t>sales growth</t>
  </si>
  <si>
    <t xml:space="preserve">gross margin </t>
  </si>
  <si>
    <t>Next YR sales</t>
  </si>
  <si>
    <t>Cost of sales</t>
  </si>
  <si>
    <t>Gross Profit</t>
  </si>
  <si>
    <t>Sales Growth</t>
  </si>
  <si>
    <t>Gross Margin</t>
  </si>
  <si>
    <t>Scenario Analaysis</t>
  </si>
  <si>
    <t>Data Table</t>
  </si>
  <si>
    <t>Created by Humaira Ali on 6/5/2025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</si>
  <si>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</si>
  <si>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</si>
  <si>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</si>
  <si>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</si>
  <si>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</si>
  <si>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</si>
  <si>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</si>
  <si>
    <t>base</t>
  </si>
  <si>
    <t>better</t>
  </si>
  <si>
    <t>Created by Humaira Ali on 6/5/2025
Modified by Humaira Ali on 6/5/2025</t>
  </si>
  <si>
    <t>worse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</si>
</sst>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0&quot;A&quot;"/>
    <numFmt numFmtId="165" formatCode="0&quot;E&quot;"/>
    <numFmt numFmtId="166" formatCode="#,##0.0;\ \(#,##0.0\)"/>
    <numFmt numFmtId="167" formatCode="d\-mm\-yyyy"/>
    <numFmt numFmtId="168" formatCode="dd\-mm\-yyyy"/>
    <numFmt numFmtId="169" formatCode="0.0"/>
    <numFmt numFmtId="170" formatCode="0.000%"/>
    <numFmt numFmtId="171" formatCode="#,##0.0"/>
  </numFmts>
  <fonts count="17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b/>
      <sz val="11"/>
      <color theme="1"/>
      <name val="Calibri"/>
      <family val="2"/>
    </font>
    <font>
      <sz val="11"/>
      <color rgb="FF0000FF"/>
      <name val="Calibri"/>
      <family val="2"/>
    </font>
    <font>
      <sz val="11"/>
      <name val="Calibri"/>
      <family val="2"/>
    </font>
    <font>
      <b/>
      <sz val="11"/>
      <color rgb="FF0000FF"/>
      <name val="Calibri"/>
      <family val="2"/>
    </font>
    <font>
      <b/>
      <sz val="11"/>
      <name val="Calibri"/>
      <family val="2"/>
    </font>
    <font>
      <sz val="11"/>
      <color theme="0"/>
      <name val="Calibri"/>
      <family val="2"/>
    </font>
    <font>
      <i/>
      <sz val="11"/>
      <color theme="0" tint="-0.14996795556505021"/>
      <name val="Calibri"/>
      <family val="2"/>
    </font>
    <font>
      <i/>
      <sz val="11"/>
      <color theme="0" tint="-0.14999847407452621"/>
      <name val="Calibri"/>
      <family val="2"/>
    </font>
    <font>
      <b/>
      <i/>
      <sz val="11"/>
      <color theme="1"/>
      <name val="Calibri"/>
      <family val="2"/>
    </font>
    <font>
      <b/>
      <sz val="12"/>
      <color indexed="9"/>
      <name val="Calibri"/>
      <family val="2"/>
    </font>
    <font>
      <b/>
      <sz val="11"/>
      <color indexed="8"/>
      <name val="Calibri"/>
      <family val="2"/>
    </font>
    <font>
      <b/>
      <sz val="11"/>
      <color indexed="18"/>
      <name val="Calibri"/>
      <family val="2"/>
    </font>
    <font>
      <sz val="10"/>
      <color indexed="9"/>
      <name val="Calibri"/>
      <family val="2"/>
    </font>
    <font>
      <sz val="8"/>
      <color theme="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7" tint="-0.49998474074526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1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thick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3">
    <xf numFmtId="0" fontId="0" fillId="0" borderId="0" xfId="0"/>
    <xf numFmtId="0" fontId="3" fillId="0" borderId="0" xfId="0" applyFont="1"/>
    <xf numFmtId="0" fontId="2" fillId="2" borderId="0" xfId="0" applyFont="1" applyFill="1"/>
    <xf numFmtId="164" fontId="2" fillId="2" borderId="0" xfId="0" applyNumberFormat="1" applyFont="1" applyFill="1"/>
    <xf numFmtId="165" fontId="2" fillId="2" borderId="0" xfId="0" applyNumberFormat="1" applyFont="1" applyFill="1"/>
    <xf numFmtId="166" fontId="0" fillId="0" borderId="0" xfId="0" applyNumberFormat="1"/>
    <xf numFmtId="166" fontId="4" fillId="0" borderId="0" xfId="0" applyNumberFormat="1" applyFont="1"/>
    <xf numFmtId="9" fontId="4" fillId="0" borderId="0" xfId="0" applyNumberFormat="1" applyFont="1"/>
    <xf numFmtId="0" fontId="0" fillId="0" borderId="0" xfId="0" applyAlignment="1">
      <alignment horizontal="right"/>
    </xf>
    <xf numFmtId="10" fontId="4" fillId="0" borderId="0" xfId="0" applyNumberFormat="1" applyFont="1"/>
    <xf numFmtId="166" fontId="5" fillId="0" borderId="0" xfId="0" applyNumberFormat="1" applyFont="1"/>
    <xf numFmtId="0" fontId="3" fillId="3" borderId="0" xfId="0" applyFont="1" applyFill="1"/>
    <xf numFmtId="0" fontId="0" fillId="3" borderId="0" xfId="0" applyFill="1"/>
    <xf numFmtId="166" fontId="6" fillId="0" borderId="0" xfId="0" applyNumberFormat="1" applyFont="1"/>
    <xf numFmtId="0" fontId="0" fillId="0" borderId="1" xfId="0" applyBorder="1"/>
    <xf numFmtId="0" fontId="3" fillId="0" borderId="2" xfId="0" applyFont="1" applyBorder="1"/>
    <xf numFmtId="10" fontId="4" fillId="0" borderId="0" xfId="1" applyNumberFormat="1" applyFont="1"/>
    <xf numFmtId="166" fontId="7" fillId="0" borderId="0" xfId="0" applyNumberFormat="1" applyFont="1"/>
    <xf numFmtId="166" fontId="5" fillId="0" borderId="1" xfId="0" applyNumberFormat="1" applyFont="1" applyBorder="1"/>
    <xf numFmtId="166" fontId="7" fillId="0" borderId="2" xfId="0" applyNumberFormat="1" applyFont="1" applyBorder="1"/>
    <xf numFmtId="10" fontId="5" fillId="0" borderId="0" xfId="1" applyNumberFormat="1" applyFont="1"/>
    <xf numFmtId="9" fontId="5" fillId="0" borderId="0" xfId="1" applyFont="1"/>
    <xf numFmtId="14" fontId="0" fillId="0" borderId="0" xfId="0" applyNumberFormat="1"/>
    <xf numFmtId="167" fontId="0" fillId="0" borderId="0" xfId="0" applyNumberFormat="1"/>
    <xf numFmtId="168" fontId="0" fillId="0" borderId="0" xfId="0" applyNumberFormat="1"/>
    <xf numFmtId="167" fontId="4" fillId="0" borderId="0" xfId="0" applyNumberFormat="1" applyFont="1"/>
    <xf numFmtId="2" fontId="4" fillId="0" borderId="0" xfId="0" applyNumberFormat="1" applyFont="1"/>
    <xf numFmtId="166" fontId="3" fillId="0" borderId="1" xfId="0" applyNumberFormat="1" applyFont="1" applyBorder="1"/>
    <xf numFmtId="0" fontId="4" fillId="0" borderId="0" xfId="0" applyFont="1"/>
    <xf numFmtId="166" fontId="3" fillId="0" borderId="0" xfId="0" applyNumberFormat="1" applyFont="1"/>
    <xf numFmtId="169" fontId="0" fillId="0" borderId="0" xfId="0" applyNumberFormat="1"/>
    <xf numFmtId="9" fontId="4" fillId="0" borderId="0" xfId="1" applyFont="1"/>
    <xf numFmtId="0" fontId="5" fillId="0" borderId="0" xfId="0" applyFont="1"/>
    <xf numFmtId="9" fontId="0" fillId="0" borderId="0" xfId="0" applyNumberFormat="1"/>
    <xf numFmtId="170" fontId="0" fillId="0" borderId="0" xfId="0" applyNumberFormat="1"/>
    <xf numFmtId="10" fontId="0" fillId="0" borderId="0" xfId="1" applyNumberFormat="1" applyFont="1"/>
    <xf numFmtId="10" fontId="0" fillId="0" borderId="0" xfId="0" applyNumberFormat="1"/>
    <xf numFmtId="0" fontId="3" fillId="0" borderId="4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9" fontId="0" fillId="0" borderId="6" xfId="0" applyNumberFormat="1" applyBorder="1" applyAlignment="1">
      <alignment horizontal="center"/>
    </xf>
    <xf numFmtId="0" fontId="0" fillId="0" borderId="0" xfId="0" applyAlignment="1">
      <alignment horizontal="center"/>
    </xf>
    <xf numFmtId="10" fontId="0" fillId="0" borderId="7" xfId="0" applyNumberFormat="1" applyBorder="1" applyAlignment="1">
      <alignment horizontal="center"/>
    </xf>
    <xf numFmtId="9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10" fontId="0" fillId="0" borderId="10" xfId="0" applyNumberFormat="1" applyBorder="1" applyAlignment="1">
      <alignment horizontal="center"/>
    </xf>
    <xf numFmtId="9" fontId="0" fillId="0" borderId="3" xfId="0" applyNumberFormat="1" applyBorder="1"/>
    <xf numFmtId="3" fontId="0" fillId="0" borderId="0" xfId="0" applyNumberFormat="1"/>
    <xf numFmtId="4" fontId="0" fillId="0" borderId="0" xfId="0" applyNumberFormat="1"/>
    <xf numFmtId="9" fontId="0" fillId="0" borderId="11" xfId="0" applyNumberFormat="1" applyBorder="1"/>
    <xf numFmtId="171" fontId="0" fillId="0" borderId="0" xfId="0" applyNumberFormat="1"/>
    <xf numFmtId="0" fontId="8" fillId="4" borderId="0" xfId="0" applyFont="1" applyFill="1"/>
    <xf numFmtId="9" fontId="4" fillId="0" borderId="11" xfId="0" applyNumberFormat="1" applyFont="1" applyBorder="1"/>
    <xf numFmtId="171" fontId="0" fillId="0" borderId="12" xfId="0" applyNumberFormat="1" applyBorder="1"/>
    <xf numFmtId="0" fontId="0" fillId="0" borderId="4" xfId="0" applyBorder="1"/>
    <xf numFmtId="0" fontId="0" fillId="0" borderId="6" xfId="0" applyBorder="1"/>
    <xf numFmtId="0" fontId="8" fillId="5" borderId="6" xfId="0" applyFont="1" applyFill="1" applyBorder="1"/>
    <xf numFmtId="0" fontId="0" fillId="0" borderId="8" xfId="0" applyBorder="1"/>
    <xf numFmtId="9" fontId="4" fillId="0" borderId="14" xfId="0" applyNumberFormat="1" applyFont="1" applyBorder="1"/>
    <xf numFmtId="171" fontId="0" fillId="0" borderId="9" xfId="0" applyNumberFormat="1" applyBorder="1"/>
    <xf numFmtId="0" fontId="8" fillId="6" borderId="0" xfId="0" applyFont="1" applyFill="1" applyAlignment="1">
      <alignment horizontal="center"/>
    </xf>
    <xf numFmtId="10" fontId="4" fillId="0" borderId="7" xfId="0" applyNumberFormat="1" applyFont="1" applyBorder="1"/>
    <xf numFmtId="171" fontId="9" fillId="0" borderId="0" xfId="0" applyNumberFormat="1" applyFont="1"/>
    <xf numFmtId="171" fontId="10" fillId="0" borderId="0" xfId="0" applyNumberFormat="1" applyFont="1"/>
    <xf numFmtId="171" fontId="0" fillId="0" borderId="13" xfId="0" applyNumberFormat="1" applyBorder="1"/>
    <xf numFmtId="171" fontId="0" fillId="0" borderId="15" xfId="0" applyNumberFormat="1" applyBorder="1"/>
    <xf numFmtId="171" fontId="0" fillId="0" borderId="7" xfId="0" applyNumberFormat="1" applyBorder="1"/>
    <xf numFmtId="171" fontId="0" fillId="0" borderId="10" xfId="0" applyNumberFormat="1" applyBorder="1"/>
    <xf numFmtId="171" fontId="11" fillId="7" borderId="0" xfId="0" applyNumberFormat="1" applyFont="1" applyFill="1"/>
    <xf numFmtId="0" fontId="0" fillId="0" borderId="16" xfId="0" applyBorder="1"/>
    <xf numFmtId="0" fontId="0" fillId="0" borderId="0" xfId="0"/>
    <xf numFmtId="0" fontId="8" fillId="5" borderId="1" xfId="0" applyFont="1" applyFill="1" applyBorder="1" applyAlignment="1">
      <alignment horizontal="center"/>
    </xf>
    <xf numFmtId="0" fontId="8" fillId="5" borderId="5" xfId="0" applyFont="1" applyFill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ill="1" applyBorder="1" applyAlignment="1"/>
    <xf numFmtId="3" fontId="0" fillId="0" borderId="0" xfId="0" applyNumberFormat="1" applyFill="1" applyBorder="1" applyAlignment="1"/>
    <xf numFmtId="10" fontId="0" fillId="0" borderId="0" xfId="0" applyNumberFormat="1" applyFill="1" applyBorder="1" applyAlignment="1"/>
    <xf numFmtId="0" fontId="12" fillId="8" borderId="9" xfId="0" applyFont="1" applyFill="1" applyBorder="1" applyAlignment="1">
      <alignment horizontal="left"/>
    </xf>
    <xf numFmtId="0" fontId="12" fillId="8" borderId="16" xfId="0" applyFont="1" applyFill="1" applyBorder="1" applyAlignment="1">
      <alignment horizontal="left"/>
    </xf>
    <xf numFmtId="0" fontId="0" fillId="0" borderId="18" xfId="0" applyFill="1" applyBorder="1" applyAlignment="1"/>
    <xf numFmtId="0" fontId="13" fillId="9" borderId="0" xfId="0" applyFont="1" applyFill="1" applyBorder="1" applyAlignment="1">
      <alignment horizontal="left"/>
    </xf>
    <xf numFmtId="0" fontId="14" fillId="9" borderId="18" xfId="0" applyFont="1" applyFill="1" applyBorder="1" applyAlignment="1">
      <alignment horizontal="left"/>
    </xf>
    <xf numFmtId="0" fontId="13" fillId="9" borderId="17" xfId="0" applyFont="1" applyFill="1" applyBorder="1" applyAlignment="1">
      <alignment horizontal="left"/>
    </xf>
    <xf numFmtId="0" fontId="15" fillId="8" borderId="16" xfId="0" applyFont="1" applyFill="1" applyBorder="1" applyAlignment="1">
      <alignment horizontal="right"/>
    </xf>
    <xf numFmtId="0" fontId="15" fillId="8" borderId="9" xfId="0" applyFont="1" applyFill="1" applyBorder="1" applyAlignment="1">
      <alignment horizontal="right"/>
    </xf>
    <xf numFmtId="3" fontId="0" fillId="10" borderId="0" xfId="0" applyNumberFormat="1" applyFill="1" applyBorder="1" applyAlignment="1"/>
    <xf numFmtId="10" fontId="0" fillId="10" borderId="0" xfId="0" applyNumberFormat="1" applyFill="1" applyBorder="1" applyAlignment="1"/>
    <xf numFmtId="0" fontId="16" fillId="0" borderId="0" xfId="0" applyFont="1" applyFill="1" applyBorder="1" applyAlignment="1">
      <alignment vertical="top" wrapText="1"/>
    </xf>
    <xf numFmtId="4" fontId="0" fillId="0" borderId="0" xfId="0" applyNumberFormat="1" applyFill="1" applyBorder="1" applyAlignment="1"/>
    <xf numFmtId="171" fontId="0" fillId="0" borderId="17" xfId="0" applyNumberFormat="1" applyFill="1" applyBorder="1" applyAlignment="1"/>
    <xf numFmtId="3" fontId="4" fillId="0" borderId="0" xfId="0" applyNumberFormat="1" applyFont="1" applyProtection="1">
      <protection locked="0"/>
    </xf>
    <xf numFmtId="10" fontId="4" fillId="0" borderId="0" xfId="0" applyNumberFormat="1" applyFont="1" applyProtection="1">
      <protection locked="0"/>
    </xf>
  </cellXfs>
  <cellStyles count="2">
    <cellStyle name="Normal" xfId="0" builtinId="0"/>
    <cellStyle name="Percent" xfId="1" builtinId="5"/>
  </cellStyles>
  <dxfs count="2">
    <dxf>
      <fill>
        <patternFill>
          <bgColor theme="9" tint="0.59996337778862885"/>
        </patternFill>
      </fill>
    </dxf>
    <dxf>
      <font>
        <b val="0"/>
        <i/>
        <color theme="1" tint="0.499984740745262"/>
      </font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F2E2D-F167-402B-A2E0-FEC13AC17C53}">
  <dimension ref="A2:M81"/>
  <sheetViews>
    <sheetView showGridLines="0"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C82" sqref="C82"/>
    </sheetView>
  </sheetViews>
  <sheetFormatPr defaultRowHeight="14.4" outlineLevelRow="1" x14ac:dyDescent="0.3"/>
  <cols>
    <col min="1" max="1" width="1.88671875" customWidth="1"/>
    <col min="2" max="2" width="18.109375" bestFit="1" customWidth="1"/>
    <col min="3" max="3" width="10.33203125" bestFit="1" customWidth="1"/>
    <col min="4" max="10" width="10.77734375" customWidth="1"/>
  </cols>
  <sheetData>
    <row r="2" spans="1:13" x14ac:dyDescent="0.3">
      <c r="B2" s="1" t="s">
        <v>16</v>
      </c>
    </row>
    <row r="3" spans="1:13" x14ac:dyDescent="0.3">
      <c r="B3" s="2" t="s">
        <v>0</v>
      </c>
      <c r="C3" s="2"/>
      <c r="D3" s="3">
        <v>2020</v>
      </c>
      <c r="E3" s="3">
        <f>D3+1</f>
        <v>2021</v>
      </c>
      <c r="F3" s="4">
        <f t="shared" ref="F3:J3" si="0">E3+1</f>
        <v>2022</v>
      </c>
      <c r="G3" s="4">
        <f t="shared" si="0"/>
        <v>2023</v>
      </c>
      <c r="H3" s="4">
        <f t="shared" si="0"/>
        <v>2024</v>
      </c>
      <c r="I3" s="4">
        <f t="shared" si="0"/>
        <v>2025</v>
      </c>
      <c r="J3" s="4">
        <f t="shared" si="0"/>
        <v>2026</v>
      </c>
    </row>
    <row r="4" spans="1:13" x14ac:dyDescent="0.3">
      <c r="M4" s="22"/>
    </row>
    <row r="5" spans="1:13" x14ac:dyDescent="0.3">
      <c r="A5" t="s">
        <v>22</v>
      </c>
      <c r="B5" s="11" t="str">
        <f>"Income Statement"&amp;" - "&amp;B2</f>
        <v>Income Statement - Tata Steel</v>
      </c>
      <c r="C5" s="12"/>
      <c r="D5" s="12"/>
      <c r="E5" s="12"/>
      <c r="F5" s="12"/>
      <c r="G5" s="12"/>
      <c r="H5" s="12"/>
      <c r="I5" s="12"/>
      <c r="J5" s="12"/>
    </row>
    <row r="6" spans="1:13" outlineLevel="1" x14ac:dyDescent="0.3">
      <c r="B6" s="1" t="s">
        <v>1</v>
      </c>
      <c r="C6" s="1"/>
      <c r="D6" s="13">
        <v>20000</v>
      </c>
      <c r="E6" s="13">
        <v>22500</v>
      </c>
      <c r="F6" s="17">
        <f>E6*(1+F18)</f>
        <v>24750.000000000004</v>
      </c>
      <c r="G6" s="17">
        <f t="shared" ref="G6:J6" si="1">F6*(1+G18)</f>
        <v>27225.000000000007</v>
      </c>
      <c r="H6" s="17">
        <f t="shared" si="1"/>
        <v>29947.500000000011</v>
      </c>
      <c r="I6" s="17">
        <f t="shared" si="1"/>
        <v>32942.250000000015</v>
      </c>
      <c r="J6" s="17">
        <f t="shared" si="1"/>
        <v>36236.47500000002</v>
      </c>
    </row>
    <row r="7" spans="1:13" outlineLevel="1" x14ac:dyDescent="0.3">
      <c r="B7" t="s">
        <v>2</v>
      </c>
      <c r="D7" s="6">
        <v>8000</v>
      </c>
      <c r="E7" s="6">
        <v>9000</v>
      </c>
      <c r="F7" s="10">
        <f>F6*F19</f>
        <v>9900.0000000000018</v>
      </c>
      <c r="G7" s="10">
        <f t="shared" ref="G7:J7" si="2">G6*G19</f>
        <v>10890.000000000004</v>
      </c>
      <c r="H7" s="10">
        <f t="shared" si="2"/>
        <v>11979.000000000005</v>
      </c>
      <c r="I7" s="10">
        <f t="shared" si="2"/>
        <v>13176.900000000007</v>
      </c>
      <c r="J7" s="10">
        <f t="shared" si="2"/>
        <v>14494.590000000009</v>
      </c>
    </row>
    <row r="8" spans="1:13" outlineLevel="1" x14ac:dyDescent="0.3">
      <c r="B8" s="14" t="s">
        <v>3</v>
      </c>
      <c r="C8" s="14"/>
      <c r="D8" s="18">
        <f>D6-D7</f>
        <v>12000</v>
      </c>
      <c r="E8" s="18">
        <f>E6-E7</f>
        <v>13500</v>
      </c>
      <c r="F8" s="18">
        <f t="shared" ref="F8:J8" si="3">F6-F7</f>
        <v>14850.000000000002</v>
      </c>
      <c r="G8" s="18">
        <f t="shared" si="3"/>
        <v>16335.000000000004</v>
      </c>
      <c r="H8" s="18">
        <f t="shared" si="3"/>
        <v>17968.500000000007</v>
      </c>
      <c r="I8" s="18">
        <f t="shared" si="3"/>
        <v>19765.350000000006</v>
      </c>
      <c r="J8" s="18">
        <f t="shared" si="3"/>
        <v>21741.885000000009</v>
      </c>
    </row>
    <row r="9" spans="1:13" outlineLevel="1" x14ac:dyDescent="0.3">
      <c r="B9" t="s">
        <v>4</v>
      </c>
      <c r="D9" s="6">
        <v>2000</v>
      </c>
      <c r="E9" s="6">
        <v>2250</v>
      </c>
      <c r="F9" s="10">
        <f>F20</f>
        <v>2500</v>
      </c>
      <c r="G9" s="10">
        <f t="shared" ref="G9:J9" si="4">G20</f>
        <v>2500</v>
      </c>
      <c r="H9" s="10">
        <f t="shared" si="4"/>
        <v>2500</v>
      </c>
      <c r="I9" s="10">
        <f t="shared" si="4"/>
        <v>2500</v>
      </c>
      <c r="J9" s="10">
        <f t="shared" si="4"/>
        <v>2500</v>
      </c>
    </row>
    <row r="10" spans="1:13" outlineLevel="1" x14ac:dyDescent="0.3">
      <c r="B10" s="14" t="s">
        <v>5</v>
      </c>
      <c r="C10" s="14"/>
      <c r="D10" s="18">
        <f>D8-D9</f>
        <v>10000</v>
      </c>
      <c r="E10" s="18">
        <f>E8-E9</f>
        <v>11250</v>
      </c>
      <c r="F10" s="18">
        <f t="shared" ref="F10:J10" si="5">F8-F9</f>
        <v>12350.000000000002</v>
      </c>
      <c r="G10" s="18">
        <f t="shared" si="5"/>
        <v>13835.000000000004</v>
      </c>
      <c r="H10" s="18">
        <f t="shared" si="5"/>
        <v>15468.500000000007</v>
      </c>
      <c r="I10" s="18">
        <f t="shared" si="5"/>
        <v>17265.350000000006</v>
      </c>
      <c r="J10" s="18">
        <f t="shared" si="5"/>
        <v>19241.885000000009</v>
      </c>
    </row>
    <row r="11" spans="1:13" outlineLevel="1" x14ac:dyDescent="0.3">
      <c r="B11" t="s">
        <v>6</v>
      </c>
      <c r="D11" s="6">
        <v>800</v>
      </c>
      <c r="E11" s="6">
        <v>900</v>
      </c>
      <c r="F11" s="10">
        <f>F6*F21</f>
        <v>1237.5000000000002</v>
      </c>
      <c r="G11" s="10">
        <f t="shared" ref="G11:J11" si="6">G6*G21</f>
        <v>1361.2500000000005</v>
      </c>
      <c r="H11" s="10">
        <f t="shared" si="6"/>
        <v>1497.3750000000007</v>
      </c>
      <c r="I11" s="10">
        <f t="shared" si="6"/>
        <v>1647.1125000000009</v>
      </c>
      <c r="J11" s="10">
        <f t="shared" si="6"/>
        <v>1811.8237500000012</v>
      </c>
    </row>
    <row r="12" spans="1:13" outlineLevel="1" x14ac:dyDescent="0.3">
      <c r="B12" t="s">
        <v>7</v>
      </c>
      <c r="D12" s="6">
        <v>200</v>
      </c>
      <c r="E12" s="6">
        <v>225</v>
      </c>
      <c r="F12" s="10">
        <f>F22</f>
        <v>250</v>
      </c>
      <c r="G12" s="10">
        <f t="shared" ref="G12:J12" si="7">G22</f>
        <v>250</v>
      </c>
      <c r="H12" s="10">
        <f t="shared" si="7"/>
        <v>250</v>
      </c>
      <c r="I12" s="10">
        <f t="shared" si="7"/>
        <v>250</v>
      </c>
      <c r="J12" s="10">
        <f t="shared" si="7"/>
        <v>250</v>
      </c>
    </row>
    <row r="13" spans="1:13" outlineLevel="1" x14ac:dyDescent="0.3">
      <c r="B13" s="14" t="s">
        <v>8</v>
      </c>
      <c r="C13" s="14"/>
      <c r="D13" s="18">
        <f>D10-SUM(D11:D12)</f>
        <v>9000</v>
      </c>
      <c r="E13" s="18">
        <f>E10-SUM(E11:E12)</f>
        <v>10125</v>
      </c>
      <c r="F13" s="18">
        <f t="shared" ref="F13:I13" si="8">F10-SUM(F11:F12)</f>
        <v>10862.500000000002</v>
      </c>
      <c r="G13" s="18">
        <f t="shared" si="8"/>
        <v>12223.750000000004</v>
      </c>
      <c r="H13" s="18">
        <f t="shared" si="8"/>
        <v>13721.125000000007</v>
      </c>
      <c r="I13" s="18">
        <f t="shared" si="8"/>
        <v>15368.237500000005</v>
      </c>
      <c r="J13" s="18">
        <f>J10-SUM(J11:J12)</f>
        <v>17180.061250000006</v>
      </c>
    </row>
    <row r="14" spans="1:13" outlineLevel="1" x14ac:dyDescent="0.3">
      <c r="B14" t="s">
        <v>9</v>
      </c>
      <c r="D14" s="6">
        <v>2700</v>
      </c>
      <c r="E14" s="6">
        <v>3036.5</v>
      </c>
      <c r="F14" s="10">
        <f>F13*F23</f>
        <v>3258.7500000000005</v>
      </c>
      <c r="G14" s="10">
        <f t="shared" ref="G14:J14" si="9">G13*G23</f>
        <v>3667.1250000000009</v>
      </c>
      <c r="H14" s="10">
        <f t="shared" si="9"/>
        <v>4116.3375000000024</v>
      </c>
      <c r="I14" s="10">
        <f t="shared" si="9"/>
        <v>4610.4712500000014</v>
      </c>
      <c r="J14" s="10">
        <f t="shared" si="9"/>
        <v>5154.0183750000015</v>
      </c>
    </row>
    <row r="15" spans="1:13" ht="15" outlineLevel="1" thickBot="1" x14ac:dyDescent="0.35">
      <c r="B15" s="15" t="s">
        <v>10</v>
      </c>
      <c r="C15" s="15"/>
      <c r="D15" s="19">
        <f>D13-D14</f>
        <v>6300</v>
      </c>
      <c r="E15" s="19">
        <f>E13-E14</f>
        <v>7088.5</v>
      </c>
      <c r="F15" s="19">
        <f t="shared" ref="F15:J15" si="10">F13-F14</f>
        <v>7603.7500000000018</v>
      </c>
      <c r="G15" s="19">
        <f t="shared" si="10"/>
        <v>8556.6250000000036</v>
      </c>
      <c r="H15" s="19">
        <f t="shared" si="10"/>
        <v>9604.7875000000058</v>
      </c>
      <c r="I15" s="19">
        <f t="shared" si="10"/>
        <v>10757.766250000004</v>
      </c>
      <c r="J15" s="19">
        <f t="shared" si="10"/>
        <v>12026.042875000005</v>
      </c>
    </row>
    <row r="16" spans="1:13" ht="15" thickTop="1" x14ac:dyDescent="0.3"/>
    <row r="17" spans="1:10" x14ac:dyDescent="0.3">
      <c r="A17" t="s">
        <v>22</v>
      </c>
      <c r="B17" s="11" t="str">
        <f>"Assumption Drivers"&amp;" - "&amp;B2</f>
        <v>Assumption Drivers - Tata Steel</v>
      </c>
      <c r="C17" s="12"/>
      <c r="D17" s="12"/>
      <c r="E17" s="12"/>
      <c r="F17" s="12"/>
      <c r="G17" s="12"/>
      <c r="H17" s="12"/>
      <c r="I17" s="12"/>
      <c r="J17" s="12"/>
    </row>
    <row r="18" spans="1:10" outlineLevel="1" x14ac:dyDescent="0.3">
      <c r="B18" t="s">
        <v>11</v>
      </c>
      <c r="D18" s="8" t="s">
        <v>14</v>
      </c>
      <c r="E18" s="20">
        <f>E6/D6-1</f>
        <v>0.125</v>
      </c>
      <c r="F18" s="9">
        <v>0.1</v>
      </c>
      <c r="G18" s="20">
        <f>F18</f>
        <v>0.1</v>
      </c>
      <c r="H18" s="20">
        <f>F18</f>
        <v>0.1</v>
      </c>
      <c r="I18" s="20">
        <f t="shared" ref="I18:J18" si="11">G18</f>
        <v>0.1</v>
      </c>
      <c r="J18" s="20">
        <f t="shared" si="11"/>
        <v>0.1</v>
      </c>
    </row>
    <row r="19" spans="1:10" outlineLevel="1" x14ac:dyDescent="0.3">
      <c r="B19" t="s">
        <v>12</v>
      </c>
      <c r="D19" s="20">
        <f>D7/D6</f>
        <v>0.4</v>
      </c>
      <c r="E19" s="20">
        <f>E7/E6</f>
        <v>0.4</v>
      </c>
      <c r="F19" s="9">
        <v>0.4</v>
      </c>
      <c r="G19" s="20">
        <f t="shared" ref="G19:J19" si="12">F19</f>
        <v>0.4</v>
      </c>
      <c r="H19" s="20">
        <f t="shared" si="12"/>
        <v>0.4</v>
      </c>
      <c r="I19" s="20">
        <f t="shared" si="12"/>
        <v>0.4</v>
      </c>
      <c r="J19" s="20">
        <f t="shared" si="12"/>
        <v>0.4</v>
      </c>
    </row>
    <row r="20" spans="1:10" outlineLevel="1" x14ac:dyDescent="0.3">
      <c r="B20" t="s">
        <v>15</v>
      </c>
      <c r="D20" s="10">
        <f>D9</f>
        <v>2000</v>
      </c>
      <c r="E20" s="10">
        <f>E9</f>
        <v>2250</v>
      </c>
      <c r="F20" s="6">
        <v>2500</v>
      </c>
      <c r="G20" s="10">
        <f t="shared" ref="G20:J20" si="13">F20</f>
        <v>2500</v>
      </c>
      <c r="H20" s="10">
        <f t="shared" si="13"/>
        <v>2500</v>
      </c>
      <c r="I20" s="10">
        <f t="shared" si="13"/>
        <v>2500</v>
      </c>
      <c r="J20" s="10">
        <f t="shared" si="13"/>
        <v>2500</v>
      </c>
    </row>
    <row r="21" spans="1:10" outlineLevel="1" x14ac:dyDescent="0.3">
      <c r="B21" t="s">
        <v>13</v>
      </c>
      <c r="D21" s="20">
        <f>D11/D6</f>
        <v>0.04</v>
      </c>
      <c r="E21" s="20">
        <f>E11/E6</f>
        <v>0.04</v>
      </c>
      <c r="F21" s="9">
        <v>0.05</v>
      </c>
      <c r="G21" s="20">
        <f t="shared" ref="G21:J21" si="14">F21</f>
        <v>0.05</v>
      </c>
      <c r="H21" s="20">
        <f t="shared" si="14"/>
        <v>0.05</v>
      </c>
      <c r="I21" s="20">
        <f t="shared" si="14"/>
        <v>0.05</v>
      </c>
      <c r="J21" s="20">
        <f t="shared" si="14"/>
        <v>0.05</v>
      </c>
    </row>
    <row r="22" spans="1:10" outlineLevel="1" x14ac:dyDescent="0.3">
      <c r="B22" t="s">
        <v>7</v>
      </c>
      <c r="D22" s="10">
        <f>D12</f>
        <v>200</v>
      </c>
      <c r="E22" s="10">
        <f>E12</f>
        <v>225</v>
      </c>
      <c r="F22" s="6">
        <v>250</v>
      </c>
      <c r="G22" s="10">
        <f t="shared" ref="G22:J22" si="15">F22</f>
        <v>250</v>
      </c>
      <c r="H22" s="10">
        <f t="shared" si="15"/>
        <v>250</v>
      </c>
      <c r="I22" s="10">
        <f t="shared" si="15"/>
        <v>250</v>
      </c>
      <c r="J22" s="10">
        <f t="shared" si="15"/>
        <v>250</v>
      </c>
    </row>
    <row r="23" spans="1:10" outlineLevel="1" x14ac:dyDescent="0.3">
      <c r="B23" t="s">
        <v>9</v>
      </c>
      <c r="D23" s="9">
        <v>0.3</v>
      </c>
      <c r="E23" s="9">
        <v>0.3</v>
      </c>
      <c r="F23" s="9">
        <v>0.3</v>
      </c>
      <c r="G23" s="20">
        <f t="shared" ref="G23:J23" si="16">F23</f>
        <v>0.3</v>
      </c>
      <c r="H23" s="20">
        <f t="shared" si="16"/>
        <v>0.3</v>
      </c>
      <c r="I23" s="20">
        <f t="shared" si="16"/>
        <v>0.3</v>
      </c>
      <c r="J23" s="20">
        <f t="shared" si="16"/>
        <v>0.3</v>
      </c>
    </row>
    <row r="24" spans="1:10" x14ac:dyDescent="0.3">
      <c r="F24" s="7"/>
    </row>
    <row r="25" spans="1:10" x14ac:dyDescent="0.3">
      <c r="A25" t="s">
        <v>22</v>
      </c>
      <c r="B25" s="11" t="str">
        <f>"Common Size Statement"&amp;" - "&amp;B2</f>
        <v>Common Size Statement - Tata Steel</v>
      </c>
      <c r="C25" s="11"/>
      <c r="D25" s="11"/>
      <c r="E25" s="11"/>
      <c r="F25" s="11"/>
      <c r="G25" s="11"/>
      <c r="H25" s="11"/>
      <c r="I25" s="11"/>
      <c r="J25" s="11"/>
    </row>
    <row r="26" spans="1:10" outlineLevel="1" x14ac:dyDescent="0.3">
      <c r="B26" t="s">
        <v>1</v>
      </c>
      <c r="D26" s="21">
        <f>D6/D$6</f>
        <v>1</v>
      </c>
      <c r="E26" s="21">
        <f t="shared" ref="E26:J26" si="17">E6/E$6</f>
        <v>1</v>
      </c>
      <c r="F26" s="21">
        <f t="shared" si="17"/>
        <v>1</v>
      </c>
      <c r="G26" s="21">
        <f t="shared" si="17"/>
        <v>1</v>
      </c>
      <c r="H26" s="21">
        <f t="shared" si="17"/>
        <v>1</v>
      </c>
      <c r="I26" s="21">
        <f t="shared" si="17"/>
        <v>1</v>
      </c>
      <c r="J26" s="21">
        <f t="shared" si="17"/>
        <v>1</v>
      </c>
    </row>
    <row r="27" spans="1:10" outlineLevel="1" x14ac:dyDescent="0.3">
      <c r="B27" t="s">
        <v>2</v>
      </c>
      <c r="D27" s="21">
        <f t="shared" ref="D27:J27" si="18">D7/D$6</f>
        <v>0.4</v>
      </c>
      <c r="E27" s="21">
        <f t="shared" si="18"/>
        <v>0.4</v>
      </c>
      <c r="F27" s="21">
        <f t="shared" si="18"/>
        <v>0.4</v>
      </c>
      <c r="G27" s="21">
        <f t="shared" si="18"/>
        <v>0.4</v>
      </c>
      <c r="H27" s="21">
        <f t="shared" si="18"/>
        <v>0.4</v>
      </c>
      <c r="I27" s="21">
        <f t="shared" si="18"/>
        <v>0.4</v>
      </c>
      <c r="J27" s="21">
        <f t="shared" si="18"/>
        <v>0.4</v>
      </c>
    </row>
    <row r="28" spans="1:10" outlineLevel="1" x14ac:dyDescent="0.3">
      <c r="B28" t="s">
        <v>3</v>
      </c>
      <c r="D28" s="21">
        <f t="shared" ref="D28:J28" si="19">D8/D$6</f>
        <v>0.6</v>
      </c>
      <c r="E28" s="21">
        <f t="shared" si="19"/>
        <v>0.6</v>
      </c>
      <c r="F28" s="21">
        <f t="shared" si="19"/>
        <v>0.6</v>
      </c>
      <c r="G28" s="21">
        <f t="shared" si="19"/>
        <v>0.6</v>
      </c>
      <c r="H28" s="21">
        <f t="shared" si="19"/>
        <v>0.6</v>
      </c>
      <c r="I28" s="21">
        <f t="shared" si="19"/>
        <v>0.59999999999999987</v>
      </c>
      <c r="J28" s="21">
        <f t="shared" si="19"/>
        <v>0.59999999999999987</v>
      </c>
    </row>
    <row r="29" spans="1:10" outlineLevel="1" x14ac:dyDescent="0.3">
      <c r="B29" t="s">
        <v>4</v>
      </c>
      <c r="D29" s="21">
        <f t="shared" ref="D29:J29" si="20">D9/D$6</f>
        <v>0.1</v>
      </c>
      <c r="E29" s="21">
        <f t="shared" si="20"/>
        <v>0.1</v>
      </c>
      <c r="F29" s="21">
        <f t="shared" si="20"/>
        <v>0.10101010101010099</v>
      </c>
      <c r="G29" s="21">
        <f t="shared" si="20"/>
        <v>9.1827364554637261E-2</v>
      </c>
      <c r="H29" s="21">
        <f t="shared" si="20"/>
        <v>8.3479422322397495E-2</v>
      </c>
      <c r="I29" s="21">
        <f t="shared" si="20"/>
        <v>7.5890383929452271E-2</v>
      </c>
      <c r="J29" s="21">
        <f t="shared" si="20"/>
        <v>6.8991258117683876E-2</v>
      </c>
    </row>
    <row r="30" spans="1:10" outlineLevel="1" x14ac:dyDescent="0.3">
      <c r="B30" t="s">
        <v>5</v>
      </c>
      <c r="D30" s="21">
        <f t="shared" ref="D30:J30" si="21">D10/D$6</f>
        <v>0.5</v>
      </c>
      <c r="E30" s="21">
        <f t="shared" si="21"/>
        <v>0.5</v>
      </c>
      <c r="F30" s="21">
        <f t="shared" si="21"/>
        <v>0.49898989898989898</v>
      </c>
      <c r="G30" s="21">
        <f t="shared" si="21"/>
        <v>0.50817263544536273</v>
      </c>
      <c r="H30" s="21">
        <f t="shared" si="21"/>
        <v>0.51652057767760251</v>
      </c>
      <c r="I30" s="21">
        <f t="shared" si="21"/>
        <v>0.52410961607054762</v>
      </c>
      <c r="J30" s="21">
        <f t="shared" si="21"/>
        <v>0.53100874188231606</v>
      </c>
    </row>
    <row r="31" spans="1:10" outlineLevel="1" x14ac:dyDescent="0.3">
      <c r="B31" t="s">
        <v>6</v>
      </c>
      <c r="D31" s="21">
        <f t="shared" ref="D31:J31" si="22">D11/D$6</f>
        <v>0.04</v>
      </c>
      <c r="E31" s="21">
        <f t="shared" si="22"/>
        <v>0.04</v>
      </c>
      <c r="F31" s="21">
        <f t="shared" si="22"/>
        <v>0.05</v>
      </c>
      <c r="G31" s="21">
        <f t="shared" si="22"/>
        <v>0.05</v>
      </c>
      <c r="H31" s="21">
        <f t="shared" si="22"/>
        <v>0.05</v>
      </c>
      <c r="I31" s="21">
        <f t="shared" si="22"/>
        <v>0.05</v>
      </c>
      <c r="J31" s="21">
        <f t="shared" si="22"/>
        <v>0.05</v>
      </c>
    </row>
    <row r="32" spans="1:10" outlineLevel="1" x14ac:dyDescent="0.3">
      <c r="B32" t="s">
        <v>7</v>
      </c>
      <c r="D32" s="21">
        <f t="shared" ref="D32:J32" si="23">D12/D$6</f>
        <v>0.01</v>
      </c>
      <c r="E32" s="21">
        <f t="shared" si="23"/>
        <v>0.01</v>
      </c>
      <c r="F32" s="21">
        <f t="shared" si="23"/>
        <v>1.01010101010101E-2</v>
      </c>
      <c r="G32" s="21">
        <f t="shared" si="23"/>
        <v>9.1827364554637261E-3</v>
      </c>
      <c r="H32" s="21">
        <f t="shared" si="23"/>
        <v>8.3479422322397506E-3</v>
      </c>
      <c r="I32" s="21">
        <f t="shared" si="23"/>
        <v>7.5890383929452269E-3</v>
      </c>
      <c r="J32" s="21">
        <f t="shared" si="23"/>
        <v>6.8991258117683868E-3</v>
      </c>
    </row>
    <row r="33" spans="1:10" outlineLevel="1" x14ac:dyDescent="0.3">
      <c r="B33" t="s">
        <v>8</v>
      </c>
      <c r="D33" s="21">
        <f t="shared" ref="D33:J33" si="24">D13/D$6</f>
        <v>0.45</v>
      </c>
      <c r="E33" s="21">
        <f t="shared" si="24"/>
        <v>0.45</v>
      </c>
      <c r="F33" s="21">
        <f t="shared" si="24"/>
        <v>0.43888888888888888</v>
      </c>
      <c r="G33" s="21">
        <f t="shared" si="24"/>
        <v>0.44898989898989899</v>
      </c>
      <c r="H33" s="21">
        <f t="shared" si="24"/>
        <v>0.4581726354453628</v>
      </c>
      <c r="I33" s="21">
        <f t="shared" si="24"/>
        <v>0.46652057767760241</v>
      </c>
      <c r="J33" s="21">
        <f t="shared" si="24"/>
        <v>0.47410961607054758</v>
      </c>
    </row>
    <row r="34" spans="1:10" outlineLevel="1" x14ac:dyDescent="0.3">
      <c r="B34" t="s">
        <v>9</v>
      </c>
      <c r="D34" s="21">
        <f t="shared" ref="D34:J34" si="25">D14/D$6</f>
        <v>0.13500000000000001</v>
      </c>
      <c r="E34" s="21">
        <f t="shared" si="25"/>
        <v>0.13495555555555555</v>
      </c>
      <c r="F34" s="21">
        <f t="shared" si="25"/>
        <v>0.13166666666666665</v>
      </c>
      <c r="G34" s="21">
        <f t="shared" si="25"/>
        <v>0.1346969696969697</v>
      </c>
      <c r="H34" s="21">
        <f t="shared" si="25"/>
        <v>0.13745179063360885</v>
      </c>
      <c r="I34" s="21">
        <f t="shared" si="25"/>
        <v>0.13995617330328072</v>
      </c>
      <c r="J34" s="21">
        <f t="shared" si="25"/>
        <v>0.14223288482116428</v>
      </c>
    </row>
    <row r="35" spans="1:10" outlineLevel="1" x14ac:dyDescent="0.3">
      <c r="B35" t="s">
        <v>10</v>
      </c>
      <c r="D35" s="21">
        <f t="shared" ref="D35:J35" si="26">D15/D$6</f>
        <v>0.315</v>
      </c>
      <c r="E35" s="21">
        <f t="shared" si="26"/>
        <v>0.31504444444444446</v>
      </c>
      <c r="F35" s="21">
        <f t="shared" si="26"/>
        <v>0.30722222222222223</v>
      </c>
      <c r="G35" s="21">
        <f t="shared" si="26"/>
        <v>0.31429292929292935</v>
      </c>
      <c r="H35" s="21">
        <f t="shared" si="26"/>
        <v>0.320720844811754</v>
      </c>
      <c r="I35" s="21">
        <f t="shared" si="26"/>
        <v>0.32656440437432172</v>
      </c>
      <c r="J35" s="21">
        <f t="shared" si="26"/>
        <v>0.33187673124938333</v>
      </c>
    </row>
    <row r="37" spans="1:10" x14ac:dyDescent="0.3">
      <c r="A37" t="s">
        <v>22</v>
      </c>
      <c r="B37" s="11" t="str">
        <f>"Change Analysis Statement"&amp;" - "&amp;B2</f>
        <v>Change Analysis Statement - Tata Steel</v>
      </c>
      <c r="C37" s="11"/>
      <c r="D37" s="11"/>
      <c r="E37" s="11"/>
      <c r="F37" s="11"/>
      <c r="G37" s="11"/>
      <c r="H37" s="11"/>
      <c r="I37" s="11"/>
      <c r="J37" s="11"/>
    </row>
    <row r="38" spans="1:10" outlineLevel="1" x14ac:dyDescent="0.3">
      <c r="C38" s="16">
        <v>0.1</v>
      </c>
    </row>
    <row r="39" spans="1:10" outlineLevel="1" x14ac:dyDescent="0.3">
      <c r="B39" s="1" t="s">
        <v>1</v>
      </c>
      <c r="C39" s="1"/>
      <c r="D39" s="17">
        <f>D6*(1+$C$38)</f>
        <v>22000</v>
      </c>
      <c r="E39" s="17">
        <f t="shared" ref="E39:J39" si="27">E6*(1+$C$38)</f>
        <v>24750.000000000004</v>
      </c>
      <c r="F39" s="17">
        <f t="shared" si="27"/>
        <v>27225.000000000007</v>
      </c>
      <c r="G39" s="17">
        <f t="shared" si="27"/>
        <v>29947.500000000011</v>
      </c>
      <c r="H39" s="17">
        <f t="shared" si="27"/>
        <v>32942.250000000015</v>
      </c>
      <c r="I39" s="17">
        <f t="shared" si="27"/>
        <v>36236.47500000002</v>
      </c>
      <c r="J39" s="17">
        <f t="shared" si="27"/>
        <v>39860.122500000027</v>
      </c>
    </row>
    <row r="40" spans="1:10" outlineLevel="1" x14ac:dyDescent="0.3">
      <c r="B40" t="s">
        <v>2</v>
      </c>
      <c r="D40" s="10">
        <f t="shared" ref="D40:J40" si="28">D7*(1+$C$38)</f>
        <v>8800</v>
      </c>
      <c r="E40" s="10">
        <f t="shared" si="28"/>
        <v>9900</v>
      </c>
      <c r="F40" s="10">
        <f t="shared" si="28"/>
        <v>10890.000000000004</v>
      </c>
      <c r="G40" s="10">
        <f t="shared" si="28"/>
        <v>11979.000000000005</v>
      </c>
      <c r="H40" s="10">
        <f t="shared" si="28"/>
        <v>13176.900000000007</v>
      </c>
      <c r="I40" s="10">
        <f t="shared" si="28"/>
        <v>14494.590000000009</v>
      </c>
      <c r="J40" s="10">
        <f t="shared" si="28"/>
        <v>15944.049000000012</v>
      </c>
    </row>
    <row r="41" spans="1:10" outlineLevel="1" x14ac:dyDescent="0.3">
      <c r="B41" s="14" t="s">
        <v>3</v>
      </c>
      <c r="C41" s="14"/>
      <c r="D41" s="18">
        <f t="shared" ref="D41:J41" si="29">D8*(1+$C$38)</f>
        <v>13200.000000000002</v>
      </c>
      <c r="E41" s="18">
        <f t="shared" si="29"/>
        <v>14850.000000000002</v>
      </c>
      <c r="F41" s="18">
        <f t="shared" si="29"/>
        <v>16335.000000000004</v>
      </c>
      <c r="G41" s="18">
        <f t="shared" si="29"/>
        <v>17968.500000000004</v>
      </c>
      <c r="H41" s="18">
        <f t="shared" si="29"/>
        <v>19765.350000000009</v>
      </c>
      <c r="I41" s="18">
        <f t="shared" si="29"/>
        <v>21741.885000000009</v>
      </c>
      <c r="J41" s="18">
        <f t="shared" si="29"/>
        <v>23916.073500000013</v>
      </c>
    </row>
    <row r="42" spans="1:10" outlineLevel="1" x14ac:dyDescent="0.3">
      <c r="B42" t="s">
        <v>4</v>
      </c>
      <c r="D42" s="10">
        <f t="shared" ref="D42:J42" si="30">D9*(1+$C$38)</f>
        <v>2200</v>
      </c>
      <c r="E42" s="10">
        <f t="shared" si="30"/>
        <v>2475</v>
      </c>
      <c r="F42" s="10">
        <f t="shared" si="30"/>
        <v>2750</v>
      </c>
      <c r="G42" s="10">
        <f t="shared" si="30"/>
        <v>2750</v>
      </c>
      <c r="H42" s="10">
        <f t="shared" si="30"/>
        <v>2750</v>
      </c>
      <c r="I42" s="10">
        <f t="shared" si="30"/>
        <v>2750</v>
      </c>
      <c r="J42" s="10">
        <f t="shared" si="30"/>
        <v>2750</v>
      </c>
    </row>
    <row r="43" spans="1:10" outlineLevel="1" x14ac:dyDescent="0.3">
      <c r="B43" s="14" t="s">
        <v>5</v>
      </c>
      <c r="C43" s="14"/>
      <c r="D43" s="18">
        <f t="shared" ref="D43:J43" si="31">D10*(1+$C$38)</f>
        <v>11000</v>
      </c>
      <c r="E43" s="18">
        <f t="shared" si="31"/>
        <v>12375.000000000002</v>
      </c>
      <c r="F43" s="18">
        <f t="shared" si="31"/>
        <v>13585.000000000004</v>
      </c>
      <c r="G43" s="18">
        <f t="shared" si="31"/>
        <v>15218.500000000005</v>
      </c>
      <c r="H43" s="18">
        <f t="shared" si="31"/>
        <v>17015.350000000009</v>
      </c>
      <c r="I43" s="18">
        <f t="shared" si="31"/>
        <v>18991.885000000009</v>
      </c>
      <c r="J43" s="18">
        <f t="shared" si="31"/>
        <v>21166.073500000013</v>
      </c>
    </row>
    <row r="44" spans="1:10" outlineLevel="1" x14ac:dyDescent="0.3">
      <c r="B44" t="s">
        <v>6</v>
      </c>
      <c r="D44" s="10">
        <f t="shared" ref="D44:J44" si="32">D11*(1+$C$38)</f>
        <v>880.00000000000011</v>
      </c>
      <c r="E44" s="10">
        <f t="shared" si="32"/>
        <v>990.00000000000011</v>
      </c>
      <c r="F44" s="10">
        <f t="shared" si="32"/>
        <v>1361.2500000000005</v>
      </c>
      <c r="G44" s="10">
        <f t="shared" si="32"/>
        <v>1497.3750000000007</v>
      </c>
      <c r="H44" s="10">
        <f t="shared" si="32"/>
        <v>1647.1125000000009</v>
      </c>
      <c r="I44" s="10">
        <f t="shared" si="32"/>
        <v>1811.8237500000012</v>
      </c>
      <c r="J44" s="10">
        <f t="shared" si="32"/>
        <v>1993.0061250000015</v>
      </c>
    </row>
    <row r="45" spans="1:10" outlineLevel="1" x14ac:dyDescent="0.3">
      <c r="B45" t="s">
        <v>7</v>
      </c>
      <c r="D45" s="10">
        <f t="shared" ref="D45:J45" si="33">D12*(1+$C$38)</f>
        <v>220.00000000000003</v>
      </c>
      <c r="E45" s="10">
        <f t="shared" si="33"/>
        <v>247.50000000000003</v>
      </c>
      <c r="F45" s="10">
        <f t="shared" si="33"/>
        <v>275</v>
      </c>
      <c r="G45" s="10">
        <f t="shared" si="33"/>
        <v>275</v>
      </c>
      <c r="H45" s="10">
        <f t="shared" si="33"/>
        <v>275</v>
      </c>
      <c r="I45" s="10">
        <f t="shared" si="33"/>
        <v>275</v>
      </c>
      <c r="J45" s="10">
        <f t="shared" si="33"/>
        <v>275</v>
      </c>
    </row>
    <row r="46" spans="1:10" outlineLevel="1" x14ac:dyDescent="0.3">
      <c r="B46" s="14" t="s">
        <v>8</v>
      </c>
      <c r="C46" s="14"/>
      <c r="D46" s="18">
        <f t="shared" ref="D46:J46" si="34">D13*(1+$C$38)</f>
        <v>9900</v>
      </c>
      <c r="E46" s="18">
        <f t="shared" si="34"/>
        <v>11137.5</v>
      </c>
      <c r="F46" s="18">
        <f t="shared" si="34"/>
        <v>11948.750000000004</v>
      </c>
      <c r="G46" s="18">
        <f t="shared" si="34"/>
        <v>13446.125000000005</v>
      </c>
      <c r="H46" s="18">
        <f t="shared" si="34"/>
        <v>15093.237500000008</v>
      </c>
      <c r="I46" s="18">
        <f t="shared" si="34"/>
        <v>16905.061250000006</v>
      </c>
      <c r="J46" s="18">
        <f t="shared" si="34"/>
        <v>18898.06737500001</v>
      </c>
    </row>
    <row r="47" spans="1:10" outlineLevel="1" x14ac:dyDescent="0.3">
      <c r="B47" t="s">
        <v>9</v>
      </c>
      <c r="D47" s="10">
        <f t="shared" ref="D47:J47" si="35">D14*(1+$C$38)</f>
        <v>2970.0000000000005</v>
      </c>
      <c r="E47" s="10">
        <f t="shared" si="35"/>
        <v>3340.15</v>
      </c>
      <c r="F47" s="10">
        <f t="shared" si="35"/>
        <v>3584.6250000000009</v>
      </c>
      <c r="G47" s="10">
        <f t="shared" si="35"/>
        <v>4033.8375000000015</v>
      </c>
      <c r="H47" s="10">
        <f t="shared" si="35"/>
        <v>4527.9712500000032</v>
      </c>
      <c r="I47" s="10">
        <f t="shared" si="35"/>
        <v>5071.5183750000024</v>
      </c>
      <c r="J47" s="10">
        <f t="shared" si="35"/>
        <v>5669.420212500002</v>
      </c>
    </row>
    <row r="48" spans="1:10" ht="15" outlineLevel="1" thickBot="1" x14ac:dyDescent="0.35">
      <c r="B48" s="15" t="s">
        <v>10</v>
      </c>
      <c r="C48" s="15"/>
      <c r="D48" s="19">
        <f t="shared" ref="D48:J48" si="36">D15*(1+$C$38)</f>
        <v>6930.0000000000009</v>
      </c>
      <c r="E48" s="19">
        <f t="shared" si="36"/>
        <v>7797.35</v>
      </c>
      <c r="F48" s="19">
        <f t="shared" si="36"/>
        <v>8364.1250000000018</v>
      </c>
      <c r="G48" s="19">
        <f t="shared" si="36"/>
        <v>9412.287500000004</v>
      </c>
      <c r="H48" s="19">
        <f t="shared" si="36"/>
        <v>10565.266250000008</v>
      </c>
      <c r="I48" s="19">
        <f t="shared" si="36"/>
        <v>11833.542875000006</v>
      </c>
      <c r="J48" s="19">
        <f t="shared" si="36"/>
        <v>13228.647162500007</v>
      </c>
    </row>
    <row r="49" spans="1:10" ht="15" thickTop="1" x14ac:dyDescent="0.3">
      <c r="B49" s="1"/>
      <c r="C49" s="1"/>
      <c r="D49" s="17"/>
      <c r="E49" s="17"/>
      <c r="F49" s="10"/>
      <c r="G49" s="10"/>
      <c r="H49" s="10"/>
      <c r="I49" s="10"/>
      <c r="J49" s="10"/>
    </row>
    <row r="50" spans="1:10" x14ac:dyDescent="0.3">
      <c r="A50" t="s">
        <v>22</v>
      </c>
      <c r="B50" s="11" t="s">
        <v>17</v>
      </c>
      <c r="C50" s="12"/>
      <c r="D50" s="12"/>
      <c r="E50" s="12"/>
      <c r="F50" s="12"/>
      <c r="G50" s="12"/>
      <c r="H50" s="12"/>
      <c r="I50" s="12"/>
      <c r="J50" s="12"/>
    </row>
    <row r="51" spans="1:10" outlineLevel="1" x14ac:dyDescent="0.3">
      <c r="B51" t="s">
        <v>17</v>
      </c>
      <c r="C51" s="25">
        <f>DATE(2022,8,15)</f>
        <v>44788</v>
      </c>
      <c r="D51">
        <v>0</v>
      </c>
      <c r="E51">
        <v>1</v>
      </c>
      <c r="F51">
        <v>2</v>
      </c>
      <c r="G51">
        <v>3</v>
      </c>
      <c r="H51">
        <v>4</v>
      </c>
      <c r="I51">
        <v>5</v>
      </c>
    </row>
    <row r="52" spans="1:10" outlineLevel="1" x14ac:dyDescent="0.3">
      <c r="B52" t="s">
        <v>18</v>
      </c>
      <c r="D52" s="23">
        <f>EOMONTH($C$51,D51)</f>
        <v>44804</v>
      </c>
      <c r="E52" s="23">
        <f t="shared" ref="E52:I52" si="37">EOMONTH($C$51,E51)</f>
        <v>44834</v>
      </c>
      <c r="F52" s="23">
        <f t="shared" si="37"/>
        <v>44865</v>
      </c>
      <c r="G52" s="23">
        <f t="shared" si="37"/>
        <v>44895</v>
      </c>
      <c r="H52" s="23">
        <f t="shared" si="37"/>
        <v>44926</v>
      </c>
      <c r="I52" s="23">
        <f t="shared" si="37"/>
        <v>44957</v>
      </c>
    </row>
    <row r="53" spans="1:10" outlineLevel="1" x14ac:dyDescent="0.3">
      <c r="B53" t="s">
        <v>19</v>
      </c>
      <c r="D53" s="24">
        <f>DATE(YEAR($C$51)+D51,12,31)</f>
        <v>44926</v>
      </c>
      <c r="E53" s="24">
        <f t="shared" ref="E53:I53" si="38">DATE(YEAR($C$51)+E51,12,31)</f>
        <v>45291</v>
      </c>
      <c r="F53" s="24">
        <f t="shared" si="38"/>
        <v>45657</v>
      </c>
      <c r="G53" s="24">
        <f t="shared" si="38"/>
        <v>46022</v>
      </c>
      <c r="H53" s="24">
        <f t="shared" si="38"/>
        <v>46387</v>
      </c>
      <c r="I53" s="24">
        <f t="shared" si="38"/>
        <v>46752</v>
      </c>
    </row>
    <row r="54" spans="1:10" outlineLevel="1" x14ac:dyDescent="0.3"/>
    <row r="55" spans="1:10" outlineLevel="1" x14ac:dyDescent="0.3">
      <c r="B55" t="s">
        <v>20</v>
      </c>
      <c r="C55" s="24"/>
      <c r="D55">
        <f>YEARFRAC($C$51,D52,)</f>
        <v>4.4444444444444446E-2</v>
      </c>
      <c r="E55">
        <f t="shared" ref="E55:I55" si="39">YEARFRAC($C$51,E52,)</f>
        <v>0.125</v>
      </c>
      <c r="F55">
        <f t="shared" si="39"/>
        <v>0.21111111111111111</v>
      </c>
      <c r="G55">
        <f t="shared" si="39"/>
        <v>0.29166666666666669</v>
      </c>
      <c r="H55">
        <f t="shared" si="39"/>
        <v>0.37777777777777777</v>
      </c>
      <c r="I55">
        <f t="shared" si="39"/>
        <v>0.46111111111111114</v>
      </c>
    </row>
    <row r="56" spans="1:10" outlineLevel="1" x14ac:dyDescent="0.3">
      <c r="B56" t="s">
        <v>21</v>
      </c>
      <c r="D56">
        <f>YEARFRAC($C$51,D53,)</f>
        <v>0.37777777777777777</v>
      </c>
      <c r="E56">
        <f t="shared" ref="E56:I56" si="40">YEARFRAC($C$51,E53,)</f>
        <v>1.3777777777777778</v>
      </c>
      <c r="F56">
        <f t="shared" si="40"/>
        <v>2.3777777777777778</v>
      </c>
      <c r="G56">
        <f t="shared" si="40"/>
        <v>3.3777777777777778</v>
      </c>
      <c r="H56">
        <f t="shared" si="40"/>
        <v>4.3777777777777782</v>
      </c>
      <c r="I56">
        <f t="shared" si="40"/>
        <v>5.3777777777777782</v>
      </c>
    </row>
    <row r="57" spans="1:10" outlineLevel="1" x14ac:dyDescent="0.3">
      <c r="B57" t="s">
        <v>33</v>
      </c>
      <c r="D57" s="8" t="str">
        <f>IF(D56&lt;1,"Stub","Full")</f>
        <v>Stub</v>
      </c>
      <c r="E57" s="8" t="str">
        <f t="shared" ref="E57:I57" si="41">IF(E56&lt;1,"Stub","Full")</f>
        <v>Full</v>
      </c>
      <c r="F57" s="8" t="str">
        <f t="shared" si="41"/>
        <v>Full</v>
      </c>
      <c r="G57" s="8" t="str">
        <f t="shared" si="41"/>
        <v>Full</v>
      </c>
      <c r="H57" s="8" t="str">
        <f t="shared" si="41"/>
        <v>Full</v>
      </c>
      <c r="I57" s="8" t="str">
        <f t="shared" si="41"/>
        <v>Full</v>
      </c>
    </row>
    <row r="58" spans="1:10" x14ac:dyDescent="0.3">
      <c r="B58" t="s">
        <v>32</v>
      </c>
    </row>
    <row r="59" spans="1:10" x14ac:dyDescent="0.3">
      <c r="A59" t="s">
        <v>22</v>
      </c>
      <c r="B59" s="11" t="s">
        <v>23</v>
      </c>
      <c r="C59" s="12"/>
      <c r="D59" s="12"/>
      <c r="E59" s="12"/>
      <c r="F59" s="12"/>
      <c r="G59" s="12"/>
      <c r="H59" s="12"/>
      <c r="I59" s="12"/>
      <c r="J59" s="12"/>
    </row>
    <row r="60" spans="1:10" outlineLevel="1" x14ac:dyDescent="0.3">
      <c r="B60" t="s">
        <v>2</v>
      </c>
      <c r="C60" s="26">
        <v>0.1</v>
      </c>
      <c r="D60" s="5">
        <f t="shared" ref="D60:J60" si="42">D7</f>
        <v>8000</v>
      </c>
      <c r="E60" s="5">
        <f t="shared" si="42"/>
        <v>9000</v>
      </c>
      <c r="F60" s="5">
        <f t="shared" si="42"/>
        <v>9900.0000000000018</v>
      </c>
      <c r="G60" s="5">
        <f t="shared" si="42"/>
        <v>10890.000000000004</v>
      </c>
      <c r="H60" s="5">
        <f t="shared" si="42"/>
        <v>11979.000000000005</v>
      </c>
      <c r="I60" s="5">
        <f t="shared" si="42"/>
        <v>13176.900000000007</v>
      </c>
      <c r="J60" s="5">
        <f t="shared" si="42"/>
        <v>14494.590000000009</v>
      </c>
    </row>
    <row r="61" spans="1:10" outlineLevel="1" x14ac:dyDescent="0.3">
      <c r="B61" t="s">
        <v>4</v>
      </c>
      <c r="C61" s="26">
        <v>0.2</v>
      </c>
      <c r="D61" s="5">
        <f t="shared" ref="D61:J61" si="43">D9</f>
        <v>2000</v>
      </c>
      <c r="E61" s="5">
        <f t="shared" si="43"/>
        <v>2250</v>
      </c>
      <c r="F61" s="5">
        <f t="shared" si="43"/>
        <v>2500</v>
      </c>
      <c r="G61" s="5">
        <f t="shared" si="43"/>
        <v>2500</v>
      </c>
      <c r="H61" s="5">
        <f t="shared" si="43"/>
        <v>2500</v>
      </c>
      <c r="I61" s="5">
        <f t="shared" si="43"/>
        <v>2500</v>
      </c>
      <c r="J61" s="5">
        <f t="shared" si="43"/>
        <v>2500</v>
      </c>
    </row>
    <row r="62" spans="1:10" outlineLevel="1" x14ac:dyDescent="0.3">
      <c r="B62" t="s">
        <v>6</v>
      </c>
      <c r="C62" s="26">
        <v>0.2</v>
      </c>
      <c r="D62" s="5">
        <f t="shared" ref="D62:J63" si="44">D11</f>
        <v>800</v>
      </c>
      <c r="E62" s="5">
        <f t="shared" si="44"/>
        <v>900</v>
      </c>
      <c r="F62" s="5">
        <f t="shared" si="44"/>
        <v>1237.5000000000002</v>
      </c>
      <c r="G62" s="5">
        <f t="shared" si="44"/>
        <v>1361.2500000000005</v>
      </c>
      <c r="H62" s="5">
        <f t="shared" si="44"/>
        <v>1497.3750000000007</v>
      </c>
      <c r="I62" s="5">
        <f t="shared" si="44"/>
        <v>1647.1125000000009</v>
      </c>
      <c r="J62" s="5">
        <f t="shared" si="44"/>
        <v>1811.8237500000012</v>
      </c>
    </row>
    <row r="63" spans="1:10" outlineLevel="1" x14ac:dyDescent="0.3">
      <c r="B63" t="s">
        <v>7</v>
      </c>
      <c r="C63" s="26">
        <v>0.3</v>
      </c>
      <c r="D63" s="5">
        <f t="shared" si="44"/>
        <v>200</v>
      </c>
      <c r="E63" s="5">
        <f t="shared" si="44"/>
        <v>225</v>
      </c>
      <c r="F63" s="5">
        <f t="shared" si="44"/>
        <v>250</v>
      </c>
      <c r="G63" s="5">
        <f t="shared" si="44"/>
        <v>250</v>
      </c>
      <c r="H63" s="5">
        <f t="shared" si="44"/>
        <v>250</v>
      </c>
      <c r="I63" s="5">
        <f t="shared" si="44"/>
        <v>250</v>
      </c>
      <c r="J63" s="5">
        <f t="shared" si="44"/>
        <v>250</v>
      </c>
    </row>
    <row r="64" spans="1:10" outlineLevel="1" x14ac:dyDescent="0.3">
      <c r="B64" t="s">
        <v>9</v>
      </c>
      <c r="C64" s="26">
        <v>0.2</v>
      </c>
      <c r="D64" s="5">
        <f t="shared" ref="D64:J64" si="45">D14</f>
        <v>2700</v>
      </c>
      <c r="E64" s="5">
        <f t="shared" si="45"/>
        <v>3036.5</v>
      </c>
      <c r="F64" s="5">
        <f t="shared" si="45"/>
        <v>3258.7500000000005</v>
      </c>
      <c r="G64" s="5">
        <f t="shared" si="45"/>
        <v>3667.1250000000009</v>
      </c>
      <c r="H64" s="5">
        <f t="shared" si="45"/>
        <v>4116.3375000000024</v>
      </c>
      <c r="I64" s="5">
        <f t="shared" si="45"/>
        <v>4610.4712500000014</v>
      </c>
      <c r="J64" s="5">
        <f t="shared" si="45"/>
        <v>5154.0183750000015</v>
      </c>
    </row>
    <row r="65" spans="2:10" outlineLevel="1" x14ac:dyDescent="0.3">
      <c r="B65" s="1" t="s">
        <v>34</v>
      </c>
      <c r="C65" s="27">
        <f>SUM(C60:C64)</f>
        <v>1</v>
      </c>
      <c r="D65" s="27">
        <f>SUM(D60:D64)</f>
        <v>13700</v>
      </c>
      <c r="E65" s="27">
        <f t="shared" ref="E65:J65" si="46">SUM(E60:E64)</f>
        <v>15411.5</v>
      </c>
      <c r="F65" s="27">
        <f t="shared" si="46"/>
        <v>17146.250000000004</v>
      </c>
      <c r="G65" s="27">
        <f t="shared" si="46"/>
        <v>18668.375000000004</v>
      </c>
      <c r="H65" s="27">
        <f t="shared" si="46"/>
        <v>20342.712500000009</v>
      </c>
      <c r="I65" s="27">
        <f t="shared" si="46"/>
        <v>22184.48375000001</v>
      </c>
      <c r="J65" s="27">
        <f t="shared" si="46"/>
        <v>24210.432125000014</v>
      </c>
    </row>
    <row r="66" spans="2:10" outlineLevel="1" x14ac:dyDescent="0.3">
      <c r="B66" s="1"/>
      <c r="C66" s="29"/>
      <c r="D66" s="29"/>
      <c r="E66" s="29"/>
      <c r="F66" s="29"/>
      <c r="G66" s="29"/>
      <c r="H66" s="29"/>
      <c r="I66" s="29"/>
      <c r="J66" s="29"/>
    </row>
    <row r="67" spans="2:10" outlineLevel="1" x14ac:dyDescent="0.3">
      <c r="B67" s="1" t="s">
        <v>24</v>
      </c>
      <c r="C67" s="29"/>
      <c r="D67" s="29"/>
      <c r="E67" s="29"/>
      <c r="F67" s="29"/>
      <c r="G67" s="29"/>
      <c r="H67" s="29"/>
      <c r="I67" s="29"/>
      <c r="J67" s="29"/>
    </row>
    <row r="68" spans="2:10" outlineLevel="1" x14ac:dyDescent="0.3">
      <c r="B68" s="1" t="str">
        <f>"if &lt;"&amp; " " &amp; C68</f>
        <v>if &lt; 17500</v>
      </c>
      <c r="C68" s="6">
        <v>17500</v>
      </c>
      <c r="D68" s="5">
        <f>IF(D65&lt;$C$68,D65,0)</f>
        <v>13700</v>
      </c>
      <c r="E68" s="5">
        <f t="shared" ref="E68:J68" si="47">IF(E65&lt;$C$68,E65,0)</f>
        <v>15411.5</v>
      </c>
      <c r="F68" s="5">
        <f t="shared" si="47"/>
        <v>17146.250000000004</v>
      </c>
      <c r="G68" s="5">
        <f>IF(G65&lt;$C$68,G65,0)</f>
        <v>0</v>
      </c>
      <c r="H68" s="5">
        <f t="shared" si="47"/>
        <v>0</v>
      </c>
      <c r="I68" s="5">
        <f t="shared" si="47"/>
        <v>0</v>
      </c>
      <c r="J68" s="5">
        <f t="shared" si="47"/>
        <v>0</v>
      </c>
    </row>
    <row r="69" spans="2:10" outlineLevel="1" x14ac:dyDescent="0.3">
      <c r="B69" s="1" t="str">
        <f>"if &gt;="&amp; " "&amp; C69</f>
        <v>if &gt;= 17500</v>
      </c>
      <c r="C69" s="5">
        <f>C68</f>
        <v>17500</v>
      </c>
      <c r="D69" s="30">
        <f>IF(D65&gt;=$C$69,D65,0)</f>
        <v>0</v>
      </c>
      <c r="E69" s="30">
        <f t="shared" ref="E69:J69" si="48">IF(E65&gt;=$C$69,E65,0)</f>
        <v>0</v>
      </c>
      <c r="F69" s="30">
        <f t="shared" si="48"/>
        <v>0</v>
      </c>
      <c r="G69" s="30">
        <f t="shared" si="48"/>
        <v>18668.375000000004</v>
      </c>
      <c r="H69" s="30">
        <f t="shared" si="48"/>
        <v>20342.712500000009</v>
      </c>
      <c r="I69" s="30">
        <f t="shared" si="48"/>
        <v>22184.48375000001</v>
      </c>
      <c r="J69" s="30">
        <f t="shared" si="48"/>
        <v>24210.432125000014</v>
      </c>
    </row>
    <row r="70" spans="2:10" outlineLevel="1" x14ac:dyDescent="0.3">
      <c r="B70" s="1" t="s">
        <v>35</v>
      </c>
      <c r="C70" s="5"/>
      <c r="D70" s="5">
        <f>SUM(D68:D69)</f>
        <v>13700</v>
      </c>
      <c r="E70" s="5">
        <f t="shared" ref="E70:J70" si="49">SUM(E68:E69)</f>
        <v>15411.5</v>
      </c>
      <c r="F70" s="5">
        <f t="shared" si="49"/>
        <v>17146.250000000004</v>
      </c>
      <c r="G70" s="5">
        <f t="shared" si="49"/>
        <v>18668.375000000004</v>
      </c>
      <c r="H70" s="5">
        <f t="shared" si="49"/>
        <v>20342.712500000009</v>
      </c>
      <c r="I70" s="5">
        <f t="shared" si="49"/>
        <v>22184.48375000001</v>
      </c>
      <c r="J70" s="5">
        <f t="shared" si="49"/>
        <v>24210.432125000014</v>
      </c>
    </row>
    <row r="71" spans="2:10" outlineLevel="1" x14ac:dyDescent="0.3">
      <c r="B71" s="1"/>
      <c r="C71" s="5"/>
    </row>
    <row r="72" spans="2:10" outlineLevel="1" x14ac:dyDescent="0.3">
      <c r="B72" s="1" t="s">
        <v>36</v>
      </c>
      <c r="C72" s="5"/>
      <c r="D72" s="8" t="str">
        <f>IF(D70=D65,"OK","ERROR")</f>
        <v>OK</v>
      </c>
      <c r="E72" s="8" t="str">
        <f t="shared" ref="E72:J72" si="50">IF(E70=E65,"OK","ERROR")</f>
        <v>OK</v>
      </c>
      <c r="F72" s="8" t="str">
        <f t="shared" si="50"/>
        <v>OK</v>
      </c>
      <c r="G72" s="8" t="str">
        <f t="shared" si="50"/>
        <v>OK</v>
      </c>
      <c r="H72" s="8" t="str">
        <f t="shared" si="50"/>
        <v>OK</v>
      </c>
      <c r="I72" s="8" t="str">
        <f t="shared" si="50"/>
        <v>OK</v>
      </c>
      <c r="J72" s="8" t="str">
        <f t="shared" si="50"/>
        <v>OK</v>
      </c>
    </row>
    <row r="73" spans="2:10" outlineLevel="1" x14ac:dyDescent="0.3">
      <c r="B73" s="1"/>
      <c r="C73" s="5"/>
    </row>
    <row r="74" spans="2:10" outlineLevel="1" x14ac:dyDescent="0.3">
      <c r="B74" s="1" t="s">
        <v>25</v>
      </c>
      <c r="D74" s="5">
        <f>AVERAGE(D60:D64)</f>
        <v>2740</v>
      </c>
      <c r="E74" s="5">
        <f t="shared" ref="E74:I74" si="51">AVERAGE(E60:E64)</f>
        <v>3082.3</v>
      </c>
      <c r="F74" s="5">
        <f t="shared" si="51"/>
        <v>3429.2500000000009</v>
      </c>
      <c r="G74" s="5">
        <f t="shared" si="51"/>
        <v>3733.6750000000006</v>
      </c>
      <c r="H74" s="5">
        <f t="shared" si="51"/>
        <v>4068.5425000000018</v>
      </c>
      <c r="I74" s="5">
        <f t="shared" si="51"/>
        <v>4436.8967500000017</v>
      </c>
      <c r="J74" s="5">
        <f>AVERAGE(J60:J64)</f>
        <v>4842.0864250000031</v>
      </c>
    </row>
    <row r="75" spans="2:10" outlineLevel="1" x14ac:dyDescent="0.3">
      <c r="B75" s="1" t="s">
        <v>26</v>
      </c>
      <c r="D75" s="5">
        <f t="shared" ref="D75:J75" si="52">SUMPRODUCT($C$60:$C$64,D60:D64)</f>
        <v>1960</v>
      </c>
      <c r="E75" s="5">
        <f t="shared" si="52"/>
        <v>2204.8000000000002</v>
      </c>
      <c r="F75" s="5">
        <f t="shared" si="52"/>
        <v>2464.2500000000005</v>
      </c>
      <c r="G75" s="5">
        <f t="shared" si="52"/>
        <v>2669.6750000000006</v>
      </c>
      <c r="H75" s="5">
        <f t="shared" si="52"/>
        <v>2895.6425000000013</v>
      </c>
      <c r="I75" s="5">
        <f t="shared" si="52"/>
        <v>3144.2067500000012</v>
      </c>
      <c r="J75" s="5">
        <f t="shared" si="52"/>
        <v>3417.6274250000015</v>
      </c>
    </row>
    <row r="76" spans="2:10" outlineLevel="1" x14ac:dyDescent="0.3">
      <c r="B76" s="1" t="s">
        <v>27</v>
      </c>
      <c r="D76" s="5">
        <f>MEDIAN(D60:D64)</f>
        <v>2000</v>
      </c>
      <c r="E76" s="5">
        <f t="shared" ref="E76:J76" si="53">MEDIAN(E60:E64)</f>
        <v>2250</v>
      </c>
      <c r="F76" s="5">
        <f t="shared" si="53"/>
        <v>2500</v>
      </c>
      <c r="G76" s="5">
        <f t="shared" si="53"/>
        <v>2500</v>
      </c>
      <c r="H76" s="5">
        <f t="shared" si="53"/>
        <v>2500</v>
      </c>
      <c r="I76" s="5">
        <f t="shared" si="53"/>
        <v>2500</v>
      </c>
      <c r="J76" s="5">
        <f t="shared" si="53"/>
        <v>2500</v>
      </c>
    </row>
    <row r="77" spans="2:10" outlineLevel="1" x14ac:dyDescent="0.3"/>
    <row r="78" spans="2:10" outlineLevel="1" x14ac:dyDescent="0.3">
      <c r="B78" s="1" t="s">
        <v>28</v>
      </c>
      <c r="D78" s="5">
        <f>MIN(D60:D64)</f>
        <v>200</v>
      </c>
      <c r="E78" s="5">
        <f t="shared" ref="E78:J78" si="54">MIN(E60:E64)</f>
        <v>225</v>
      </c>
      <c r="F78" s="5">
        <f t="shared" si="54"/>
        <v>250</v>
      </c>
      <c r="G78" s="5">
        <f t="shared" si="54"/>
        <v>250</v>
      </c>
      <c r="H78" s="5">
        <f t="shared" si="54"/>
        <v>250</v>
      </c>
      <c r="I78" s="5">
        <f t="shared" si="54"/>
        <v>250</v>
      </c>
      <c r="J78" s="5">
        <f t="shared" si="54"/>
        <v>250</v>
      </c>
    </row>
    <row r="79" spans="2:10" outlineLevel="1" x14ac:dyDescent="0.3">
      <c r="B79" s="1" t="s">
        <v>29</v>
      </c>
      <c r="D79" s="5">
        <f>MAX(D60:D64)</f>
        <v>8000</v>
      </c>
      <c r="E79" s="5">
        <f t="shared" ref="E79:J79" si="55">MAX(E60:E64)</f>
        <v>9000</v>
      </c>
      <c r="F79" s="5">
        <f t="shared" si="55"/>
        <v>9900.0000000000018</v>
      </c>
      <c r="G79" s="5">
        <f t="shared" si="55"/>
        <v>10890.000000000004</v>
      </c>
      <c r="H79" s="5">
        <f t="shared" si="55"/>
        <v>11979.000000000005</v>
      </c>
      <c r="I79" s="5">
        <f t="shared" si="55"/>
        <v>13176.900000000007</v>
      </c>
      <c r="J79" s="5">
        <f t="shared" si="55"/>
        <v>14494.590000000009</v>
      </c>
    </row>
    <row r="80" spans="2:10" outlineLevel="1" x14ac:dyDescent="0.3">
      <c r="B80" s="1" t="s">
        <v>30</v>
      </c>
      <c r="C80" s="28">
        <v>2</v>
      </c>
      <c r="D80" s="5">
        <f>SMALL(D60:D64,$C$80)</f>
        <v>800</v>
      </c>
      <c r="E80" s="5">
        <f t="shared" ref="E80:J80" si="56">SMALL(E60:E64,$C$80)</f>
        <v>900</v>
      </c>
      <c r="F80" s="5">
        <f t="shared" si="56"/>
        <v>1237.5000000000002</v>
      </c>
      <c r="G80" s="5">
        <f t="shared" si="56"/>
        <v>1361.2500000000005</v>
      </c>
      <c r="H80" s="5">
        <f t="shared" si="56"/>
        <v>1497.3750000000007</v>
      </c>
      <c r="I80" s="5">
        <f t="shared" si="56"/>
        <v>1647.1125000000009</v>
      </c>
      <c r="J80" s="5">
        <f t="shared" si="56"/>
        <v>1811.8237500000012</v>
      </c>
    </row>
    <row r="81" spans="2:10" outlineLevel="1" x14ac:dyDescent="0.3">
      <c r="B81" s="1" t="s">
        <v>31</v>
      </c>
      <c r="C81" s="28">
        <v>2</v>
      </c>
      <c r="D81" s="5">
        <f>LARGE(D60:D64,$C$81)</f>
        <v>2700</v>
      </c>
      <c r="E81" s="5">
        <f t="shared" ref="E81:J81" si="57">LARGE(E60:E64,$C$81)</f>
        <v>3036.5</v>
      </c>
      <c r="F81" s="5">
        <f t="shared" si="57"/>
        <v>3258.7500000000005</v>
      </c>
      <c r="G81" s="5">
        <f t="shared" si="57"/>
        <v>3667.1250000000009</v>
      </c>
      <c r="H81" s="5">
        <f t="shared" si="57"/>
        <v>4116.3375000000024</v>
      </c>
      <c r="I81" s="5">
        <f t="shared" si="57"/>
        <v>4610.4712500000014</v>
      </c>
      <c r="J81" s="5">
        <f t="shared" si="57"/>
        <v>5154.0183750000015</v>
      </c>
    </row>
  </sheetData>
  <conditionalFormatting sqref="D26:J35">
    <cfRule type="cellIs" dxfId="1" priority="1" operator="lessThan">
      <formula>0.1</formula>
    </cfRule>
  </conditionalFormatting>
  <conditionalFormatting sqref="D43:J43">
    <cfRule type="cellIs" dxfId="0" priority="2" operator="greaterThan">
      <formula>15000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6FCA5-89A7-478D-AB76-B266F41C5B37}">
  <dimension ref="A2:E15"/>
  <sheetViews>
    <sheetView workbookViewId="0">
      <selection activeCell="A18" sqref="A18"/>
    </sheetView>
  </sheetViews>
  <sheetFormatPr defaultRowHeight="14.4" x14ac:dyDescent="0.3"/>
  <cols>
    <col min="1" max="1" width="12.33203125" bestFit="1" customWidth="1"/>
    <col min="4" max="4" width="12.5546875" bestFit="1" customWidth="1"/>
  </cols>
  <sheetData>
    <row r="2" spans="1:5" x14ac:dyDescent="0.3">
      <c r="A2" s="1" t="s">
        <v>37</v>
      </c>
      <c r="B2" s="31">
        <v>0.04</v>
      </c>
    </row>
    <row r="3" spans="1:5" x14ac:dyDescent="0.3">
      <c r="A3" s="1" t="s">
        <v>38</v>
      </c>
      <c r="B3" s="31">
        <v>0.1</v>
      </c>
    </row>
    <row r="4" spans="1:5" x14ac:dyDescent="0.3">
      <c r="A4" s="1" t="s">
        <v>39</v>
      </c>
      <c r="B4" s="28">
        <v>1.25</v>
      </c>
      <c r="D4" s="1" t="s">
        <v>49</v>
      </c>
      <c r="E4" s="34">
        <f>B2+(B3-B2)*B4</f>
        <v>0.11500000000000002</v>
      </c>
    </row>
    <row r="5" spans="1:5" x14ac:dyDescent="0.3">
      <c r="A5" s="1" t="s">
        <v>42</v>
      </c>
      <c r="B5" s="31">
        <v>0.14000000000000001</v>
      </c>
      <c r="D5" s="1" t="s">
        <v>50</v>
      </c>
      <c r="E5" s="34">
        <f>B5*(1-B6)</f>
        <v>9.8000000000000004E-2</v>
      </c>
    </row>
    <row r="6" spans="1:5" x14ac:dyDescent="0.3">
      <c r="A6" s="1" t="s">
        <v>43</v>
      </c>
      <c r="B6" s="31">
        <v>0.3</v>
      </c>
    </row>
    <row r="7" spans="1:5" x14ac:dyDescent="0.3">
      <c r="A7" s="1" t="s">
        <v>40</v>
      </c>
      <c r="B7" s="28">
        <v>125000</v>
      </c>
    </row>
    <row r="8" spans="1:5" x14ac:dyDescent="0.3">
      <c r="A8" s="1" t="s">
        <v>41</v>
      </c>
      <c r="B8" s="28">
        <v>125000</v>
      </c>
    </row>
    <row r="9" spans="1:5" x14ac:dyDescent="0.3">
      <c r="A9" s="1" t="s">
        <v>47</v>
      </c>
      <c r="B9" s="32">
        <f>B7+B8</f>
        <v>250000</v>
      </c>
    </row>
    <row r="11" spans="1:5" x14ac:dyDescent="0.3">
      <c r="A11" s="1" t="s">
        <v>45</v>
      </c>
    </row>
    <row r="12" spans="1:5" x14ac:dyDescent="0.3">
      <c r="A12" s="1" t="s">
        <v>46</v>
      </c>
      <c r="B12" s="35">
        <f>E4*(B7/B9) + E5*(B8/B9)</f>
        <v>0.10650000000000001</v>
      </c>
    </row>
    <row r="14" spans="1:5" x14ac:dyDescent="0.3">
      <c r="A14" s="1" t="s">
        <v>48</v>
      </c>
    </row>
    <row r="15" spans="1:5" x14ac:dyDescent="0.3">
      <c r="A15" s="1" t="s">
        <v>44</v>
      </c>
      <c r="B15" s="35">
        <f>Ce*EquityValue/Total_Capital + Cd*DebtValue/Total_Capital</f>
        <v>0.10650000000000001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D7EEC-F873-4925-9699-0FB4E16B2796}">
  <sheetPr>
    <outlinePr summaryBelow="0"/>
  </sheetPr>
  <dimension ref="B1:G15"/>
  <sheetViews>
    <sheetView showGridLines="0" workbookViewId="0">
      <selection activeCell="G15" sqref="G15"/>
    </sheetView>
  </sheetViews>
  <sheetFormatPr defaultRowHeight="14.4" outlineLevelRow="1" outlineLevelCol="1" x14ac:dyDescent="0.3"/>
  <cols>
    <col min="3" max="3" width="12.109375" bestFit="1" customWidth="1"/>
    <col min="4" max="7" width="13.109375" bestFit="1" customWidth="1" outlineLevel="1"/>
  </cols>
  <sheetData>
    <row r="1" spans="2:7" ht="15" thickBot="1" x14ac:dyDescent="0.35"/>
    <row r="2" spans="2:7" ht="15.6" x14ac:dyDescent="0.3">
      <c r="B2" s="79" t="s">
        <v>74</v>
      </c>
      <c r="C2" s="79"/>
      <c r="D2" s="84"/>
      <c r="E2" s="84"/>
      <c r="F2" s="84"/>
      <c r="G2" s="84"/>
    </row>
    <row r="3" spans="2:7" ht="15.6" collapsed="1" x14ac:dyDescent="0.3">
      <c r="B3" s="78"/>
      <c r="C3" s="78"/>
      <c r="D3" s="85" t="s">
        <v>76</v>
      </c>
      <c r="E3" s="85" t="s">
        <v>81</v>
      </c>
      <c r="F3" s="85" t="s">
        <v>82</v>
      </c>
      <c r="G3" s="85" t="s">
        <v>84</v>
      </c>
    </row>
    <row r="4" spans="2:7" ht="51" hidden="1" outlineLevel="1" x14ac:dyDescent="0.3">
      <c r="B4" s="81"/>
      <c r="C4" s="81"/>
      <c r="D4" s="75"/>
      <c r="E4" s="88" t="s">
        <v>73</v>
      </c>
      <c r="F4" s="88" t="s">
        <v>83</v>
      </c>
      <c r="G4" s="88" t="s">
        <v>73</v>
      </c>
    </row>
    <row r="5" spans="2:7" x14ac:dyDescent="0.3">
      <c r="B5" s="82" t="s">
        <v>75</v>
      </c>
      <c r="C5" s="82"/>
      <c r="D5" s="80"/>
      <c r="E5" s="80"/>
      <c r="F5" s="80"/>
      <c r="G5" s="80"/>
    </row>
    <row r="6" spans="2:7" outlineLevel="1" x14ac:dyDescent="0.3">
      <c r="B6" s="81"/>
      <c r="C6" s="81" t="str">
        <f>Coupon!A20</f>
        <v xml:space="preserve">current sales </v>
      </c>
      <c r="D6" s="76">
        <v>14500</v>
      </c>
      <c r="E6" s="86">
        <v>14500</v>
      </c>
      <c r="F6" s="86">
        <v>16000</v>
      </c>
      <c r="G6" s="86">
        <v>13000</v>
      </c>
    </row>
    <row r="7" spans="2:7" outlineLevel="1" x14ac:dyDescent="0.3">
      <c r="B7" s="81"/>
      <c r="C7" s="81" t="str">
        <f>Coupon!A21</f>
        <v>sales growth</v>
      </c>
      <c r="D7" s="77">
        <v>0.1</v>
      </c>
      <c r="E7" s="87">
        <v>0.1</v>
      </c>
      <c r="F7" s="87">
        <v>0.2</v>
      </c>
      <c r="G7" s="87">
        <v>7.0000000000000007E-2</v>
      </c>
    </row>
    <row r="8" spans="2:7" outlineLevel="1" x14ac:dyDescent="0.3">
      <c r="B8" s="81"/>
      <c r="C8" s="81" t="str">
        <f>Coupon!A22</f>
        <v xml:space="preserve">gross margin </v>
      </c>
      <c r="D8" s="77">
        <v>0.6</v>
      </c>
      <c r="E8" s="87">
        <v>0.6</v>
      </c>
      <c r="F8" s="87">
        <v>0.7</v>
      </c>
      <c r="G8" s="87">
        <v>0.7</v>
      </c>
    </row>
    <row r="9" spans="2:7" x14ac:dyDescent="0.3">
      <c r="B9" s="82" t="s">
        <v>77</v>
      </c>
      <c r="C9" s="82"/>
      <c r="D9" s="80"/>
      <c r="E9" s="80"/>
      <c r="F9" s="80"/>
      <c r="G9" s="80"/>
    </row>
    <row r="10" spans="2:7" outlineLevel="1" x14ac:dyDescent="0.3">
      <c r="B10" s="81"/>
      <c r="C10" s="81" t="str">
        <f>Coupon!A24</f>
        <v>Next YR sales</v>
      </c>
      <c r="D10" s="89">
        <v>15950</v>
      </c>
      <c r="E10" s="89">
        <v>15950</v>
      </c>
      <c r="F10" s="89">
        <v>19200</v>
      </c>
      <c r="G10" s="89">
        <v>13910</v>
      </c>
    </row>
    <row r="11" spans="2:7" outlineLevel="1" x14ac:dyDescent="0.3">
      <c r="B11" s="81"/>
      <c r="C11" s="81" t="str">
        <f>Coupon!A25</f>
        <v>Cost of sales</v>
      </c>
      <c r="D11" s="76">
        <v>-6380</v>
      </c>
      <c r="E11" s="76">
        <v>-6380</v>
      </c>
      <c r="F11" s="76">
        <v>-5760</v>
      </c>
      <c r="G11" s="76">
        <v>-4173</v>
      </c>
    </row>
    <row r="12" spans="2:7" ht="15" outlineLevel="1" thickBot="1" x14ac:dyDescent="0.35">
      <c r="B12" s="83"/>
      <c r="C12" s="83" t="str">
        <f>Coupon!A26</f>
        <v>Gross Profit</v>
      </c>
      <c r="D12" s="90">
        <v>9570</v>
      </c>
      <c r="E12" s="90">
        <v>9570</v>
      </c>
      <c r="F12" s="90">
        <v>13440</v>
      </c>
      <c r="G12" s="90">
        <v>9737</v>
      </c>
    </row>
    <row r="13" spans="2:7" x14ac:dyDescent="0.3">
      <c r="B13" t="s">
        <v>78</v>
      </c>
    </row>
    <row r="14" spans="2:7" x14ac:dyDescent="0.3">
      <c r="B14" t="s">
        <v>79</v>
      </c>
    </row>
    <row r="15" spans="2:7" x14ac:dyDescent="0.3">
      <c r="B15" t="s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57566-74E6-42F1-9781-9A7957E31922}">
  <dimension ref="A2:K52"/>
  <sheetViews>
    <sheetView tabSelected="1" topLeftCell="A8" workbookViewId="0">
      <selection activeCell="B24" sqref="B24"/>
    </sheetView>
  </sheetViews>
  <sheetFormatPr defaultRowHeight="14.4" x14ac:dyDescent="0.3"/>
  <cols>
    <col min="1" max="1" width="12" customWidth="1"/>
    <col min="2" max="2" width="12.88671875" customWidth="1"/>
  </cols>
  <sheetData>
    <row r="2" spans="1:8" x14ac:dyDescent="0.3">
      <c r="A2" s="37" t="s">
        <v>51</v>
      </c>
      <c r="B2" s="38" t="s">
        <v>52</v>
      </c>
      <c r="C2" s="39" t="s">
        <v>53</v>
      </c>
    </row>
    <row r="3" spans="1:8" x14ac:dyDescent="0.3">
      <c r="A3" s="40">
        <v>0</v>
      </c>
      <c r="B3" s="41" t="s">
        <v>54</v>
      </c>
      <c r="C3" s="42">
        <v>9.5000000000000001E-2</v>
      </c>
    </row>
    <row r="4" spans="1:8" x14ac:dyDescent="0.3">
      <c r="A4" s="40">
        <v>0.25</v>
      </c>
      <c r="B4" s="41" t="s">
        <v>55</v>
      </c>
      <c r="C4" s="42">
        <v>9.7500000000000003E-2</v>
      </c>
    </row>
    <row r="5" spans="1:8" x14ac:dyDescent="0.3">
      <c r="A5" s="40">
        <v>0.5</v>
      </c>
      <c r="B5" s="41" t="s">
        <v>56</v>
      </c>
      <c r="C5" s="42">
        <v>0.1225</v>
      </c>
    </row>
    <row r="6" spans="1:8" x14ac:dyDescent="0.3">
      <c r="A6" s="43">
        <v>0.6</v>
      </c>
      <c r="B6" s="44" t="s">
        <v>57</v>
      </c>
      <c r="C6" s="45">
        <v>0.13750000000000001</v>
      </c>
    </row>
    <row r="8" spans="1:8" x14ac:dyDescent="0.3">
      <c r="A8" s="70" t="s">
        <v>58</v>
      </c>
      <c r="B8" s="70"/>
      <c r="C8" s="70"/>
      <c r="D8" s="70"/>
      <c r="E8" s="70"/>
      <c r="F8" s="70"/>
      <c r="G8" s="70"/>
      <c r="H8" s="70"/>
    </row>
    <row r="9" spans="1:8" x14ac:dyDescent="0.3">
      <c r="A9" s="46">
        <v>0.22</v>
      </c>
    </row>
    <row r="11" spans="1:8" x14ac:dyDescent="0.3">
      <c r="A11" t="s">
        <v>59</v>
      </c>
    </row>
    <row r="12" spans="1:8" x14ac:dyDescent="0.3">
      <c r="A12" t="s">
        <v>60</v>
      </c>
      <c r="B12" s="35">
        <f>IF(A4&gt;A9,C3,IF(A5&gt;A9,C4,IF(A6&gt;A9,C5,C6)))</f>
        <v>9.5000000000000001E-2</v>
      </c>
    </row>
    <row r="14" spans="1:8" x14ac:dyDescent="0.3">
      <c r="A14" t="s">
        <v>61</v>
      </c>
    </row>
    <row r="15" spans="1:8" x14ac:dyDescent="0.3">
      <c r="A15" t="s">
        <v>60</v>
      </c>
      <c r="B15" s="35">
        <f>VLOOKUP(A9,A3:C6,3,1)</f>
        <v>9.5000000000000001E-2</v>
      </c>
    </row>
    <row r="16" spans="1:8" ht="15" thickBot="1" x14ac:dyDescent="0.35"/>
    <row r="17" spans="1:2" s="69" customFormat="1" x14ac:dyDescent="0.3"/>
    <row r="18" spans="1:2" x14ac:dyDescent="0.3">
      <c r="A18" s="70" t="s">
        <v>62</v>
      </c>
      <c r="B18" s="70"/>
    </row>
    <row r="20" spans="1:2" x14ac:dyDescent="0.3">
      <c r="A20" t="s">
        <v>63</v>
      </c>
      <c r="B20" s="91">
        <v>14500</v>
      </c>
    </row>
    <row r="21" spans="1:2" x14ac:dyDescent="0.3">
      <c r="A21" t="s">
        <v>64</v>
      </c>
      <c r="B21" s="92">
        <v>0.1</v>
      </c>
    </row>
    <row r="22" spans="1:2" x14ac:dyDescent="0.3">
      <c r="A22" t="s">
        <v>65</v>
      </c>
      <c r="B22" s="92">
        <v>0.6</v>
      </c>
    </row>
    <row r="24" spans="1:2" x14ac:dyDescent="0.3">
      <c r="A24" t="s">
        <v>66</v>
      </c>
      <c r="B24" s="48">
        <f>B20*(1+B21)</f>
        <v>15950.000000000002</v>
      </c>
    </row>
    <row r="25" spans="1:2" x14ac:dyDescent="0.3">
      <c r="A25" t="s">
        <v>67</v>
      </c>
      <c r="B25" s="47">
        <f>-(B24*(1-B22))</f>
        <v>-6380.0000000000009</v>
      </c>
    </row>
    <row r="26" spans="1:2" x14ac:dyDescent="0.3">
      <c r="A26" t="s">
        <v>68</v>
      </c>
      <c r="B26" s="50">
        <f>SUM(B24:B25)</f>
        <v>9570</v>
      </c>
    </row>
    <row r="28" spans="1:2" x14ac:dyDescent="0.3">
      <c r="A28" s="74" t="s">
        <v>72</v>
      </c>
      <c r="B28" s="74"/>
    </row>
    <row r="29" spans="1:2" x14ac:dyDescent="0.3">
      <c r="A29" s="51" t="s">
        <v>69</v>
      </c>
      <c r="B29" s="51" t="s">
        <v>68</v>
      </c>
    </row>
    <row r="30" spans="1:2" x14ac:dyDescent="0.3">
      <c r="B30" s="63">
        <f>B26</f>
        <v>9570</v>
      </c>
    </row>
    <row r="31" spans="1:2" x14ac:dyDescent="0.3">
      <c r="A31" s="49">
        <v>0.08</v>
      </c>
      <c r="B31" s="50">
        <f t="dataTable" ref="B31:B39" dt2D="0" dtr="0" r1="B21" ca="1"/>
        <v>9396</v>
      </c>
    </row>
    <row r="32" spans="1:2" x14ac:dyDescent="0.3">
      <c r="A32" s="49">
        <v>0.1</v>
      </c>
      <c r="B32" s="50">
        <v>9570</v>
      </c>
    </row>
    <row r="33" spans="1:11" x14ac:dyDescent="0.3">
      <c r="A33" s="49">
        <v>0.12</v>
      </c>
      <c r="B33" s="50">
        <v>9744</v>
      </c>
    </row>
    <row r="34" spans="1:11" x14ac:dyDescent="0.3">
      <c r="A34" s="49">
        <v>0.14000000000000001</v>
      </c>
      <c r="B34" s="50">
        <v>9918</v>
      </c>
    </row>
    <row r="35" spans="1:11" x14ac:dyDescent="0.3">
      <c r="A35" s="49">
        <v>0.16</v>
      </c>
      <c r="B35" s="50">
        <v>10092</v>
      </c>
    </row>
    <row r="36" spans="1:11" x14ac:dyDescent="0.3">
      <c r="A36" s="49">
        <v>0.18</v>
      </c>
      <c r="B36" s="50">
        <v>10266</v>
      </c>
    </row>
    <row r="37" spans="1:11" x14ac:dyDescent="0.3">
      <c r="A37" s="49">
        <v>0.2</v>
      </c>
      <c r="B37" s="50">
        <v>10440</v>
      </c>
    </row>
    <row r="38" spans="1:11" x14ac:dyDescent="0.3">
      <c r="A38" s="49">
        <v>0.22</v>
      </c>
      <c r="B38" s="50">
        <v>10614</v>
      </c>
    </row>
    <row r="39" spans="1:11" x14ac:dyDescent="0.3">
      <c r="A39" s="49">
        <v>0.24</v>
      </c>
      <c r="B39" s="50">
        <v>10788</v>
      </c>
    </row>
    <row r="40" spans="1:11" x14ac:dyDescent="0.3">
      <c r="A40" s="33"/>
    </row>
    <row r="41" spans="1:11" x14ac:dyDescent="0.3">
      <c r="A41" s="33"/>
      <c r="E41" s="73" t="s">
        <v>71</v>
      </c>
      <c r="F41" s="73"/>
    </row>
    <row r="42" spans="1:11" x14ac:dyDescent="0.3">
      <c r="A42" s="33"/>
      <c r="B42" s="54"/>
      <c r="C42" s="71" t="s">
        <v>70</v>
      </c>
      <c r="D42" s="71"/>
      <c r="E42" s="71"/>
      <c r="F42" s="71"/>
      <c r="G42" s="71"/>
      <c r="H42" s="71"/>
      <c r="I42" s="72"/>
      <c r="J42" s="60"/>
      <c r="K42" s="60"/>
    </row>
    <row r="43" spans="1:11" ht="15" thickBot="1" x14ac:dyDescent="0.35">
      <c r="A43" s="33"/>
      <c r="B43" s="55"/>
      <c r="C43" s="62">
        <f>B30</f>
        <v>9570</v>
      </c>
      <c r="D43" s="9">
        <v>0.4</v>
      </c>
      <c r="E43" s="9">
        <v>0.5</v>
      </c>
      <c r="F43" s="9">
        <v>0.6</v>
      </c>
      <c r="G43" s="9">
        <v>0.7</v>
      </c>
      <c r="H43" s="9">
        <v>0.8</v>
      </c>
      <c r="I43" s="61">
        <v>0.9</v>
      </c>
      <c r="J43" s="36"/>
      <c r="K43" s="36"/>
    </row>
    <row r="44" spans="1:11" ht="15" thickTop="1" x14ac:dyDescent="0.3">
      <c r="B44" s="55"/>
      <c r="C44" s="52">
        <v>0.08</v>
      </c>
      <c r="D44" s="53">
        <f t="dataTable" ref="D44:I52" dt2D="1" dtr="1" r1="B22" r2="B21"/>
        <v>6264.0000000000018</v>
      </c>
      <c r="E44" s="64">
        <v>7830.0000000000009</v>
      </c>
      <c r="F44" s="64">
        <v>9396</v>
      </c>
      <c r="G44" s="64">
        <v>10962</v>
      </c>
      <c r="H44" s="64">
        <v>12528.000000000002</v>
      </c>
      <c r="I44" s="65">
        <v>14094.000000000002</v>
      </c>
    </row>
    <row r="45" spans="1:11" x14ac:dyDescent="0.3">
      <c r="B45" s="55"/>
      <c r="C45" s="52">
        <v>0.1</v>
      </c>
      <c r="D45" s="50">
        <v>6380.0000000000018</v>
      </c>
      <c r="E45" s="50">
        <v>7975.0000000000009</v>
      </c>
      <c r="F45" s="68">
        <v>9570</v>
      </c>
      <c r="G45" s="50">
        <v>11165</v>
      </c>
      <c r="H45" s="50">
        <v>12760.000000000002</v>
      </c>
      <c r="I45" s="66">
        <v>14355.000000000002</v>
      </c>
    </row>
    <row r="46" spans="1:11" x14ac:dyDescent="0.3">
      <c r="B46" s="56" t="s">
        <v>69</v>
      </c>
      <c r="C46" s="52">
        <v>0.12</v>
      </c>
      <c r="D46" s="50">
        <v>6496.0000000000018</v>
      </c>
      <c r="E46" s="50">
        <v>8120.0000000000009</v>
      </c>
      <c r="F46" s="50">
        <v>9744</v>
      </c>
      <c r="G46" s="50">
        <v>11368</v>
      </c>
      <c r="H46" s="50">
        <v>12992.000000000002</v>
      </c>
      <c r="I46" s="66">
        <v>14616.000000000002</v>
      </c>
    </row>
    <row r="47" spans="1:11" x14ac:dyDescent="0.3">
      <c r="B47" s="55"/>
      <c r="C47" s="52">
        <v>0.14000000000000001</v>
      </c>
      <c r="D47" s="50">
        <v>6612</v>
      </c>
      <c r="E47" s="50">
        <v>8265</v>
      </c>
      <c r="F47" s="50">
        <v>9918</v>
      </c>
      <c r="G47" s="50">
        <v>11571</v>
      </c>
      <c r="H47" s="50">
        <v>13224</v>
      </c>
      <c r="I47" s="66">
        <v>14877</v>
      </c>
    </row>
    <row r="48" spans="1:11" x14ac:dyDescent="0.3">
      <c r="B48" s="55"/>
      <c r="C48" s="52">
        <v>0.16</v>
      </c>
      <c r="D48" s="50">
        <v>6728</v>
      </c>
      <c r="E48" s="50">
        <v>8410</v>
      </c>
      <c r="F48" s="50">
        <v>10092</v>
      </c>
      <c r="G48" s="50">
        <v>11774</v>
      </c>
      <c r="H48" s="50">
        <v>13456</v>
      </c>
      <c r="I48" s="66">
        <v>15138</v>
      </c>
    </row>
    <row r="49" spans="2:9" x14ac:dyDescent="0.3">
      <c r="B49" s="55"/>
      <c r="C49" s="52">
        <v>0.18</v>
      </c>
      <c r="D49" s="50">
        <v>6844</v>
      </c>
      <c r="E49" s="50">
        <v>8555</v>
      </c>
      <c r="F49" s="50">
        <v>10266</v>
      </c>
      <c r="G49" s="50">
        <v>11977</v>
      </c>
      <c r="H49" s="50">
        <v>13688</v>
      </c>
      <c r="I49" s="66">
        <v>15399</v>
      </c>
    </row>
    <row r="50" spans="2:9" x14ac:dyDescent="0.3">
      <c r="B50" s="55"/>
      <c r="C50" s="52">
        <v>0.2</v>
      </c>
      <c r="D50" s="50">
        <v>6960</v>
      </c>
      <c r="E50" s="50">
        <v>8700</v>
      </c>
      <c r="F50" s="50">
        <v>10440</v>
      </c>
      <c r="G50" s="50">
        <v>12180</v>
      </c>
      <c r="H50" s="50">
        <v>13920</v>
      </c>
      <c r="I50" s="66">
        <v>15660</v>
      </c>
    </row>
    <row r="51" spans="2:9" x14ac:dyDescent="0.3">
      <c r="B51" s="55"/>
      <c r="C51" s="52">
        <v>0.22</v>
      </c>
      <c r="D51" s="50">
        <v>7076</v>
      </c>
      <c r="E51" s="50">
        <v>8845</v>
      </c>
      <c r="F51" s="50">
        <v>10614</v>
      </c>
      <c r="G51" s="50">
        <v>12383</v>
      </c>
      <c r="H51" s="50">
        <v>14152</v>
      </c>
      <c r="I51" s="66">
        <v>15921</v>
      </c>
    </row>
    <row r="52" spans="2:9" x14ac:dyDescent="0.3">
      <c r="B52" s="57"/>
      <c r="C52" s="58">
        <v>0.24</v>
      </c>
      <c r="D52" s="59">
        <v>7192</v>
      </c>
      <c r="E52" s="59">
        <v>8990</v>
      </c>
      <c r="F52" s="59">
        <v>10788</v>
      </c>
      <c r="G52" s="59">
        <v>12586</v>
      </c>
      <c r="H52" s="59">
        <v>14384</v>
      </c>
      <c r="I52" s="67">
        <v>16182</v>
      </c>
    </row>
  </sheetData>
  <sheetProtection sheet="1" objects="1" scenarios="1"/>
  <scenarios current="0" sqref="B24:B26">
    <scenario name="base" locked="1" count="3" user="Humaira Ali" comment="Created by Humaira Ali on 6/5/2025">
      <inputCells r="B20" val="14500" numFmtId="3"/>
      <inputCells r="B21" val="0.1" numFmtId="10"/>
      <inputCells r="B22" val="0.6" numFmtId="10"/>
    </scenario>
    <scenario name="better" locked="1" count="3" user="Humaira Ali" comment="Created by Humaira Ali on 6/5/2025_x000a_Modified by Humaira Ali on 6/5/2025">
      <inputCells r="B20" val="16000" numFmtId="3"/>
      <inputCells r="B21" val="0.2" numFmtId="10"/>
      <inputCells r="B22" val="0.7" numFmtId="10"/>
    </scenario>
    <scenario name="worse" locked="1" count="3" user="Humaira Ali" comment="Created by Humaira Ali on 6/5/2025">
      <inputCells r="B20" val="13000" numFmtId="3"/>
      <inputCells r="B21" val="0.07" numFmtId="10"/>
      <inputCells r="B22" val="0.7" numFmtId="10"/>
    </scenario>
  </scenarios>
  <mergeCells count="5">
    <mergeCell ref="A8:H8"/>
    <mergeCell ref="C42:I42"/>
    <mergeCell ref="E41:F41"/>
    <mergeCell ref="A28:B28"/>
    <mergeCell ref="A18:B18"/>
  </mergeCells>
  <dataValidations count="1">
    <dataValidation type="decimal" errorStyle="warning" allowBlank="1" showInputMessage="1" showErrorMessage="1" errorTitle=" Check the value" error="This value cannot exceed 100%" prompt="Gross margin is a residual value , it cannot be greater than sales itself" sqref="B22" xr:uid="{77251C17-FFC0-4C4D-B929-93F966B6CC0F}">
      <formula1>0</formula1>
      <formula2>1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10</vt:i4>
      </vt:variant>
    </vt:vector>
  </HeadingPairs>
  <TitlesOfParts>
    <vt:vector size="14" baseType="lpstr">
      <vt:lpstr>Forecasting &amp; SA</vt:lpstr>
      <vt:lpstr>COC</vt:lpstr>
      <vt:lpstr>Scenario Summary</vt:lpstr>
      <vt:lpstr>Coupon</vt:lpstr>
      <vt:lpstr>Beta</vt:lpstr>
      <vt:lpstr>Cd</vt:lpstr>
      <vt:lpstr>Ce</vt:lpstr>
      <vt:lpstr>CostOfDebt</vt:lpstr>
      <vt:lpstr>DebtValue</vt:lpstr>
      <vt:lpstr>EquityValue</vt:lpstr>
      <vt:lpstr>MarketReturn</vt:lpstr>
      <vt:lpstr>RiskFreeRate</vt:lpstr>
      <vt:lpstr>TaxRate</vt:lpstr>
      <vt:lpstr>Total_Capital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Humaira Ali</dc:creator>
  <cp:lastModifiedBy>Humaira Ali</cp:lastModifiedBy>
  <dcterms:created xsi:type="dcterms:W3CDTF">2025-05-30T23:22:09Z</dcterms:created>
  <dcterms:modified xsi:type="dcterms:W3CDTF">2025-06-05T08:59:22Z</dcterms:modified>
</cp:coreProperties>
</file>