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sholness/Downloads/"/>
    </mc:Choice>
  </mc:AlternateContent>
  <xr:revisionPtr revIDLastSave="0" documentId="13_ncr:1_{37A7B705-3E66-3546-BB4A-82D64744A200}" xr6:coauthVersionLast="47" xr6:coauthVersionMax="47" xr10:uidLastSave="{00000000-0000-0000-0000-000000000000}"/>
  <bookViews>
    <workbookView xWindow="0" yWindow="500" windowWidth="38400" windowHeight="21100" xr2:uid="{00000000-000D-0000-FFFF-FFFF00000000}"/>
  </bookViews>
  <sheets>
    <sheet name="nsfgrfp" sheetId="1" r:id="rId1"/>
    <sheet name="Readme" sheetId="2" r:id="rId2"/>
  </sheets>
  <definedNames>
    <definedName name="_xlnm._FilterDatabase" localSheetId="0" hidden="1">nsfgrfp!$A$1:$K$288</definedName>
    <definedName name="Z_5B5D4328_B37F_4A3F_AC7A_B210950F99F2_.wvu.FilterData" localSheetId="0" hidden="1">nsfgrfp!$J$1:$J$126</definedName>
    <definedName name="Z_6E6343BF_37A7_43A8_AC30_8D31A996D3B0_.wvu.FilterData" localSheetId="0" hidden="1">nsfgrfp!$A$1:$K$126</definedName>
    <definedName name="Z_8932ABE3_A74C_4DC9_9814_F6D2FA0F6390_.wvu.FilterData" localSheetId="0" hidden="1">nsfgrfp!$A$1:$K$135</definedName>
  </definedNames>
  <calcPr calcId="181029"/>
  <customWorkbookViews>
    <customWorkbookView name="Filter 1" guid="{6E6343BF-37A7-43A8-AC30-8D31A996D3B0}" maximized="1" windowWidth="0" windowHeight="0" activeSheetId="0"/>
    <customWorkbookView name="Filter 3" guid="{8932ABE3-A74C-4DC9-9814-F6D2FA0F6390}" maximized="1" windowWidth="0" windowHeight="0" activeSheetId="0"/>
    <customWorkbookView name="Filter 2" guid="{5B5D4328-B37F-4A3F-AC7A-B210950F99F2}"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2" i="2" l="1"/>
  <c r="A1" i="2"/>
  <c r="K280" i="1"/>
  <c r="J280" i="1"/>
  <c r="H280" i="1"/>
  <c r="G280" i="1"/>
  <c r="F280" i="1"/>
  <c r="J275" i="1"/>
  <c r="I275" i="1"/>
  <c r="H275" i="1"/>
  <c r="G275" i="1"/>
  <c r="F275" i="1"/>
  <c r="J274" i="1"/>
  <c r="H274" i="1"/>
  <c r="G274" i="1"/>
  <c r="F274" i="1"/>
  <c r="J264" i="1"/>
  <c r="I264" i="1"/>
  <c r="H264" i="1"/>
  <c r="G264" i="1"/>
  <c r="F264" i="1"/>
  <c r="K263" i="1"/>
  <c r="J263" i="1"/>
  <c r="I263" i="1"/>
  <c r="H263" i="1"/>
  <c r="G263" i="1"/>
  <c r="F263" i="1"/>
  <c r="J262" i="1"/>
  <c r="H262" i="1"/>
  <c r="G262" i="1"/>
  <c r="F262" i="1"/>
  <c r="J261" i="1"/>
  <c r="I261" i="1"/>
  <c r="H261" i="1"/>
  <c r="G261" i="1"/>
  <c r="F261" i="1"/>
  <c r="K260" i="1"/>
  <c r="J260" i="1"/>
  <c r="H260" i="1"/>
  <c r="G260" i="1"/>
  <c r="F260" i="1"/>
  <c r="J259" i="1"/>
  <c r="H259" i="1"/>
  <c r="G259" i="1"/>
  <c r="F259" i="1"/>
  <c r="K258" i="1"/>
  <c r="J258" i="1"/>
  <c r="H258" i="1"/>
  <c r="G258" i="1"/>
  <c r="F258" i="1"/>
  <c r="J257" i="1"/>
  <c r="H257" i="1"/>
  <c r="G257" i="1"/>
  <c r="F257" i="1"/>
  <c r="K255" i="1"/>
  <c r="J255" i="1"/>
  <c r="I255" i="1"/>
  <c r="H255" i="1"/>
  <c r="G255" i="1"/>
  <c r="F255" i="1"/>
  <c r="K254" i="1"/>
  <c r="J254" i="1"/>
  <c r="H254" i="1"/>
  <c r="G254" i="1"/>
  <c r="F254" i="1"/>
  <c r="K253" i="1"/>
  <c r="J253" i="1"/>
  <c r="I253" i="1"/>
  <c r="H253" i="1"/>
  <c r="G253" i="1"/>
  <c r="F253" i="1"/>
  <c r="K252" i="1"/>
  <c r="J252" i="1"/>
  <c r="H252" i="1"/>
  <c r="G252" i="1"/>
  <c r="F252" i="1"/>
  <c r="J251" i="1"/>
  <c r="I251" i="1"/>
  <c r="H251" i="1"/>
  <c r="G251" i="1"/>
  <c r="F251" i="1"/>
  <c r="J250" i="1"/>
  <c r="H250" i="1"/>
  <c r="G250" i="1"/>
  <c r="F250" i="1"/>
  <c r="J249" i="1"/>
  <c r="H249" i="1"/>
  <c r="G249" i="1"/>
  <c r="F249" i="1"/>
  <c r="J247" i="1"/>
  <c r="J246" i="1"/>
  <c r="H246" i="1"/>
  <c r="G246" i="1"/>
  <c r="F246" i="1"/>
  <c r="J245" i="1"/>
  <c r="I245" i="1"/>
  <c r="H245" i="1"/>
  <c r="G245" i="1"/>
  <c r="F245" i="1"/>
  <c r="K244" i="1"/>
  <c r="J244" i="1"/>
  <c r="I244" i="1"/>
  <c r="H244" i="1"/>
  <c r="G244" i="1"/>
  <c r="F244" i="1"/>
  <c r="K243" i="1"/>
  <c r="J243" i="1"/>
  <c r="H243" i="1"/>
  <c r="G243" i="1"/>
  <c r="F243" i="1"/>
  <c r="K242" i="1"/>
  <c r="J242" i="1"/>
  <c r="I242" i="1"/>
  <c r="H242" i="1"/>
  <c r="G242" i="1"/>
  <c r="F242" i="1"/>
  <c r="K241" i="1"/>
  <c r="J241" i="1"/>
  <c r="H241" i="1"/>
  <c r="G241" i="1"/>
  <c r="F241" i="1"/>
  <c r="K235" i="1"/>
  <c r="J235" i="1"/>
  <c r="I235" i="1"/>
  <c r="H235" i="1"/>
  <c r="G235" i="1"/>
  <c r="F235" i="1"/>
  <c r="J234" i="1"/>
  <c r="H234" i="1"/>
  <c r="G234" i="1"/>
  <c r="F234" i="1"/>
  <c r="J233" i="1"/>
  <c r="I233" i="1"/>
  <c r="H233" i="1"/>
  <c r="G233" i="1"/>
  <c r="F233" i="1"/>
  <c r="J232" i="1"/>
  <c r="K231" i="1"/>
  <c r="J231" i="1"/>
  <c r="I231" i="1"/>
  <c r="H231" i="1"/>
  <c r="G231" i="1"/>
  <c r="F231" i="1"/>
  <c r="K230" i="1"/>
  <c r="J230" i="1"/>
  <c r="I230" i="1"/>
  <c r="H230" i="1"/>
  <c r="G230" i="1"/>
  <c r="F230" i="1"/>
  <c r="K229" i="1"/>
  <c r="J229" i="1"/>
  <c r="I229" i="1"/>
  <c r="H229" i="1"/>
  <c r="G229" i="1"/>
  <c r="F229" i="1"/>
  <c r="J220" i="1"/>
  <c r="G220" i="1"/>
  <c r="F220" i="1"/>
  <c r="K219" i="1"/>
  <c r="J219" i="1"/>
  <c r="G219" i="1"/>
  <c r="F219" i="1"/>
  <c r="K218" i="1"/>
  <c r="J218" i="1"/>
  <c r="G218" i="1"/>
  <c r="F218" i="1"/>
  <c r="J217" i="1"/>
  <c r="I217" i="1"/>
  <c r="G217" i="1"/>
  <c r="F217" i="1"/>
  <c r="J216" i="1"/>
  <c r="I216" i="1"/>
  <c r="G216" i="1"/>
  <c r="F216" i="1"/>
  <c r="K215" i="1"/>
  <c r="J215" i="1"/>
  <c r="I215" i="1"/>
  <c r="G215" i="1"/>
  <c r="F215" i="1"/>
  <c r="J214" i="1"/>
  <c r="I214" i="1"/>
  <c r="G214" i="1"/>
  <c r="F214" i="1"/>
  <c r="J213" i="1"/>
  <c r="I213" i="1"/>
  <c r="G213" i="1"/>
  <c r="F213" i="1"/>
  <c r="J212" i="1"/>
  <c r="I212" i="1"/>
  <c r="G212" i="1"/>
  <c r="F212" i="1"/>
  <c r="J211" i="1"/>
  <c r="G211" i="1"/>
  <c r="F211" i="1"/>
  <c r="J210" i="1"/>
  <c r="J199" i="1"/>
  <c r="I199" i="1"/>
  <c r="G199" i="1"/>
  <c r="F199" i="1"/>
  <c r="J198" i="1"/>
  <c r="G198" i="1"/>
  <c r="F198" i="1"/>
  <c r="K197" i="1"/>
  <c r="J197" i="1"/>
  <c r="G197" i="1"/>
  <c r="K196" i="1"/>
  <c r="J196" i="1"/>
  <c r="I196" i="1"/>
  <c r="G196" i="1"/>
  <c r="F196" i="1"/>
  <c r="J195" i="1"/>
  <c r="I195" i="1"/>
  <c r="G195" i="1"/>
  <c r="F195" i="1"/>
  <c r="J194" i="1"/>
  <c r="I194" i="1"/>
  <c r="G194" i="1"/>
  <c r="F194" i="1"/>
  <c r="J193" i="1"/>
  <c r="I193" i="1"/>
  <c r="G193" i="1"/>
  <c r="F193" i="1"/>
  <c r="J192" i="1"/>
  <c r="I192" i="1"/>
  <c r="G192" i="1"/>
  <c r="F192" i="1"/>
  <c r="J191" i="1"/>
  <c r="G191" i="1"/>
  <c r="F191" i="1"/>
  <c r="J190" i="1"/>
  <c r="I190" i="1"/>
  <c r="J189" i="1"/>
  <c r="J188" i="1"/>
  <c r="K183" i="1"/>
  <c r="J183" i="1"/>
  <c r="G183" i="1"/>
  <c r="F183" i="1"/>
  <c r="K182" i="1"/>
  <c r="J182" i="1"/>
  <c r="I182" i="1"/>
  <c r="G182" i="1"/>
  <c r="F182" i="1"/>
  <c r="J181" i="1"/>
  <c r="G181" i="1"/>
  <c r="F181" i="1"/>
  <c r="J180" i="1"/>
  <c r="G180" i="1"/>
  <c r="F180" i="1"/>
  <c r="J179" i="1"/>
  <c r="I179" i="1"/>
  <c r="G179" i="1"/>
  <c r="F179" i="1"/>
  <c r="J178" i="1"/>
  <c r="G178" i="1"/>
  <c r="F178" i="1"/>
  <c r="J177" i="1"/>
  <c r="G177" i="1"/>
  <c r="F177" i="1"/>
  <c r="J176" i="1"/>
  <c r="G176" i="1"/>
  <c r="F176" i="1"/>
  <c r="K175" i="1"/>
  <c r="J175" i="1"/>
  <c r="I175" i="1"/>
  <c r="G175" i="1"/>
  <c r="F175" i="1"/>
  <c r="J174" i="1"/>
  <c r="I174" i="1"/>
  <c r="G174" i="1"/>
  <c r="F174" i="1"/>
  <c r="J173" i="1"/>
  <c r="G173" i="1"/>
  <c r="F173" i="1"/>
  <c r="G172" i="1"/>
  <c r="K171" i="1"/>
  <c r="J171" i="1"/>
  <c r="I171" i="1"/>
  <c r="G171" i="1"/>
  <c r="F171" i="1"/>
  <c r="K170" i="1"/>
  <c r="J170" i="1"/>
  <c r="I170" i="1"/>
  <c r="G170" i="1"/>
  <c r="F170" i="1"/>
  <c r="J169" i="1"/>
  <c r="J159" i="1"/>
  <c r="G159" i="1"/>
  <c r="F159" i="1"/>
  <c r="J158" i="1"/>
  <c r="I158" i="1"/>
  <c r="G158" i="1"/>
  <c r="F158" i="1"/>
  <c r="J157" i="1"/>
  <c r="G157" i="1"/>
  <c r="F157" i="1"/>
  <c r="J156" i="1"/>
  <c r="G156" i="1"/>
  <c r="F156" i="1"/>
  <c r="J155" i="1"/>
  <c r="I155" i="1"/>
  <c r="G155" i="1"/>
  <c r="F155" i="1"/>
  <c r="J154" i="1"/>
  <c r="G154" i="1"/>
  <c r="F154" i="1"/>
  <c r="I153" i="1"/>
  <c r="G153" i="1"/>
  <c r="F153" i="1"/>
  <c r="J152" i="1"/>
  <c r="I152" i="1"/>
  <c r="G152" i="1"/>
  <c r="F152" i="1"/>
  <c r="J151" i="1"/>
  <c r="I151" i="1"/>
  <c r="G151" i="1"/>
  <c r="F151" i="1"/>
  <c r="G150" i="1"/>
  <c r="F150" i="1"/>
  <c r="J149" i="1"/>
  <c r="I149" i="1"/>
  <c r="G149" i="1"/>
  <c r="F149" i="1"/>
  <c r="K148" i="1"/>
  <c r="J148" i="1"/>
  <c r="I148" i="1"/>
  <c r="G148" i="1"/>
  <c r="F148" i="1"/>
  <c r="J147" i="1"/>
  <c r="G147" i="1"/>
  <c r="F147" i="1"/>
  <c r="J146" i="1"/>
  <c r="I146" i="1"/>
  <c r="G146" i="1"/>
  <c r="F146" i="1"/>
  <c r="J145" i="1"/>
  <c r="I145" i="1"/>
  <c r="G145" i="1"/>
  <c r="F145" i="1"/>
  <c r="J144" i="1"/>
  <c r="I144" i="1"/>
  <c r="G144" i="1"/>
  <c r="F144" i="1"/>
  <c r="J143" i="1"/>
  <c r="G143" i="1"/>
  <c r="F143" i="1"/>
  <c r="J142" i="1"/>
  <c r="I142" i="1"/>
  <c r="G142" i="1"/>
  <c r="F142" i="1"/>
  <c r="J141" i="1"/>
  <c r="G141" i="1"/>
  <c r="F141" i="1"/>
  <c r="J140" i="1"/>
  <c r="J139" i="1"/>
  <c r="J138" i="1"/>
  <c r="J133" i="1"/>
  <c r="I133" i="1"/>
  <c r="G133" i="1"/>
  <c r="F133" i="1"/>
  <c r="J132" i="1"/>
  <c r="G132" i="1"/>
  <c r="F132" i="1"/>
  <c r="J131" i="1"/>
  <c r="I131" i="1"/>
  <c r="G131" i="1"/>
  <c r="F131" i="1"/>
  <c r="I130" i="1"/>
  <c r="G130" i="1"/>
  <c r="F130" i="1"/>
  <c r="J129" i="1"/>
  <c r="I129" i="1"/>
  <c r="G129" i="1"/>
  <c r="F129" i="1"/>
  <c r="J128" i="1"/>
  <c r="G128" i="1"/>
  <c r="J127" i="1"/>
  <c r="I127" i="1"/>
  <c r="G127" i="1"/>
  <c r="F127" i="1"/>
  <c r="J126" i="1"/>
  <c r="G126" i="1"/>
  <c r="F126" i="1"/>
  <c r="J125" i="1"/>
  <c r="I125" i="1"/>
  <c r="G125" i="1"/>
  <c r="F125" i="1"/>
  <c r="J124" i="1"/>
  <c r="I124" i="1"/>
  <c r="G124" i="1"/>
  <c r="F124" i="1"/>
  <c r="J123" i="1"/>
  <c r="I123" i="1"/>
  <c r="G123" i="1"/>
  <c r="F123" i="1"/>
  <c r="K122" i="1"/>
  <c r="J122" i="1"/>
  <c r="G122" i="1"/>
  <c r="J121" i="1"/>
  <c r="I121" i="1"/>
  <c r="G121" i="1"/>
  <c r="F121" i="1"/>
  <c r="J120" i="1"/>
  <c r="G120" i="1"/>
  <c r="F120" i="1"/>
  <c r="J119" i="1"/>
  <c r="I119" i="1"/>
  <c r="G119" i="1"/>
  <c r="F119" i="1"/>
  <c r="J118" i="1"/>
  <c r="I118" i="1"/>
  <c r="G118" i="1"/>
  <c r="F118" i="1"/>
  <c r="J117" i="1"/>
  <c r="I117" i="1"/>
  <c r="G117" i="1"/>
  <c r="F117" i="1"/>
  <c r="J116" i="1"/>
  <c r="I116" i="1"/>
  <c r="G116" i="1"/>
  <c r="F116" i="1"/>
  <c r="J115" i="1"/>
  <c r="I115" i="1"/>
  <c r="G115" i="1"/>
  <c r="F115" i="1"/>
  <c r="J114" i="1"/>
  <c r="I114" i="1"/>
  <c r="G114" i="1"/>
  <c r="F114" i="1"/>
  <c r="J113" i="1"/>
  <c r="G113" i="1"/>
  <c r="F113" i="1"/>
  <c r="J112" i="1"/>
  <c r="J111" i="1"/>
  <c r="J110" i="1"/>
  <c r="J109" i="1"/>
  <c r="J108" i="1"/>
  <c r="J107" i="1"/>
  <c r="J106" i="1"/>
  <c r="J105" i="1"/>
  <c r="J104" i="1"/>
  <c r="J103" i="1"/>
  <c r="J102" i="1"/>
  <c r="J99" i="1"/>
  <c r="J98" i="1"/>
  <c r="J97" i="1"/>
  <c r="J96" i="1"/>
  <c r="G96" i="1"/>
  <c r="F96" i="1"/>
  <c r="J95" i="1"/>
  <c r="G95" i="1"/>
  <c r="F95" i="1"/>
  <c r="J94" i="1"/>
  <c r="I94" i="1"/>
  <c r="G94" i="1"/>
  <c r="F94" i="1"/>
  <c r="J93" i="1"/>
  <c r="I93" i="1"/>
  <c r="G93" i="1"/>
  <c r="F93" i="1"/>
  <c r="K92" i="1"/>
  <c r="J92" i="1"/>
  <c r="I92" i="1"/>
  <c r="G92" i="1"/>
  <c r="F92" i="1"/>
  <c r="K91" i="1"/>
  <c r="J91" i="1"/>
  <c r="I91" i="1"/>
  <c r="G91" i="1"/>
  <c r="F91" i="1"/>
  <c r="K90" i="1"/>
  <c r="J90" i="1"/>
  <c r="I90" i="1"/>
  <c r="G90" i="1"/>
  <c r="F90" i="1"/>
  <c r="J89" i="1"/>
  <c r="I89" i="1"/>
  <c r="G89" i="1"/>
  <c r="F89" i="1"/>
  <c r="J88" i="1"/>
  <c r="I88" i="1"/>
  <c r="G88" i="1"/>
  <c r="F88" i="1"/>
  <c r="K87" i="1"/>
  <c r="J87" i="1"/>
  <c r="I87" i="1"/>
  <c r="G87" i="1"/>
  <c r="F87" i="1"/>
  <c r="J86" i="1"/>
  <c r="I86" i="1"/>
  <c r="G86" i="1"/>
  <c r="F86" i="1"/>
  <c r="J85" i="1"/>
  <c r="I85" i="1"/>
  <c r="G85" i="1"/>
  <c r="F85" i="1"/>
  <c r="J84" i="1"/>
  <c r="G84" i="1"/>
  <c r="F84" i="1"/>
  <c r="J83" i="1"/>
  <c r="I83" i="1"/>
  <c r="G83" i="1"/>
  <c r="F83" i="1"/>
  <c r="J82" i="1"/>
  <c r="I82" i="1"/>
  <c r="G82" i="1"/>
  <c r="F82" i="1"/>
  <c r="J81" i="1"/>
  <c r="G81" i="1"/>
  <c r="F81" i="1"/>
  <c r="J80" i="1"/>
  <c r="I80" i="1"/>
  <c r="F80" i="1"/>
  <c r="K79" i="1"/>
  <c r="J79" i="1"/>
  <c r="G79" i="1"/>
  <c r="F79" i="1"/>
  <c r="K78" i="1"/>
  <c r="J78" i="1"/>
  <c r="I78" i="1"/>
  <c r="G78" i="1"/>
  <c r="F78" i="1"/>
  <c r="J77" i="1"/>
  <c r="J76" i="1"/>
  <c r="J75" i="1"/>
  <c r="J74" i="1"/>
  <c r="J73" i="1"/>
  <c r="J72" i="1"/>
  <c r="J71" i="1"/>
  <c r="J70" i="1"/>
  <c r="J69" i="1"/>
  <c r="J68" i="1"/>
  <c r="J67" i="1"/>
  <c r="J66" i="1"/>
  <c r="J65" i="1"/>
  <c r="J64" i="1"/>
  <c r="J63" i="1"/>
  <c r="J62" i="1"/>
  <c r="J57" i="1"/>
  <c r="J56" i="1"/>
  <c r="J55" i="1"/>
  <c r="J54" i="1"/>
  <c r="J53" i="1"/>
  <c r="J52" i="1"/>
  <c r="J49" i="1"/>
  <c r="J48" i="1"/>
  <c r="J47" i="1"/>
  <c r="J46" i="1"/>
  <c r="J45" i="1"/>
  <c r="J44" i="1"/>
  <c r="J43" i="1"/>
  <c r="J42" i="1"/>
  <c r="J41" i="1"/>
  <c r="J40" i="1"/>
  <c r="J39" i="1"/>
  <c r="J38" i="1"/>
  <c r="J37" i="1"/>
  <c r="J36" i="1"/>
  <c r="J35" i="1"/>
  <c r="J34" i="1"/>
  <c r="J33" i="1"/>
  <c r="J32" i="1"/>
  <c r="J31" i="1"/>
  <c r="J30" i="1"/>
  <c r="J29"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<sst xmlns="http://schemas.openxmlformats.org/spreadsheetml/2006/main" count="2070" uniqueCount="446">
  <si>
    <t>Name</t>
  </si>
  <si>
    <t>Year</t>
  </si>
  <si>
    <t>Area</t>
  </si>
  <si>
    <t>Age of Applicant</t>
  </si>
  <si>
    <t>Success</t>
  </si>
  <si>
    <t>Proposal</t>
  </si>
  <si>
    <t>Personal</t>
  </si>
  <si>
    <t>Previous</t>
  </si>
  <si>
    <t>Ratings</t>
  </si>
  <si>
    <t>Examples Host</t>
  </si>
  <si>
    <t>Additional Advice?</t>
  </si>
  <si>
    <t>Maya M</t>
  </si>
  <si>
    <t xml:space="preserve">Clinical Psychology </t>
  </si>
  <si>
    <t>First Year Grad</t>
  </si>
  <si>
    <t>Winner!</t>
  </si>
  <si>
    <t>Yes</t>
  </si>
  <si>
    <t>NA</t>
  </si>
  <si>
    <t xml:space="preserve">This website helped me so much. Thank you. I told myself if I won, I would upload here ! Thank you. </t>
  </si>
  <si>
    <t>Martin Torres</t>
  </si>
  <si>
    <t>Civil Engineering</t>
  </si>
  <si>
    <t>Second Year Grad</t>
  </si>
  <si>
    <t>Start early, have a lot of people give feedback, and make sure it's your voice that carries through at the end. Make your story compelling!</t>
  </si>
  <si>
    <t>Vanessa Lau</t>
  </si>
  <si>
    <t>Life Sciences - Ecology</t>
  </si>
  <si>
    <t>No</t>
  </si>
  <si>
    <t>Keenan Ganz</t>
  </si>
  <si>
    <t>Ecology</t>
  </si>
  <si>
    <t>Senior Undergrad</t>
  </si>
  <si>
    <t>Tessa Hoffman</t>
  </si>
  <si>
    <t>Life Sciences - Biochemistry</t>
  </si>
  <si>
    <t>Shelby McCahon</t>
  </si>
  <si>
    <t>Rebecca McCabe</t>
  </si>
  <si>
    <t>Mechanical Engineering</t>
  </si>
  <si>
    <t>Darren Boydston</t>
  </si>
  <si>
    <t>Cell Biology</t>
  </si>
  <si>
    <t>Get as many people in your field as you can to look over your drafts!</t>
  </si>
  <si>
    <t>Hannah Petronek</t>
  </si>
  <si>
    <t>Life Sciences (Plant Pathology)</t>
  </si>
  <si>
    <t>Nicholas Ruiz</t>
  </si>
  <si>
    <t>Psychology - Cognitive Neuroscience</t>
  </si>
  <si>
    <t>Katy Felkner</t>
  </si>
  <si>
    <t>Comp/IS/Eng - Natural Language Processing</t>
  </si>
  <si>
    <t>BUG YOUR RECOMMENDERS EARLY AND OFTEN. I had to withdraw my submission in my first year of grad school because a letter writer missed the deadline. I reminded him a day before, but I didn't check the status on the due date, and he was a few minutes late because he thought the deadline was in local time not EST. Remind your reviewers as much as they need and be careful with timezones!</t>
  </si>
  <si>
    <t>Sarah Payne</t>
  </si>
  <si>
    <t>Linguistics</t>
  </si>
  <si>
    <t>Roberto Peralta</t>
  </si>
  <si>
    <t>Biomedical Engineering</t>
  </si>
  <si>
    <t>My CV at time of application: https://drive.google.com/file/d/1-_JLZI5uN_9zRvI_1AhuXdAn7da9XaF9/view?usp=sharing  Have people from many professions (STEM and non-STEM)/ages/experiences read your material.</t>
  </si>
  <si>
    <t>Anonymous</t>
  </si>
  <si>
    <t>Engineering - Biomedical Engineering</t>
  </si>
  <si>
    <t>Be very explicit in outlining how your experiences fit the NSF profile. Reviewers skim these applications quickly so it's important to be straightforward and clear.</t>
  </si>
  <si>
    <t>Geosciences - Marine Biology</t>
  </si>
  <si>
    <t>Chemical Engineering</t>
  </si>
  <si>
    <t>Katya Leidig</t>
  </si>
  <si>
    <t xml:space="preserve">Physics and Astronomy - Astronomy and Astrophysics	</t>
  </si>
  <si>
    <t>Janet Stefanov</t>
  </si>
  <si>
    <t>Economics</t>
  </si>
  <si>
    <t>Charles Cardot</t>
  </si>
  <si>
    <t>Physics</t>
  </si>
  <si>
    <t>Tanja Kovacevic</t>
  </si>
  <si>
    <t>Geosciences (Other) - Planetary Science of Exoplanet</t>
  </si>
  <si>
    <t>Bryce Palmer</t>
  </si>
  <si>
    <t>Liz Aguilar</t>
  </si>
  <si>
    <t xml:space="preserve">Evolutionary Biology </t>
  </si>
  <si>
    <t>Emily Isko</t>
  </si>
  <si>
    <t>Life Sciences - Neuroscience</t>
  </si>
  <si>
    <t>Have as many people as possible read your essays and give feedback. The more editing and drafts, the better.</t>
  </si>
  <si>
    <t>Molly Griston</t>
  </si>
  <si>
    <t>STEM Education and Learning Research — Science Education</t>
  </si>
  <si>
    <t>Angelo Hawa</t>
  </si>
  <si>
    <t xml:space="preserve">Start early and stay in touch with professors along the way! Literature reviews are a good source to help with the research proposal. </t>
  </si>
  <si>
    <t>Ian Marrs</t>
  </si>
  <si>
    <t>Geosciences - Computationally Intensive Research</t>
  </si>
  <si>
    <t>Remember that the reviewers are people too. Science as an industry can seem cold and unfeeling, but it is run by people with biases and emotions who will respond to your honesty and unique life story. Also, start work early and, if your advisor is willing, communicate with your advisor often to ensure you're on the right track.</t>
  </si>
  <si>
    <t>Cesar Omar Estien</t>
  </si>
  <si>
    <t>Life Sciences - Organismal Biology</t>
  </si>
  <si>
    <t>Riley McGlasson</t>
  </si>
  <si>
    <t>Geosciences - Other (specify) - Planetary Science</t>
  </si>
  <si>
    <t>HM</t>
  </si>
  <si>
    <t>Saul Schaffer</t>
  </si>
  <si>
    <t>Engineering - Mechanical Engineering</t>
  </si>
  <si>
    <t>Margaret Swift</t>
  </si>
  <si>
    <t>Ravyn Malatesta</t>
  </si>
  <si>
    <t>Chemistry - Chemical Structure, Dynamics, and Mechanism</t>
  </si>
  <si>
    <t>Chemistry- Chemistry of Life Sciences</t>
  </si>
  <si>
    <t>Life Sciences - Genomics</t>
  </si>
  <si>
    <t>Madeleine Landrum</t>
  </si>
  <si>
    <t>Kristine Loh</t>
  </si>
  <si>
    <t>Anthony DeSalvo</t>
  </si>
  <si>
    <t>Environmental Engineering</t>
  </si>
  <si>
    <t>Sebastian Vargas</t>
  </si>
  <si>
    <t>Get your essays reviewed by as many people as possible, tell your story with a punch.</t>
  </si>
  <si>
    <t>Steven Bulfer</t>
  </si>
  <si>
    <t>Electrical Engineering</t>
  </si>
  <si>
    <t>Isabel Kain</t>
  </si>
  <si>
    <t>Astronomy and Astrophysics -- Exoplanet Instrumentation</t>
  </si>
  <si>
    <t>Start early, iterate often, and seek feedback from lots of different people (even if you feel like you're being needy). I talked to two subfield experts, two scientists in different fields altogether, and three non-scientists, and their collective feedback helped immeasurably, and all in different ways.</t>
  </si>
  <si>
    <t>Kyle Korman</t>
  </si>
  <si>
    <t>Chemistry - Macromolecular, Supramolecular, and Nanochemistry</t>
  </si>
  <si>
    <t>Explain any dip in undergrad GPA. Explanation goes a long way since GPA is a large factor.</t>
  </si>
  <si>
    <t>Summer Blanco</t>
  </si>
  <si>
    <t>Life Sciences - Plant Biology</t>
  </si>
  <si>
    <t>James Skripchuk</t>
  </si>
  <si>
    <t>STEM Education and Learning Research - Technology Education</t>
  </si>
  <si>
    <t>Don't be afraid to write down stuff about you that may seem silly/cringe. Embrace your uniqueness.</t>
  </si>
  <si>
    <t>William Roser</t>
  </si>
  <si>
    <t>Kevin Greenman</t>
  </si>
  <si>
    <t>Engineering - Computationally Intensive Research</t>
  </si>
  <si>
    <t>Lexie Adams</t>
  </si>
  <si>
    <t>Kalina Eskew</t>
  </si>
  <si>
    <t>Life Sciences - Other: Animal Behavior</t>
  </si>
  <si>
    <t>Katherine Henson</t>
  </si>
  <si>
    <t>Organismal Biology</t>
  </si>
  <si>
    <t>Rachel Sun</t>
  </si>
  <si>
    <t>Daniel Blomdahl</t>
  </si>
  <si>
    <t>Engineering - Environmental Engineering</t>
  </si>
  <si>
    <t>Josh Myers-Dean</t>
  </si>
  <si>
    <t>Computer Science - Computer Vision</t>
  </si>
  <si>
    <t>Grace Zimmerman</t>
  </si>
  <si>
    <t>Aerospace Engineering</t>
  </si>
  <si>
    <t>Jennifer Le</t>
  </si>
  <si>
    <t>Life Sciences - Systems and Molecular Biology</t>
  </si>
  <si>
    <t>Materials Research - Chemistry of Materials</t>
  </si>
  <si>
    <r>
      <rPr>
        <sz val="10"/>
        <rFont val="Arial"/>
        <family val="2"/>
      </rPr>
      <t xml:space="preserve">"The Professor Is In" - a great book for anyone looking at tenure track. The foolproof grant template helped me draft out ideas for NSF. </t>
    </r>
    <r>
      <rPr>
        <u/>
        <sz val="10"/>
        <color rgb="FF1155CC"/>
        <rFont val="Arial"/>
        <family val="2"/>
      </rPr>
      <t>https://theprofessorisin.com/2011/07/05/dr-karens-foolproof-grant-template/</t>
    </r>
  </si>
  <si>
    <t>Justin Yuan</t>
  </si>
  <si>
    <t>Psychology - Social/Affective Neuroscience</t>
  </si>
  <si>
    <t>Lewis Kunik</t>
  </si>
  <si>
    <t>Biogeochemistry</t>
  </si>
  <si>
    <t xml:space="preserve">Emily Fischer </t>
  </si>
  <si>
    <t>Geosciences - Petrology</t>
  </si>
  <si>
    <t>Emily Baltz</t>
  </si>
  <si>
    <t>Life Sciences- Neurosciences</t>
  </si>
  <si>
    <t>Jessica Yin</t>
  </si>
  <si>
    <t>Comp/IS/Eng - Robotics and Computer Vision</t>
  </si>
  <si>
    <t>Thiago Tarraf Varella</t>
  </si>
  <si>
    <t>Nic Fishman</t>
  </si>
  <si>
    <t>Computer Science - Artificial Intelligence</t>
  </si>
  <si>
    <t>Julia (Jules) Fowler</t>
  </si>
  <si>
    <t>Physics and Astronomy - Astronomy and Astrophysics</t>
  </si>
  <si>
    <t xml:space="preserve">Tie every awesome skill you want to showcase to some cool and impactful result for a wider community. </t>
  </si>
  <si>
    <t>Bioengineering</t>
  </si>
  <si>
    <t>Science Education</t>
  </si>
  <si>
    <t>Add in a visual diagram to illustrate a conceptual framework for your study (if applicable)</t>
  </si>
  <si>
    <t>Chemistry - Chemical Theory, Models and Computational Methods</t>
  </si>
  <si>
    <t>Bryan Conry</t>
  </si>
  <si>
    <t>Materials Research - Ceramics</t>
  </si>
  <si>
    <t>Cyrus Tanade</t>
  </si>
  <si>
    <t xml:space="preserve">Biomedical Engineering </t>
  </si>
  <si>
    <t>Hannah Loo</t>
  </si>
  <si>
    <t>Neuroscience</t>
  </si>
  <si>
    <t>Grace Deitzler</t>
  </si>
  <si>
    <t>Life Sciences - Microbiology</t>
  </si>
  <si>
    <t>Revise, revise, and revise again, and get as many people as possible to read your statements.</t>
  </si>
  <si>
    <t>Nicholas Karavolias</t>
  </si>
  <si>
    <t>Life Sciences- Genetics</t>
  </si>
  <si>
    <t xml:space="preserve">Be authentic and honest </t>
  </si>
  <si>
    <t>Jill Ashey</t>
  </si>
  <si>
    <t>Jon Albo</t>
  </si>
  <si>
    <t>Seth Kriz</t>
  </si>
  <si>
    <t>Carla López-Lloreda</t>
  </si>
  <si>
    <t>Geosciences- Biogeochemistry</t>
  </si>
  <si>
    <t>Juan Sebastian Rubio</t>
  </si>
  <si>
    <t>Highlight key sentences to aid the reader, especially those that won't have time to read the entire research proposal/SOP in detail.</t>
  </si>
  <si>
    <t>Lauren Mellenthin</t>
  </si>
  <si>
    <t>Life Sciences: Systematics &amp; Biodiversity</t>
  </si>
  <si>
    <t>Brandon Barker</t>
  </si>
  <si>
    <t>Astronomy and Astrophysics</t>
  </si>
  <si>
    <t>Logan Pearce</t>
  </si>
  <si>
    <t>Astronomy, high-contrast imaging</t>
  </si>
  <si>
    <t>Dara Storer</t>
  </si>
  <si>
    <t>Astrophysics</t>
  </si>
  <si>
    <t>Ava Vargason</t>
  </si>
  <si>
    <t>Focus on *your* contributions to science, discuss interesting/innovative future plans for outreach if you're lacking in broader impacts</t>
  </si>
  <si>
    <t>Hannah Viola</t>
  </si>
  <si>
    <t>Kevin Wyss</t>
  </si>
  <si>
    <t>Chemical Catalysis</t>
  </si>
  <si>
    <t>Noemi Glaeser</t>
  </si>
  <si>
    <t>Computational Science and Engineering</t>
  </si>
  <si>
    <t>Nate Weinman</t>
  </si>
  <si>
    <t>Computer Science - Human Computer Interaction</t>
  </si>
  <si>
    <t>Dave Klinges</t>
  </si>
  <si>
    <t>Haihao Liu</t>
  </si>
  <si>
    <t>Interdisciplinary: Physics - Condensed Matter and Materials Research - Materials Theory</t>
  </si>
  <si>
    <t>Jeffrey Letourneau</t>
  </si>
  <si>
    <t>Life Sciences - Microbial Biology</t>
  </si>
  <si>
    <t>James Howe</t>
  </si>
  <si>
    <t>Samantha Moore</t>
  </si>
  <si>
    <t>Mathematics</t>
  </si>
  <si>
    <t>Carleen McKenna</t>
  </si>
  <si>
    <t>Adina Feinstein</t>
  </si>
  <si>
    <t>Physics &amp; Astronomy</t>
  </si>
  <si>
    <t>Raphael Erik Hviding</t>
  </si>
  <si>
    <t>Kyle David</t>
  </si>
  <si>
    <t>Systematics and Biodiversity</t>
  </si>
  <si>
    <t>Wenzer Qin</t>
  </si>
  <si>
    <t>Theoretical Physics</t>
  </si>
  <si>
    <t>Garrett Anstreicher</t>
  </si>
  <si>
    <t>Kevin Trinh</t>
  </si>
  <si>
    <t>Geophysics</t>
  </si>
  <si>
    <t>Biology</t>
  </si>
  <si>
    <t>Unknown</t>
  </si>
  <si>
    <t>Cientifico Latino</t>
  </si>
  <si>
    <t>Biochemistry</t>
  </si>
  <si>
    <t>Kristen Vogt</t>
  </si>
  <si>
    <t>Chemical Biology</t>
  </si>
  <si>
    <t>Samuel Lensgraf</t>
  </si>
  <si>
    <t>Randall Eck</t>
  </si>
  <si>
    <t>Life Sciences - Neurosciences</t>
  </si>
  <si>
    <t>Multiple rounds of edits with faculty and students</t>
  </si>
  <si>
    <t>Madison McMinn</t>
  </si>
  <si>
    <t>Chemistry - Chemical Biology</t>
  </si>
  <si>
    <t>Feel free to contact me - I wrote this application 100% by myself with only this website to guide me so I'm happy to help anyone that comes from a small university where no one has ever applied before and needs help.</t>
  </si>
  <si>
    <t>Eryn Cangi</t>
  </si>
  <si>
    <t>Alyssa Sinclair</t>
  </si>
  <si>
    <t>Katherine Furman</t>
  </si>
  <si>
    <t>Holly Kundel</t>
  </si>
  <si>
    <t xml:space="preserve">Write as many drafts as you can and get feedback from multiple people. Also, make sure to really explain your broader impacts in your personal statement. For the research proposal, don't worry so much about the cost of your experiment or the overall feasibility, just show that you can think like a scientist. </t>
  </si>
  <si>
    <t>Gwendolyn Paige Watson</t>
  </si>
  <si>
    <t>Industrial-Organizational Psychology</t>
  </si>
  <si>
    <t>Life Sciences</t>
  </si>
  <si>
    <t>Angus Blacklaw Thies</t>
  </si>
  <si>
    <t>Geoscience - Marine Biology</t>
  </si>
  <si>
    <t>Ellis Avallone</t>
  </si>
  <si>
    <t>Ryan Rubenzahl</t>
  </si>
  <si>
    <t>Emmet Francis</t>
  </si>
  <si>
    <t>Sergio Rodriguez Labra</t>
  </si>
  <si>
    <t>Zack Morrow</t>
  </si>
  <si>
    <t>Computational Mathematics</t>
  </si>
  <si>
    <t>Amy Zheng</t>
  </si>
  <si>
    <t>Zeke Piskulich</t>
  </si>
  <si>
    <t>Becca Kiriazes</t>
  </si>
  <si>
    <t>Javier Yu</t>
  </si>
  <si>
    <t>Tara Safavi</t>
  </si>
  <si>
    <t>Computer Science</t>
  </si>
  <si>
    <t>Alvin Wan</t>
  </si>
  <si>
    <t>Alireza Dayerizadeh</t>
  </si>
  <si>
    <t>Engineering (other) - Neural Engineering</t>
  </si>
  <si>
    <t>Emily Mixon</t>
  </si>
  <si>
    <t>Geoscience</t>
  </si>
  <si>
    <t>J. Grace Klinges</t>
  </si>
  <si>
    <t>Interdisciplinary: Life Sciences - Microbial Biology and Life Sciences - Bioinformatics and Computational Biology</t>
  </si>
  <si>
    <t>Acacia Ackles</t>
  </si>
  <si>
    <t>Life Sciences - Evolutionary Biology</t>
  </si>
  <si>
    <t>Mark Feuer DiTusa</t>
  </si>
  <si>
    <t>Materials Research - Polymers</t>
  </si>
  <si>
    <t>Walker Gosrich</t>
  </si>
  <si>
    <t>Bryon Spells</t>
  </si>
  <si>
    <t>Mikayla Molnar</t>
  </si>
  <si>
    <t>Nuclear Engineering</t>
  </si>
  <si>
    <t>Katherine Lazenby</t>
  </si>
  <si>
    <t>STEM Education and Learning Research - Chemistry</t>
  </si>
  <si>
    <t>Taylor Alexandra Hutchison</t>
  </si>
  <si>
    <t>Taylor Hutchison</t>
  </si>
  <si>
    <t>Astrophysics/Astronomy</t>
  </si>
  <si>
    <t>T.J. Clark</t>
  </si>
  <si>
    <t>Orion McCarthy</t>
  </si>
  <si>
    <t>Taylor A Hutchison</t>
  </si>
  <si>
    <t>Sarah Blunt</t>
  </si>
  <si>
    <t>Brittany Jack</t>
  </si>
  <si>
    <t xml:space="preserve">Luis Nieves </t>
  </si>
  <si>
    <t>Steven Sartor</t>
  </si>
  <si>
    <t>Chemistry - Environmental/Atmospheric Sciences</t>
  </si>
  <si>
    <t>Gualberto Guzman</t>
  </si>
  <si>
    <t>Alex Matlock</t>
  </si>
  <si>
    <t>Krystal Vasquez</t>
  </si>
  <si>
    <t>Geoscience - Atmospheric Chemistry</t>
  </si>
  <si>
    <t>Karin Lehnigk</t>
  </si>
  <si>
    <t>Geoscience: geomorphology</t>
  </si>
  <si>
    <t>Elissa M. Redmiles</t>
  </si>
  <si>
    <t>Interdisciplinary: CS and sociology</t>
  </si>
  <si>
    <t>Mike Gloudemans</t>
  </si>
  <si>
    <t>Life Sciences - Biology</t>
  </si>
  <si>
    <t>Dylan Dahan</t>
  </si>
  <si>
    <t>Life Sciences - Microbiology &amp; Bioinformartics</t>
  </si>
  <si>
    <t>Lillian Horin</t>
  </si>
  <si>
    <t>Life Sciences - Physiology</t>
  </si>
  <si>
    <t>Jonathan Gerhard</t>
  </si>
  <si>
    <t>Mathematical Sciences - Algebra, Number Theory, and Combinatorics</t>
  </si>
  <si>
    <t>Julian Wolf</t>
  </si>
  <si>
    <t>Physics - Atomic, Molecular, and Optical Physics</t>
  </si>
  <si>
    <t>Catherine Alves</t>
  </si>
  <si>
    <t>Social Sciences - Science Policy</t>
  </si>
  <si>
    <t>Carlos Sandoval</t>
  </si>
  <si>
    <t>STEM Education and Learning</t>
  </si>
  <si>
    <t>Sustainable Chemistry</t>
  </si>
  <si>
    <t>Jordann Brandner</t>
  </si>
  <si>
    <t>Cognitive Psychology</t>
  </si>
  <si>
    <t>Microbiology</t>
  </si>
  <si>
    <t>Physiology</t>
  </si>
  <si>
    <t>Social Sciences</t>
  </si>
  <si>
    <t>Arun Durvasula</t>
  </si>
  <si>
    <t>Evolution / Genomics</t>
  </si>
  <si>
    <t>Yaniv Brandvain</t>
  </si>
  <si>
    <t>Shanta Hejmadi</t>
  </si>
  <si>
    <t>Ecology/Evolution/Behavior</t>
  </si>
  <si>
    <t>Hannah Johlas</t>
  </si>
  <si>
    <t>Carl Fields</t>
  </si>
  <si>
    <t>Olivia Harper Wilkins</t>
  </si>
  <si>
    <t>Chemistry - Astrochemistry</t>
  </si>
  <si>
    <t>Alexandra Brumberg</t>
  </si>
  <si>
    <t>Jeremy Tran</t>
  </si>
  <si>
    <t>Chemistry - Chemical Synthesis</t>
  </si>
  <si>
    <t>Maxwell Elliott</t>
  </si>
  <si>
    <t>Clinical Psychology</t>
  </si>
  <si>
    <t>Kristen Garcia</t>
  </si>
  <si>
    <t>Katharine Greco</t>
  </si>
  <si>
    <t>Engineering- Chemical</t>
  </si>
  <si>
    <t>Clarice Perryman</t>
  </si>
  <si>
    <t>Geosciences - Biogeochemistry</t>
  </si>
  <si>
    <t>Christian Cazares</t>
  </si>
  <si>
    <t>Physics (Cosmology)</t>
  </si>
  <si>
    <t>Tommy Schuster</t>
  </si>
  <si>
    <t>Physics &amp; Astronomy - Condensed Matter Physics</t>
  </si>
  <si>
    <t>Stephanie Cardenas</t>
  </si>
  <si>
    <t>Psychology</t>
  </si>
  <si>
    <t>Aditya Dhumuntarao</t>
  </si>
  <si>
    <t>Beltran</t>
  </si>
  <si>
    <t>Tina Del Carpio</t>
  </si>
  <si>
    <t>Genetics</t>
  </si>
  <si>
    <t>Kevin Bird</t>
  </si>
  <si>
    <t>Quantitative genomics / systems biology</t>
  </si>
  <si>
    <t>Kari Norman</t>
  </si>
  <si>
    <t>Macroecology</t>
  </si>
  <si>
    <t>Milo Johnson</t>
  </si>
  <si>
    <t>Sarah Tashjian</t>
  </si>
  <si>
    <t>George Pantelopulos</t>
  </si>
  <si>
    <t>Dan Andersen</t>
  </si>
  <si>
    <t>Comp/IS/Eng - Graphics and Visualization</t>
  </si>
  <si>
    <t>Ashley Farris</t>
  </si>
  <si>
    <t>Engineering - Biomedical</t>
  </si>
  <si>
    <t>Keegan Moore</t>
  </si>
  <si>
    <t>Engineering - Mechanical</t>
  </si>
  <si>
    <t>Grad</t>
  </si>
  <si>
    <t>Matheus Fernandes</t>
  </si>
  <si>
    <t>Geosciences - Glaciology</t>
  </si>
  <si>
    <t>Kaitlyn Lowder</t>
  </si>
  <si>
    <t>Castle Williams</t>
  </si>
  <si>
    <t>Interdisciplinary: Meteorology, Communication, and Psychology</t>
  </si>
  <si>
    <t>Caitlin McDonough</t>
  </si>
  <si>
    <t>Life Science - Evolutionary Biology</t>
  </si>
  <si>
    <t>Mason Garrison</t>
  </si>
  <si>
    <t>Psychology - Personality and Individual Differences</t>
  </si>
  <si>
    <t>Alex Mariakakis</t>
  </si>
  <si>
    <t>Chemistry</t>
  </si>
  <si>
    <t>Jazlyn Mooney</t>
  </si>
  <si>
    <t>Biological Anthropology</t>
  </si>
  <si>
    <t>Andy Magee</t>
  </si>
  <si>
    <t>Ecology/Evolution</t>
  </si>
  <si>
    <t>Mitchel Evans</t>
  </si>
  <si>
    <t>Infectious disease</t>
  </si>
  <si>
    <t>Kevin Burgio</t>
  </si>
  <si>
    <t>Brenda Yang</t>
  </si>
  <si>
    <t>Engineering - Chemical</t>
  </si>
  <si>
    <t>Alex Bruce</t>
  </si>
  <si>
    <t>Engineering - Materials Engineering</t>
  </si>
  <si>
    <t>Mallory Ladd</t>
  </si>
  <si>
    <t>Bethany Kolody</t>
  </si>
  <si>
    <t>Geosciences - Marine biology</t>
  </si>
  <si>
    <t>Ashley Richards</t>
  </si>
  <si>
    <t>Katie Wedemeyer-Strombel</t>
  </si>
  <si>
    <t>Life Sciences - other (specify) - Evolutionary Ecology</t>
  </si>
  <si>
    <t>Ashley Villar</t>
  </si>
  <si>
    <t>Tom Iadecola</t>
  </si>
  <si>
    <t>Physics and Astronomy - Condensed Matter Physics</t>
  </si>
  <si>
    <t>Bioinformatics</t>
  </si>
  <si>
    <t>Lotus Lofgren</t>
  </si>
  <si>
    <t>Symbiosis</t>
  </si>
  <si>
    <t>Vince Buffalo</t>
  </si>
  <si>
    <t>Evolutionary genomics, Theory, Bioinformatics</t>
  </si>
  <si>
    <t>Erika Mesh</t>
  </si>
  <si>
    <t>Comp/IS/Eng - Software Systems and Software Engineering</t>
  </si>
  <si>
    <t>Jean Fan</t>
  </si>
  <si>
    <t>Engineering - Environmental / Biology / Public Policy</t>
  </si>
  <si>
    <t>Many</t>
  </si>
  <si>
    <t>Interdisciplinary (50% Chemistry, 50% Geosciences)</t>
  </si>
  <si>
    <t>Life Sciences - Biophysics</t>
  </si>
  <si>
    <t>Ryan Makinson</t>
  </si>
  <si>
    <t>Kristin Lee</t>
  </si>
  <si>
    <t>Evolutionary genomics, Theory</t>
  </si>
  <si>
    <t xml:space="preserve">No </t>
  </si>
  <si>
    <t>Noah Gettle</t>
  </si>
  <si>
    <t>Evolutionary Biology</t>
  </si>
  <si>
    <t>Danielle Drabeck</t>
  </si>
  <si>
    <t>Shan Kothari</t>
  </si>
  <si>
    <t>Gaurav Kandlikar</t>
  </si>
  <si>
    <t>Adam Hehr</t>
  </si>
  <si>
    <t>Louis Tse</t>
  </si>
  <si>
    <t>Reid Berdanier</t>
  </si>
  <si>
    <t>Danny Bowman</t>
  </si>
  <si>
    <t>Geosciences - Geophysics</t>
  </si>
  <si>
    <t>Ali Bramson</t>
  </si>
  <si>
    <t>Geosciences - Planetary Science</t>
  </si>
  <si>
    <t>Lorien Hayden</t>
  </si>
  <si>
    <t>Physics and Astronomy - Theoretical Physics</t>
  </si>
  <si>
    <t>Danica Slavish</t>
  </si>
  <si>
    <t>Physiological Psychology</t>
  </si>
  <si>
    <t>Leland Werden</t>
  </si>
  <si>
    <t>Restoration Ecology, Plant Ecophysiology</t>
  </si>
  <si>
    <t>Chemistry - Materials</t>
  </si>
  <si>
    <t>Stephanie Naufel</t>
  </si>
  <si>
    <t>Engineering - Bioengineering</t>
  </si>
  <si>
    <t>Emily Smith</t>
  </si>
  <si>
    <t>DJ Strouse</t>
  </si>
  <si>
    <t>Juliet Davidow</t>
  </si>
  <si>
    <t>Adam Clark</t>
  </si>
  <si>
    <t>Kevin Karsch</t>
  </si>
  <si>
    <t>Andrew Schriner</t>
  </si>
  <si>
    <t>Engineering - Environmental</t>
  </si>
  <si>
    <t>Adrian Radocea</t>
  </si>
  <si>
    <t>Engineering - Materials</t>
  </si>
  <si>
    <t>Katherine Aull</t>
  </si>
  <si>
    <t>Life Sciences - Computational Biology</t>
  </si>
  <si>
    <t>Kyle Niemeyer</t>
  </si>
  <si>
    <t>Alex Lang</t>
  </si>
  <si>
    <t>Physics and Astronomy - other (specify) - Quantum Information Science</t>
  </si>
  <si>
    <t>Josh Cannon</t>
  </si>
  <si>
    <t>Social Science - Archaeology</t>
  </si>
  <si>
    <t>Environmental Sciences</t>
  </si>
  <si>
    <t>Rachel C Smith</t>
  </si>
  <si>
    <t>Hannah Salim</t>
  </si>
  <si>
    <t>Matt Scott</t>
  </si>
  <si>
    <t>Life Sciences - Ecosystem Ecology</t>
  </si>
  <si>
    <t>Stefani Crabtree</t>
  </si>
  <si>
    <t>Social Sciences - Archaeology</t>
  </si>
  <si>
    <t>Benjamin Caldwell</t>
  </si>
  <si>
    <t>Life Sciences - Forestry</t>
  </si>
  <si>
    <t>Christopher Gurney</t>
  </si>
  <si>
    <t>Life Sciences - other (specify) - Range Management</t>
  </si>
  <si>
    <t>Emily Josephs</t>
  </si>
  <si>
    <t>Evolutionary genetics</t>
  </si>
  <si>
    <t>Ciera Martinez</t>
  </si>
  <si>
    <t>Development, physiology</t>
  </si>
  <si>
    <t>Tim Weninger</t>
  </si>
  <si>
    <t>Comp/IS/Eng - Artificial Intelligence</t>
  </si>
  <si>
    <t>Teresa Lee</t>
  </si>
  <si>
    <t>Life Sciences - Molecular Biology</t>
  </si>
  <si>
    <t>Knapp, Freyja</t>
  </si>
  <si>
    <t>Life Sciences - Environmental Sciences</t>
  </si>
  <si>
    <t>Cody Markelz</t>
  </si>
  <si>
    <t>Jean Yang</t>
  </si>
  <si>
    <t>Comp/IS/Eng - Computer Science - Languages and Systems</t>
  </si>
  <si>
    <t>Daniela Goltsman</t>
  </si>
  <si>
    <t>Rachel Smith</t>
  </si>
  <si>
    <t>Sam Scarpino</t>
  </si>
  <si>
    <t>Nancy Chen</t>
  </si>
  <si>
    <t>Theodore Grantham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</si>
</sst>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0"/>
      <color rgb="FF000000"/>
      <name val="Arial"/>
    </font>
    <font>
      <b/>
      <sz val="10"/>
      <name val="Arial"/>
      <family val="2"/>
    </font>
    <font>
      <sz val="10"/>
      <name val="Arial"/>
      <family val="2"/>
    </font>
    <font>
      <u/>
      <sz val="10"/>
      <color rgb="FF1155CC"/>
      <name val="Arial"/>
      <family val="2"/>
    </font>
    <font>
      <u/>
      <sz val="10"/>
      <color rgb="FF1155CC"/>
      <name val="Arial"/>
      <family val="2"/>
    </font>
    <font>
      <sz val="10"/>
      <name val="Arial"/>
      <family val="2"/>
    </font>
    <font>
      <u/>
      <sz val="10"/>
      <color rgb="FF1155CC"/>
      <name val="Arial"/>
      <family val="2"/>
    </font>
    <font>
      <u/>
      <sz val="10"/>
      <color rgb="FF1155CC"/>
      <name val="Arial"/>
      <family val="2"/>
    </font>
    <font>
      <sz val="10"/>
      <name val="Arial"/>
      <family val="2"/>
    </font>
    <font>
      <u/>
      <sz val="10"/>
      <color rgb="FF1155CC"/>
      <name val="Arial"/>
      <family val="2"/>
    </font>
    <font>
      <u/>
      <sz val="10"/>
      <color rgb="FF1155CC"/>
      <name val="Arial"/>
      <family val="2"/>
    </font>
    <font>
      <sz val="10"/>
      <color rgb="FF000000"/>
      <name val="Arial"/>
      <family val="2"/>
    </font>
    <font>
      <u/>
      <sz val="10"/>
      <color rgb="FF1155CC"/>
      <name val="Arial"/>
      <family val="2"/>
    </font>
    <font>
      <u/>
      <sz val="10"/>
      <color rgb="FF1155CC"/>
      <name val="Arial"/>
      <family val="2"/>
    </font>
    <font>
      <u/>
      <sz val="10"/>
      <color rgb="FF0000FF"/>
      <name val="Arial"/>
      <family val="2"/>
    </font>
    <font>
      <u/>
      <sz val="10"/>
      <color rgb="FF1155CC"/>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u/>
      <sz val="10"/>
      <color rgb="FF0000FF"/>
      <name val="Arial"/>
      <family val="2"/>
    </font>
    <font>
      <u/>
      <sz val="10"/>
      <color rgb="FF1155CC"/>
      <name val="Arial"/>
      <family val="2"/>
    </font>
    <font>
      <u/>
      <sz val="10"/>
      <color rgb="FF0000FF"/>
      <name val="Arial"/>
      <family val="2"/>
    </font>
    <font>
      <u/>
      <sz val="10"/>
      <color rgb="FF0000FF"/>
      <name val="Arial"/>
      <family val="2"/>
    </font>
    <font>
      <u/>
      <sz val="10"/>
      <color rgb="FF1155CC"/>
      <name val="Arial"/>
      <family val="2"/>
    </font>
    <font>
      <u/>
      <sz val="10"/>
      <color rgb="FF0000FF"/>
      <name val="Arial"/>
      <family val="2"/>
    </font>
    <font>
      <u/>
      <sz val="10"/>
      <color rgb="FF0000FF"/>
      <name val="Arial"/>
      <family val="2"/>
    </font>
    <font>
      <u/>
      <sz val="10"/>
      <color rgb="FF0000FF"/>
      <name val="Arial"/>
      <family val="2"/>
    </font>
    <font>
      <u/>
      <sz val="10"/>
      <color rgb="FF1155CC"/>
      <name val="Arial"/>
      <family val="2"/>
    </font>
    <font>
      <u/>
      <sz val="10"/>
      <color rgb="FF0000FF"/>
      <name val="Arial"/>
      <family val="2"/>
    </font>
    <font>
      <sz val="10"/>
      <color rgb="FF222222"/>
      <name val="Arial"/>
      <family val="2"/>
    </font>
    <font>
      <u/>
      <sz val="10"/>
      <color rgb="FF0000FF"/>
      <name val="Arial"/>
      <family val="2"/>
    </font>
    <font>
      <u/>
      <sz val="10"/>
      <color rgb="FF0000FF"/>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44">
    <xf numFmtId="0" fontId="0" fillId="0" borderId="0" xfId="0"/>
    <xf numFmtId="0" fontId="1" fillId="0" borderId="0" xfId="0" applyFont="1" applyAlignment="1">
      <alignment horizontal="left"/>
    </xf>
    <xf numFmtId="0" fontId="2" fillId="0" borderId="0" xfId="0" applyFont="1"/>
    <xf numFmtId="0" fontId="2" fillId="0" borderId="0" xfId="0" applyFont="1" applyAlignment="1">
      <alignment horizontal="left"/>
    </xf>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applyAlignment="1">
      <alignment horizontal="left"/>
    </xf>
    <xf numFmtId="0" fontId="5" fillId="0" borderId="0" xfId="0" applyFont="1" applyAlignment="1">
      <alignment horizontal="left"/>
    </xf>
    <xf numFmtId="0" fontId="9" fillId="0" borderId="0" xfId="0" applyFont="1"/>
    <xf numFmtId="0" fontId="10" fillId="0" borderId="0" xfId="0" applyFont="1"/>
    <xf numFmtId="0" fontId="8" fillId="0" borderId="0" xfId="0" applyFont="1" applyAlignment="1">
      <alignment horizontal="left" vertical="top"/>
    </xf>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8"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applyAlignment="1">
      <alignment horizontal="left"/>
    </xf>
    <xf numFmtId="0" fontId="22" fillId="0" borderId="0" xfId="0" applyFont="1"/>
    <xf numFmtId="0" fontId="23" fillId="0" borderId="0" xfId="0" applyFont="1"/>
    <xf numFmtId="0" fontId="24" fillId="0" borderId="0" xfId="0" applyFont="1"/>
    <xf numFmtId="0" fontId="25" fillId="2" borderId="0" xfId="0" applyFont="1" applyFill="1"/>
    <xf numFmtId="0" fontId="26" fillId="0" borderId="0" xfId="0" applyFont="1" applyAlignment="1">
      <alignment horizontal="left"/>
    </xf>
    <xf numFmtId="0" fontId="27" fillId="0" borderId="0" xfId="0" applyFont="1" applyAlignment="1">
      <alignment horizontal="left"/>
    </xf>
    <xf numFmtId="0" fontId="28" fillId="0" borderId="0" xfId="0" applyFont="1"/>
    <xf numFmtId="0" fontId="29" fillId="0" borderId="0" xfId="0" applyFont="1" applyAlignment="1">
      <alignment horizontal="left"/>
    </xf>
    <xf numFmtId="0" fontId="30" fillId="0" borderId="0" xfId="0" applyFont="1"/>
    <xf numFmtId="0" fontId="31" fillId="0" borderId="0" xfId="0" applyFont="1" applyAlignment="1">
      <alignment horizontal="left"/>
    </xf>
    <xf numFmtId="0" fontId="32" fillId="0" borderId="0" xfId="0" applyFont="1"/>
    <xf numFmtId="0" fontId="33" fillId="0" borderId="0" xfId="0" applyFont="1"/>
    <xf numFmtId="0" fontId="34" fillId="2" borderId="0" xfId="0" applyFont="1" applyFill="1" applyAlignment="1">
      <alignment horizontal="left"/>
    </xf>
    <xf numFmtId="0" fontId="35" fillId="0" borderId="0" xfId="0" applyFont="1" applyAlignment="1">
      <alignment horizontal="left"/>
    </xf>
    <xf numFmtId="0" fontId="8" fillId="2" borderId="0" xfId="0" applyFont="1" applyFill="1" applyAlignment="1">
      <alignment horizontal="left"/>
    </xf>
    <xf numFmtId="0" fontId="34" fillId="2" borderId="0" xfId="0" applyFont="1" applyFill="1" applyAlignment="1">
      <alignment horizontal="left" vertical="top"/>
    </xf>
    <xf numFmtId="0" fontId="36" fillId="2" borderId="0" xfId="0" applyFont="1" applyFill="1" applyAlignment="1">
      <alignment horizontal="left"/>
    </xf>
    <xf numFmtId="0" fontId="1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file/d/12L3eEu6qUh1cSeJLPzs6ns79Bg8m571g/view?usp=sharing" TargetMode="External"/><Relationship Id="rId299" Type="http://schemas.openxmlformats.org/officeDocument/2006/relationships/hyperlink" Target="https://www.google.com/url?q=https://github.com/ybrandvain/GRFP/raw/master/Arun_Durvasula_Personal_Statement_2018.pdf&amp;sa=D&amp;source=editors&amp;ust=1631911041014000&amp;usg=AOvVaw31sI3W0hhKP-If0xRZQymq" TargetMode="External"/><Relationship Id="rId21" Type="http://schemas.openxmlformats.org/officeDocument/2006/relationships/hyperlink" Target="https://drive.google.com/file/d/1IdRfbLTa75ZmT-NtTMq-Y5Aw-t5ck85T/view?usp=sharing" TargetMode="External"/><Relationship Id="rId63" Type="http://schemas.openxmlformats.org/officeDocument/2006/relationships/hyperlink" Target="https://drive.google.com/file/d/1nJ2bhRhIGT_fQjnmUmUfZmulAHFFR4yh/view?usp=sharing" TargetMode="External"/><Relationship Id="rId159" Type="http://schemas.openxmlformats.org/officeDocument/2006/relationships/hyperlink" Target="https://emilybaltz.files.wordpress.com/2020/04/etb-grfp-personal-statement.pdf" TargetMode="External"/><Relationship Id="rId324" Type="http://schemas.openxmlformats.org/officeDocument/2006/relationships/hyperlink" Target="https://drive.google.com/file/d/1m6t8bvFBygKJF1w1S4MM2uy4tcqAfmih/view?usp=sharing" TargetMode="External"/><Relationship Id="rId366" Type="http://schemas.openxmlformats.org/officeDocument/2006/relationships/hyperlink" Target="https://b83bf412-fbd3-4487-852d-9a66499bab1a.filesusr.com/ugd/3b4676_36d69ea1c1b047878654dc84c903a3aa.pdf" TargetMode="External"/><Relationship Id="rId170" Type="http://schemas.openxmlformats.org/officeDocument/2006/relationships/hyperlink" Target="https://njw.fish/static/posts/nsf_grfp/personal_statement.pdf" TargetMode="External"/><Relationship Id="rId226" Type="http://schemas.openxmlformats.org/officeDocument/2006/relationships/hyperlink" Target="https://drive.google.com/file/d/1BBwWb688rFLsxvFWSr24u0CSbySiqlmG/view?usp=sharing" TargetMode="External"/><Relationship Id="rId433" Type="http://schemas.openxmlformats.org/officeDocument/2006/relationships/hyperlink" Target="http://www.rachelcsmith.com/NSF/Causes%20and%20Consequences%20of%20Biocomplexity%20Personal%20Statement.pdf" TargetMode="External"/><Relationship Id="rId268" Type="http://schemas.openxmlformats.org/officeDocument/2006/relationships/hyperlink" Target="https://drive.google.com/file/d/1oGeDAm01h6RTvRlug9Aj-C56XcPudgJl/view" TargetMode="External"/><Relationship Id="rId475" Type="http://schemas.openxmlformats.org/officeDocument/2006/relationships/hyperlink" Target="http://rachelcsmith.com/academics/nsf.htm" TargetMode="External"/><Relationship Id="rId32" Type="http://schemas.openxmlformats.org/officeDocument/2006/relationships/hyperlink" Target="https://drive.google.com/file/d/1Z4Zub2U6Yn4fvvTWc9JIhw2y4K2rwCXn/view?usp=sharing" TargetMode="External"/><Relationship Id="rId74" Type="http://schemas.openxmlformats.org/officeDocument/2006/relationships/hyperlink" Target="http://www.cesaroestien.com/" TargetMode="External"/><Relationship Id="rId128" Type="http://schemas.openxmlformats.org/officeDocument/2006/relationships/hyperlink" Target="https://drive.google.com/file/d/142cUdmaH-lcoedLDZB96s8g7_bTB0f14/view?usp=sharing" TargetMode="External"/><Relationship Id="rId335" Type="http://schemas.openxmlformats.org/officeDocument/2006/relationships/hyperlink" Target="https://b83bf412-fbd3-4487-852d-9a66499bab1a.filesusr.com/ugd/24b4aa_4e3937e6d0d841b1bf280f7e356648cd.pdf" TargetMode="External"/><Relationship Id="rId377" Type="http://schemas.openxmlformats.org/officeDocument/2006/relationships/hyperlink" Target="https://www.google.com/url?q=https://github.com/ybrandvain/GRFP/raw/master/Lofgren_ResearchStatement_2014.pdf&amp;sa=D&amp;source=editors&amp;ust=1631911041012000&amp;usg=AOvVaw1E2ejOgLNCnI3xKztTJZzM" TargetMode="External"/><Relationship Id="rId5" Type="http://schemas.openxmlformats.org/officeDocument/2006/relationships/hyperlink" Target="https://drive.google.com/file/d/1rqyi_MtM6y-CCLRx-JWqE60JyjnQC2dU/view?usp=sharing" TargetMode="External"/><Relationship Id="rId181" Type="http://schemas.openxmlformats.org/officeDocument/2006/relationships/hyperlink" Target="http://v/" TargetMode="External"/><Relationship Id="rId237" Type="http://schemas.openxmlformats.org/officeDocument/2006/relationships/hyperlink" Target="https://drive.google.com/file/d/13J_2BWOiAQdViikYioA4Rw8XzHgzl_PW/view?usp=sharing" TargetMode="External"/><Relationship Id="rId402" Type="http://schemas.openxmlformats.org/officeDocument/2006/relationships/hyperlink" Target="https://www.google.com/url?q=https://github.com/ybrandvain/GRFP/raw/master/Werden_GRFP_Proposed_Research_Final2012.pdf&amp;sa=D&amp;source=editors&amp;ust=1631911041011000&amp;usg=AOvVaw0ePfWnW6UoLK50Fpe3ng6d" TargetMode="External"/><Relationship Id="rId279" Type="http://schemas.openxmlformats.org/officeDocument/2006/relationships/hyperlink" Target="https://drive.google.com/file/d/1fqSeiAVSj0NMqtqBBp1gIxGO9MsyTRNk/view?usp=sharing" TargetMode="External"/><Relationship Id="rId444" Type="http://schemas.openxmlformats.org/officeDocument/2006/relationships/hyperlink" Target="http://rachelcsmith.com/academics/nsf.htm" TargetMode="External"/><Relationship Id="rId43" Type="http://schemas.openxmlformats.org/officeDocument/2006/relationships/hyperlink" Target="https://drive.google.com/file/d/1ZcaBs2nMj8loIUzGDeU-ffVT3G0Kd5FJ/view?usp=sharing" TargetMode="External"/><Relationship Id="rId139" Type="http://schemas.openxmlformats.org/officeDocument/2006/relationships/hyperlink" Target="https://joshmyersdean.github.io/grfp/" TargetMode="External"/><Relationship Id="rId290" Type="http://schemas.openxmlformats.org/officeDocument/2006/relationships/hyperlink" Target="https://b83bf412-fbd3-4487-852d-9a66499bab1a.filesusr.com/ugd/24b4aa_b0990b3a6bb844e9ae113238ee6f5594.pdf" TargetMode="External"/><Relationship Id="rId304" Type="http://schemas.openxmlformats.org/officeDocument/2006/relationships/hyperlink" Target="https://www.google.com/url?q=https://github.com/ybrandvain/GRFP/raw/master/Hejmadi_NSF_reviews.pdf&amp;sa=D&amp;source=editors&amp;ust=1631911041014000&amp;usg=AOvVaw1Rl7QP6GPCKF0Jqgy8PBkU" TargetMode="External"/><Relationship Id="rId346" Type="http://schemas.openxmlformats.org/officeDocument/2006/relationships/hyperlink" Target="https://roxannebeltran.weebly.com/blog---nsf-grfp.html" TargetMode="External"/><Relationship Id="rId388" Type="http://schemas.openxmlformats.org/officeDocument/2006/relationships/hyperlink" Target="https://github.com/ybrandvain/GRFP" TargetMode="External"/><Relationship Id="rId85" Type="http://schemas.openxmlformats.org/officeDocument/2006/relationships/hyperlink" Target="https://drive.google.com/file/d/1TiVQgn3Mv1wDnJa6LWZ1QCNxoUdJPG4M/view?usp=sharing" TargetMode="External"/><Relationship Id="rId150" Type="http://schemas.openxmlformats.org/officeDocument/2006/relationships/hyperlink" Target="https://drive.google.com/file/d/1CyL9x6cUPG6jpWOKoH-_deI0SZa0Vt3o/view?usp=sharing" TargetMode="External"/><Relationship Id="rId192" Type="http://schemas.openxmlformats.org/officeDocument/2006/relationships/hyperlink" Target="https://drive.google.com/file/d/1G6aozPlNgHwx7H0G_6m_BU3ClQOvd76m/view?usp=sharing" TargetMode="External"/><Relationship Id="rId206" Type="http://schemas.openxmlformats.org/officeDocument/2006/relationships/hyperlink" Target="https://drive.google.com/file/d/1Qxxzf3tXyW63pjkSCyuABC74n-m8GbBu/view?usp=sharing" TargetMode="External"/><Relationship Id="rId413" Type="http://schemas.openxmlformats.org/officeDocument/2006/relationships/hyperlink" Target="http://rachelcsmith.com/NSF/DisturbanceRating.pdf" TargetMode="External"/><Relationship Id="rId248" Type="http://schemas.openxmlformats.org/officeDocument/2006/relationships/hyperlink" Target="https://drive.google.com/file/d/12FsHyovhuCCgVnaD5C5XwgUW_FEE9FrA/view?usp=sharing" TargetMode="External"/><Relationship Id="rId455" Type="http://schemas.openxmlformats.org/officeDocument/2006/relationships/hyperlink" Target="https://www.google.com/url?q=https://github.com/ybrandvain/GRFP/raw/master/rjcmarkelz_GRFP_2009_Reviews.pdf&amp;sa=D&amp;source=editors&amp;ust=1631911041011000&amp;usg=AOvVaw2lcEeqpPrA5K4zUfvQU_r7" TargetMode="External"/><Relationship Id="rId12" Type="http://schemas.openxmlformats.org/officeDocument/2006/relationships/hyperlink" Target="https://drive.google.com/file/d/1hcPaawXKnso2gsrXJlmfTh93nL6anb5S/view?usp=sharing" TargetMode="External"/><Relationship Id="rId108" Type="http://schemas.openxmlformats.org/officeDocument/2006/relationships/hyperlink" Target="https://drive.google.com/file/d/1AFjiDlRw16kmG0HZGBR_S1gxBc5xZ4mm/view?usp=sharing" TargetMode="External"/><Relationship Id="rId315" Type="http://schemas.openxmlformats.org/officeDocument/2006/relationships/hyperlink" Target="https://github.com/ybrandvain/GRFP" TargetMode="External"/><Relationship Id="rId357" Type="http://schemas.openxmlformats.org/officeDocument/2006/relationships/hyperlink" Target="https://www.google.com/url?q=https://github.com/ybrandvain/GRFP/raw/master/BurgioStatement.pdf&amp;sa=D&amp;source=editors&amp;ust=1631911041013000&amp;usg=AOvVaw39BCAaqM5bkAfs50Zf-1hF" TargetMode="External"/><Relationship Id="rId54" Type="http://schemas.openxmlformats.org/officeDocument/2006/relationships/hyperlink" Target="https://drive.google.com/file/d/1WLzPfrGbjKrQWtl7nW9pgpaCJ_pbmp_H/view?usp=sharing" TargetMode="External"/><Relationship Id="rId96" Type="http://schemas.openxmlformats.org/officeDocument/2006/relationships/hyperlink" Target="https://drive.google.com/file/d/1BJ0P4SJDolbcBJnZ8lScO9Fm-ZhAztEl/view?usp=sharing" TargetMode="External"/><Relationship Id="rId161" Type="http://schemas.openxmlformats.org/officeDocument/2006/relationships/hyperlink" Target="https://drive.google.com/file/d/1choG87xv0rrNjgO97jmCq1OIByqDgpI5/view?usp=sharing" TargetMode="External"/><Relationship Id="rId217" Type="http://schemas.openxmlformats.org/officeDocument/2006/relationships/hyperlink" Target="https://drive.google.com/file/d/1egTWPobRUvP83PpFmPmj8aBzg2vjxdky/view?usp=sharing" TargetMode="External"/><Relationship Id="rId399" Type="http://schemas.openxmlformats.org/officeDocument/2006/relationships/hyperlink" Target="https://drive.google.com/file/d/1f9BDIVZX_cOivelpNEXSS4gpnrk6FJ0O/view?usp=sharing" TargetMode="External"/><Relationship Id="rId259" Type="http://schemas.openxmlformats.org/officeDocument/2006/relationships/hyperlink" Target="https://drive.google.com/file/d/1BfwbrdgoI6vXxgZowMqd2AuRfn0yD1Ty/view?usp=sharing" TargetMode="External"/><Relationship Id="rId424" Type="http://schemas.openxmlformats.org/officeDocument/2006/relationships/hyperlink" Target="http://www.rachelcsmith.com/NSF/ArchaeologyPersonalStatement.pdf" TargetMode="External"/><Relationship Id="rId466" Type="http://schemas.openxmlformats.org/officeDocument/2006/relationships/hyperlink" Target="http://www.rachelcsmith.com/NSF/SmithPreviousRE.pdf" TargetMode="External"/><Relationship Id="rId23" Type="http://schemas.openxmlformats.org/officeDocument/2006/relationships/hyperlink" Target="https://drive.google.com/file/d/1m2LkO7QJ3AMH9IodHqmfOtE1ANhxJ1ml/view?usp=sharing" TargetMode="External"/><Relationship Id="rId119" Type="http://schemas.openxmlformats.org/officeDocument/2006/relationships/hyperlink" Target="https://drive.google.com/file/d/1UOXa94gBVagXLM3bwwW7tnbC6jnvmhj6/view?usp=sharing" TargetMode="External"/><Relationship Id="rId270" Type="http://schemas.openxmlformats.org/officeDocument/2006/relationships/hyperlink" Target="https://b83bf412-fbd3-4487-852d-9a66499bab1a.filesusr.com/ugd/17abb3_0b173f6007ed4adaba3b963d184e277b.pdf" TargetMode="External"/><Relationship Id="rId326" Type="http://schemas.openxmlformats.org/officeDocument/2006/relationships/hyperlink" Target="https://drive.google.com/file/d/1NHS1F11LlHh4ds_PEgJZR-3vxgauhFxE/view?usp=sharing" TargetMode="External"/><Relationship Id="rId65" Type="http://schemas.openxmlformats.org/officeDocument/2006/relationships/hyperlink" Target="https://drive.google.com/file/d/1_zG-OKv3JUZCVgWmsEa8nZDPJiSNmmnf/view?usp=sharing" TargetMode="External"/><Relationship Id="rId130" Type="http://schemas.openxmlformats.org/officeDocument/2006/relationships/hyperlink" Target="https://drive.google.com/file/d/19y1wozxcZorgXXtKE53HgOxE0r_Y0esq/view?usp=sharing" TargetMode="External"/><Relationship Id="rId368" Type="http://schemas.openxmlformats.org/officeDocument/2006/relationships/hyperlink" Target="https://b83bf412-fbd3-4487-852d-9a66499bab1a.filesusr.com/ugd/24b4aa_429afe4ebe3c44048c06fccde446b2c0.pdf" TargetMode="External"/><Relationship Id="rId172" Type="http://schemas.openxmlformats.org/officeDocument/2006/relationships/hyperlink" Target="https://njw.fish/" TargetMode="External"/><Relationship Id="rId228" Type="http://schemas.openxmlformats.org/officeDocument/2006/relationships/hyperlink" Target="https://www.cientificolatino.com/writing-center" TargetMode="External"/><Relationship Id="rId435" Type="http://schemas.openxmlformats.org/officeDocument/2006/relationships/hyperlink" Target="http://rachelcsmith.com/academics/nsf.htm" TargetMode="External"/><Relationship Id="rId477" Type="http://schemas.openxmlformats.org/officeDocument/2006/relationships/hyperlink" Target="https://www.google.com/url?q=https://github.com/ybrandvain/GRFP/raw/master/Scarpino_GRFP_PersonalStatement_2007.pdf&amp;sa=D&amp;source=editors&amp;ust=1631911041010000&amp;usg=AOvVaw3CVuL358QhWLBQpwrf33f4" TargetMode="External"/><Relationship Id="rId281" Type="http://schemas.openxmlformats.org/officeDocument/2006/relationships/hyperlink" Target="https://drive.google.com/file/d/1gpDu1WssIiFNhWla9HOr9Yj8S6j1z1c0/view?usp=sharing" TargetMode="External"/><Relationship Id="rId337" Type="http://schemas.openxmlformats.org/officeDocument/2006/relationships/hyperlink" Target="https://b83bf412-fbd3-4487-852d-9a66499bab1a.filesusr.com/ugd/24b4aa_5af7876b091849ea8db337df27fa4947.pdf" TargetMode="External"/><Relationship Id="rId34" Type="http://schemas.openxmlformats.org/officeDocument/2006/relationships/hyperlink" Target="https://drive.google.com/file/d/1vf8B71fwGS4fSETQ5LDnDJDKFaAPT4RI/view?usp=sharing" TargetMode="External"/><Relationship Id="rId76" Type="http://schemas.openxmlformats.org/officeDocument/2006/relationships/hyperlink" Target="https://drive.google.com/file/d/1SbyNhyPcGz5cJaWmagIKk6Yt735R3wsz/view?usp=sharing" TargetMode="External"/><Relationship Id="rId141" Type="http://schemas.openxmlformats.org/officeDocument/2006/relationships/hyperlink" Target="https://drive.google.com/file/d/1PtYptsQVdOOH_OPnfWL4BrwV3_KGJwos/view?usp=sharing" TargetMode="External"/><Relationship Id="rId379" Type="http://schemas.openxmlformats.org/officeDocument/2006/relationships/hyperlink" Target="https://www.google.com/url?q=https://github.com/ybrandvain/GRFP/raw/master/Vince-BuffaloResearch-proposal2014.pdf&amp;sa=D&amp;source=editors&amp;ust=1631911041013000&amp;usg=AOvVaw0IrZe8fWNH3PEmil6OSRkn" TargetMode="External"/><Relationship Id="rId7" Type="http://schemas.openxmlformats.org/officeDocument/2006/relationships/hyperlink" Target="https://drive.google.com/file/d/1qwLhVctWJMOLV_kEMx87FuE0gjhvngTL/view?usp=sharing" TargetMode="External"/><Relationship Id="rId183" Type="http://schemas.openxmlformats.org/officeDocument/2006/relationships/hyperlink" Target="https://drive.google.com/file/d/11RjLlx1vFhfC96ENrejkE3tilUJwCtn0/view?usp=sharing" TargetMode="External"/><Relationship Id="rId239" Type="http://schemas.openxmlformats.org/officeDocument/2006/relationships/hyperlink" Target="https://drive.google.com/file/d/1GeoMFDYAQOvKFhcjEKJqMBu4VItI8QmA/view?usp=sharing" TargetMode="External"/><Relationship Id="rId390" Type="http://schemas.openxmlformats.org/officeDocument/2006/relationships/hyperlink" Target="https://www.google.com/url?q=https://github.com/ybrandvain/GRFP/raw/master/Ddrabeck_GRFP_PersonalStatement_2013.pdf&amp;sa=D&amp;source=editors&amp;ust=1631911041012000&amp;usg=AOvVaw220oeXGmmJ3yfxETosg9P0" TargetMode="External"/><Relationship Id="rId404" Type="http://schemas.openxmlformats.org/officeDocument/2006/relationships/hyperlink" Target="https://github.com/ybrandvain/GRFP" TargetMode="External"/><Relationship Id="rId446" Type="http://schemas.openxmlformats.org/officeDocument/2006/relationships/hyperlink" Target="http://www.rachelcsmith.com/NSF/CrossoverRegulationPersonalStatement.pdf" TargetMode="External"/><Relationship Id="rId250" Type="http://schemas.openxmlformats.org/officeDocument/2006/relationships/hyperlink" Target="https://drive.google.com/file/d/1dnkX92lrMWwbMhDnmLWCJZ-ih5gdkNcN/view?usp=sharing" TargetMode="External"/><Relationship Id="rId292" Type="http://schemas.openxmlformats.org/officeDocument/2006/relationships/hyperlink" Target="https://b83bf412-fbd3-4487-852d-9a66499bab1a.filesusr.com/ugd/24b4aa_c688695942a145d88becb69b35f24b93.pdf" TargetMode="External"/><Relationship Id="rId306" Type="http://schemas.openxmlformats.org/officeDocument/2006/relationships/hyperlink" Target="https://drive.google.com/file/d/1BAJfxBEm7N8QtcIGtIRwk_wFjeOfli1L/view?usp=sharing" TargetMode="External"/><Relationship Id="rId45" Type="http://schemas.openxmlformats.org/officeDocument/2006/relationships/hyperlink" Target="https://drive.google.com/file/d/14RMG0KTxktaNnNhE9aGfvS3oPt5mQfhT/view?usp=sharing" TargetMode="External"/><Relationship Id="rId87" Type="http://schemas.openxmlformats.org/officeDocument/2006/relationships/hyperlink" Target="https://drive.google.com/file/d/1aAv5Z9SSIaEjvS8rG5Kt30x--O6ptGtD/view?usp=sharing" TargetMode="External"/><Relationship Id="rId110" Type="http://schemas.openxmlformats.org/officeDocument/2006/relationships/hyperlink" Target="https://drive.google.com/file/d/14vdVriFBBtmiof70E-Azyd7Hz7KQLxWo/view?usp=sharing" TargetMode="External"/><Relationship Id="rId348" Type="http://schemas.openxmlformats.org/officeDocument/2006/relationships/hyperlink" Target="https://www.google.com/url?q=https://github.com/ybrandvain/GRFP/raw/master/PersonalStatement_Mooney2015.pdf&amp;sa=D&amp;source=editors&amp;ust=1631911041013000&amp;usg=AOvVaw2wtNaFGoUyOCMyw8AsjxYS" TargetMode="External"/><Relationship Id="rId152" Type="http://schemas.openxmlformats.org/officeDocument/2006/relationships/hyperlink" Target="https://drive.google.com/file/d/1NwjK9LqvdFwFQHhZfnbChUFlTGu2UXfF/view?usp=sharing" TargetMode="External"/><Relationship Id="rId194" Type="http://schemas.openxmlformats.org/officeDocument/2006/relationships/hyperlink" Target="https://drive.google.com/file/d/12SO1OJTOFe5W9lYUafPLZx622eXyQjbl/view?usp=sharing" TargetMode="External"/><Relationship Id="rId208" Type="http://schemas.openxmlformats.org/officeDocument/2006/relationships/hyperlink" Target="https://drive.google.com/file/d/14A1Yf-RycvMt4aP_WZz0yTEGRpPY0QAF/view?usp=sharing" TargetMode="External"/><Relationship Id="rId415" Type="http://schemas.openxmlformats.org/officeDocument/2006/relationships/hyperlink" Target="http://rachelcsmith.com/NSF/SeasonalPR.pdf" TargetMode="External"/><Relationship Id="rId457" Type="http://schemas.openxmlformats.org/officeDocument/2006/relationships/hyperlink" Target="http://www.rachelcsmith.com/NSF/AcidMineResearchProposal.pdf" TargetMode="External"/><Relationship Id="rId261" Type="http://schemas.openxmlformats.org/officeDocument/2006/relationships/hyperlink" Target="https://drive.google.com/file/d/1uT9H9mfG3aMeRH7WWhBIhBy1vhO-Pal9/view?usp=sharing" TargetMode="External"/><Relationship Id="rId14" Type="http://schemas.openxmlformats.org/officeDocument/2006/relationships/hyperlink" Target="https://drive.google.com/file/d/1TFzyczmJnWn_zFPnfNXwzXw1Pnp54mtC/view?usp=sharing" TargetMode="External"/><Relationship Id="rId56" Type="http://schemas.openxmlformats.org/officeDocument/2006/relationships/hyperlink" Target="https://drive.google.com/file/d/12m4wBCDb0DQwDZVqXHD1-JW7S617Hh1S/view?usp=sharing" TargetMode="External"/><Relationship Id="rId317" Type="http://schemas.openxmlformats.org/officeDocument/2006/relationships/hyperlink" Target="https://www.google.com/url?q=https://github.com/ybrandvain/GRFP/raw/master/BirdNSFPersonal_official.pdf&amp;sa=D&amp;source=editors&amp;ust=1631911041014000&amp;usg=AOvVaw20gxYZaSoJcO5XfL5AmalS" TargetMode="External"/><Relationship Id="rId359" Type="http://schemas.openxmlformats.org/officeDocument/2006/relationships/hyperlink" Target="https://github.com/ybrandvain/GRFP" TargetMode="External"/><Relationship Id="rId98" Type="http://schemas.openxmlformats.org/officeDocument/2006/relationships/hyperlink" Target="https://drive.google.com/file/d/1yzPNrSb6vdiVZwVNbPi4c5KGtYGrJ2DU/view?usp=sharing" TargetMode="External"/><Relationship Id="rId121" Type="http://schemas.openxmlformats.org/officeDocument/2006/relationships/hyperlink" Target="https://drive.google.com/file/d/1iMrlfdz9201LAkR-TEQWlK-fUdyfv9rY/view?usp=sharing" TargetMode="External"/><Relationship Id="rId163" Type="http://schemas.openxmlformats.org/officeDocument/2006/relationships/hyperlink" Target="https://drive.google.com/file/d/1yUF9epJj_vuat9vWylktSz62mRtog7dP/view" TargetMode="External"/><Relationship Id="rId219" Type="http://schemas.openxmlformats.org/officeDocument/2006/relationships/hyperlink" Target="https://drive.google.com/file/d/1YjDxzrB7lxr33OnmuUiTit4D7fOO-vwj/view?usp=sharing" TargetMode="External"/><Relationship Id="rId370" Type="http://schemas.openxmlformats.org/officeDocument/2006/relationships/hyperlink" Target="https://b83bf412-fbd3-4487-852d-9a66499bab1a.filesusr.com/ugd/24b4aa_4c73569d790d4c41912188cfef01874a.pdf" TargetMode="External"/><Relationship Id="rId426" Type="http://schemas.openxmlformats.org/officeDocument/2006/relationships/hyperlink" Target="http://www.rachelcsmith.com/NSF/ArchaeologyPersonalReviewerComments.pdf" TargetMode="External"/><Relationship Id="rId230" Type="http://schemas.openxmlformats.org/officeDocument/2006/relationships/hyperlink" Target="https://www.cientificolatino.com/writing-center" TargetMode="External"/><Relationship Id="rId468" Type="http://schemas.openxmlformats.org/officeDocument/2006/relationships/hyperlink" Target="http://www.rachelcsmith.com/NSF/Game%20Ranching%20in%20Botswana%20Proposed%20Plan%20of%20Research.pdf" TargetMode="External"/><Relationship Id="rId25" Type="http://schemas.openxmlformats.org/officeDocument/2006/relationships/hyperlink" Target="https://drive.google.com/file/d/1FI6OL9QOIgmwpEDcAA29uXtm75Eb7Woa/view?usp=sharing" TargetMode="External"/><Relationship Id="rId67" Type="http://schemas.openxmlformats.org/officeDocument/2006/relationships/hyperlink" Target="https://drive.google.com/file/d/1mpYk2pC7sg0a0hegDrShV1snrcZO-hgM/view?usp=sharing" TargetMode="External"/><Relationship Id="rId272" Type="http://schemas.openxmlformats.org/officeDocument/2006/relationships/hyperlink" Target="https://b83bf412-fbd3-4487-852d-9a66499bab1a.filesusr.com/ugd/17abb3_f85aaf7099024183b244f9f0a2feaa91.pdf" TargetMode="External"/><Relationship Id="rId328" Type="http://schemas.openxmlformats.org/officeDocument/2006/relationships/hyperlink" Target="https://drive.google.com/file/d/1eJuR1BVdeS8aQlPMEqYl3quegz0k7uQO/view?usp=sharing" TargetMode="External"/><Relationship Id="rId132" Type="http://schemas.openxmlformats.org/officeDocument/2006/relationships/hyperlink" Target="https://drive.google.com/file/d/1zocOzz140mIvyhFcDmMl5c5h3JXscywM/view?usp=sharing" TargetMode="External"/><Relationship Id="rId174" Type="http://schemas.openxmlformats.org/officeDocument/2006/relationships/hyperlink" Target="https://drive.google.com/file/d/1MS1ZSGTr1U7bquiHnJds9XBHDzngXieI/view?usp=sharing" TargetMode="External"/><Relationship Id="rId381" Type="http://schemas.openxmlformats.org/officeDocument/2006/relationships/hyperlink" Target="https://github.com/ybrandvain/GRFP" TargetMode="External"/><Relationship Id="rId241" Type="http://schemas.openxmlformats.org/officeDocument/2006/relationships/hyperlink" Target="https://drive.google.com/file/d/1a5xdnNvPcYFMPUYgT74LvqYQRZWntTma/view?usp=sharing" TargetMode="External"/><Relationship Id="rId437" Type="http://schemas.openxmlformats.org/officeDocument/2006/relationships/hyperlink" Target="https://github.com/ybrandvain/GRFP" TargetMode="External"/><Relationship Id="rId479" Type="http://schemas.openxmlformats.org/officeDocument/2006/relationships/hyperlink" Target="https://www.google.com/url?q=https://github.com/ybrandvain/GRFP/raw/master/NChenGRFP2007projectProposal.pdf&amp;sa=D&amp;source=editors&amp;ust=1631911041011000&amp;usg=AOvVaw0pSH2vtJOIljPOuOxcaYkE" TargetMode="External"/><Relationship Id="rId36" Type="http://schemas.openxmlformats.org/officeDocument/2006/relationships/hyperlink" Target="https://drive.google.com/file/d/1Ijp23jdCDbRi6DHKuADo0e5n1kxXduA6/view?usp=sharing" TargetMode="External"/><Relationship Id="rId283" Type="http://schemas.openxmlformats.org/officeDocument/2006/relationships/hyperlink" Target="https://drive.google.com/file/d/1ifrwN5v7wYteVcTiC76dpySDeE30BHAR/view" TargetMode="External"/><Relationship Id="rId339" Type="http://schemas.openxmlformats.org/officeDocument/2006/relationships/hyperlink" Target="https://roxannebeltran.files.wordpress.com/2015/09/topographic-complexity-project-essay.pdf" TargetMode="External"/><Relationship Id="rId78" Type="http://schemas.openxmlformats.org/officeDocument/2006/relationships/hyperlink" Target="https://drive.google.com/file/d/1mAS6DpxyPvY8cHS97zdA2E7A-S52s02P/view?usp=sharing" TargetMode="External"/><Relationship Id="rId101" Type="http://schemas.openxmlformats.org/officeDocument/2006/relationships/hyperlink" Target="https://drive.google.com/file/d/1MXtyZxLAQL9XXCfn81nUXApblECa8UXI/view?usp=sharing" TargetMode="External"/><Relationship Id="rId143" Type="http://schemas.openxmlformats.org/officeDocument/2006/relationships/hyperlink" Target="https://drive.google.com/file/d/1AtzCzVlbxO4YdnYi53iLnXnJw5uwSTfg/view?usp=sharing" TargetMode="External"/><Relationship Id="rId185" Type="http://schemas.openxmlformats.org/officeDocument/2006/relationships/hyperlink" Target="https://drive.google.com/file/d/1ovgGNV5Lw-CbZhEBIC0HZFl_8NrCeqaH/view?usp=sharing" TargetMode="External"/><Relationship Id="rId350" Type="http://schemas.openxmlformats.org/officeDocument/2006/relationships/hyperlink" Target="https://www.google.com/url?q=https://github.com/ybrandvain/GRFP/raw/master/AFM_Research_Plan_Statement.pdf&amp;sa=D&amp;source=editors&amp;ust=1631911041013000&amp;usg=AOvVaw3IidjS3v9r3oQEpBxjCFVL" TargetMode="External"/><Relationship Id="rId406" Type="http://schemas.openxmlformats.org/officeDocument/2006/relationships/hyperlink" Target="https://www.google.com/url?q=https://github.com/ybrandvain/GRFP/raw/master/ClarkAdam_Personal%2520Statement_final.pdf&amp;sa=D&amp;source=editors&amp;ust=1631911041011000&amp;usg=AOvVaw2fw4N9uXrzjVXIhmnaufBQ" TargetMode="External"/><Relationship Id="rId9" Type="http://schemas.openxmlformats.org/officeDocument/2006/relationships/hyperlink" Target="https://drive.google.com/file/d/1zv9Wy34JVfqePMOq-dJk1E5P8b37jIly/view?usp=sharing" TargetMode="External"/><Relationship Id="rId210" Type="http://schemas.openxmlformats.org/officeDocument/2006/relationships/hyperlink" Target="https://drive.google.com/file/d/1eoI9eQtpQx2k6VYj-kQdtJxcJBOnW4Td/view?usp=sharing" TargetMode="External"/><Relationship Id="rId392" Type="http://schemas.openxmlformats.org/officeDocument/2006/relationships/hyperlink" Target="https://github.com/ybrandvain/GRFP" TargetMode="External"/><Relationship Id="rId448" Type="http://schemas.openxmlformats.org/officeDocument/2006/relationships/hyperlink" Target="http://rachelcsmith.com/academics/nsf.htm" TargetMode="External"/><Relationship Id="rId252" Type="http://schemas.openxmlformats.org/officeDocument/2006/relationships/hyperlink" Target="https://drive.google.com/file/d/1VwWSaKsZ2COKVFAspShk4wBodb9dnmhs/view?usp=sharing" TargetMode="External"/><Relationship Id="rId294" Type="http://schemas.openxmlformats.org/officeDocument/2006/relationships/hyperlink" Target="https://b83bf412-fbd3-4487-852d-9a66499bab1a.filesusr.com/ugd/24b4aa_d620c1bec66445928cd3aed4adea49a6.pdf" TargetMode="External"/><Relationship Id="rId308" Type="http://schemas.openxmlformats.org/officeDocument/2006/relationships/hyperlink" Target="https://drive.google.com/file/d/1boyPZlaoSnUPhuUELjOtwU6VXi40_6z7/view?usp=sharing" TargetMode="External"/><Relationship Id="rId47" Type="http://schemas.openxmlformats.org/officeDocument/2006/relationships/hyperlink" Target="https://drive.google.com/file/d/1qCXVtQOtfRBSl87eWW5pVu2DitPiwwmt/view?usp=sharing" TargetMode="External"/><Relationship Id="rId89" Type="http://schemas.openxmlformats.org/officeDocument/2006/relationships/hyperlink" Target="https://drive.google.com/file/d/1q_MBL9X_SNxYYXMM_it98brBheD9szR3/view?usp=sharing" TargetMode="External"/><Relationship Id="rId112" Type="http://schemas.openxmlformats.org/officeDocument/2006/relationships/hyperlink" Target="https://drive.google.com/file/d/164W6dCV5rIkJ3CN494IUEeYaM2ynjYrG/view?usp=sharing" TargetMode="External"/><Relationship Id="rId154" Type="http://schemas.openxmlformats.org/officeDocument/2006/relationships/hyperlink" Target="http://v/" TargetMode="External"/><Relationship Id="rId361" Type="http://schemas.openxmlformats.org/officeDocument/2006/relationships/hyperlink" Target="https://drive.google.com/file/d/108ZQlpt3ICYLm6QpU9c3duCzNmMmyjdp/view?usp=sharing" TargetMode="External"/><Relationship Id="rId196" Type="http://schemas.openxmlformats.org/officeDocument/2006/relationships/hyperlink" Target="https://drive.google.com/file/d/18ultiuOUl_G4ZJFHBQyl0G_oZLe1ctnO/view?usp=sharing" TargetMode="External"/><Relationship Id="rId417" Type="http://schemas.openxmlformats.org/officeDocument/2006/relationships/hyperlink" Target="http://rachelcsmith.com/NSF/SeasonalPRE.pdf" TargetMode="External"/><Relationship Id="rId459" Type="http://schemas.openxmlformats.org/officeDocument/2006/relationships/hyperlink" Target="http://www.rachelcsmith.com/NSF/AcidMineResearchExperience.pdf" TargetMode="External"/><Relationship Id="rId16" Type="http://schemas.openxmlformats.org/officeDocument/2006/relationships/hyperlink" Target="https://drive.google.com/file/d/1onEapHHbcBZsX-5v-6qIlTMRkxHkrYSc/view?usp=sharing" TargetMode="External"/><Relationship Id="rId221" Type="http://schemas.openxmlformats.org/officeDocument/2006/relationships/hyperlink" Target="https://drive.google.com/file/d/1skCeGoSxhdn4EjIXAT6Bk6t4wQEHHAB_/view?usp=sharing" TargetMode="External"/><Relationship Id="rId263" Type="http://schemas.openxmlformats.org/officeDocument/2006/relationships/hyperlink" Target="https://drive.google.com/file/d/15XtPMUHCcrHBrJDWivbl1EdjW1hP7lTe/view?usp=sharing" TargetMode="External"/><Relationship Id="rId319" Type="http://schemas.openxmlformats.org/officeDocument/2006/relationships/hyperlink" Target="https://github.com/ybrandvain/GRFP" TargetMode="External"/><Relationship Id="rId470" Type="http://schemas.openxmlformats.org/officeDocument/2006/relationships/hyperlink" Target="http://v/" TargetMode="External"/><Relationship Id="rId58" Type="http://schemas.openxmlformats.org/officeDocument/2006/relationships/hyperlink" Target="https://drive.google.com/file/d/19GJXIEIYcW5Dib9PIqAkYigcgJDGgUWo/view?usp=sharing" TargetMode="External"/><Relationship Id="rId123" Type="http://schemas.openxmlformats.org/officeDocument/2006/relationships/hyperlink" Target="https://drive.google.com/file/d/15ArhOWs4gmmqZ0jMeuk4YAJAE5T2OuEK/view?usp=sharing" TargetMode="External"/><Relationship Id="rId330" Type="http://schemas.openxmlformats.org/officeDocument/2006/relationships/hyperlink" Target="https://drive.google.com/file/d/0BxTJoMOw_GADSTAzX05GTW9sVzQ/view?usp=sharing&amp;resourcekey=0-WK4wpYjY6B0HeDQH6bYQ6Q" TargetMode="External"/><Relationship Id="rId165" Type="http://schemas.openxmlformats.org/officeDocument/2006/relationships/hyperlink" Target="https://thiagotvarella.github.io/docs/NewResearchPlan.pdf" TargetMode="External"/><Relationship Id="rId372" Type="http://schemas.openxmlformats.org/officeDocument/2006/relationships/hyperlink" Target="https://b83bf412-fbd3-4487-852d-9a66499bab1a.filesusr.com/ugd/3b4676_f2ef6f742c6b4ae195ad89772bf2f07e.pdf" TargetMode="External"/><Relationship Id="rId428" Type="http://schemas.openxmlformats.org/officeDocument/2006/relationships/hyperlink" Target="http://www.rachelcsmith.com/NSF/CarbonSequestrationAspenPropResearch.pdf" TargetMode="External"/><Relationship Id="rId232" Type="http://schemas.openxmlformats.org/officeDocument/2006/relationships/hyperlink" Target="https://drive.google.com/file/d/1WMmtrkvFYBiZYa_cGI5bxcIHJGi6fcSJ/view?usp=sharing" TargetMode="External"/><Relationship Id="rId274" Type="http://schemas.openxmlformats.org/officeDocument/2006/relationships/hyperlink" Target="https://drive.google.com/file/d/13nUc6YhOQcRt3N7EgOaWn-EQncUGh7Uf/view?usp=sharing" TargetMode="External"/><Relationship Id="rId481" Type="http://schemas.openxmlformats.org/officeDocument/2006/relationships/hyperlink" Target="https://github.com/ybrandvain/GRFP" TargetMode="External"/><Relationship Id="rId27" Type="http://schemas.openxmlformats.org/officeDocument/2006/relationships/hyperlink" Target="https://drive.google.com/file/d/16JxOopYnGcmfL6Jj-GfrQESrVTKyPou3/view?usp=sharing" TargetMode="External"/><Relationship Id="rId69" Type="http://schemas.openxmlformats.org/officeDocument/2006/relationships/hyperlink" Target="https://drive.google.com/file/d/1MzQfzXHDXHroYYE_D9D3X2JtpwOsXUdk/view?usp=sharing" TargetMode="External"/><Relationship Id="rId134" Type="http://schemas.openxmlformats.org/officeDocument/2006/relationships/hyperlink" Target="https://drive.google.com/file/d/18KlNzhch_Yw0IQFP7-ipg8dS_R2RLhP4/view?usp=sharing" TargetMode="External"/><Relationship Id="rId80" Type="http://schemas.openxmlformats.org/officeDocument/2006/relationships/hyperlink" Target="https://drive.google.com/file/d/1Dj_eCUPDQk7-nqHrYidklRA_Sht76rXg/view?usp=sharing" TargetMode="External"/><Relationship Id="rId176" Type="http://schemas.openxmlformats.org/officeDocument/2006/relationships/hyperlink" Target="https://drive.google.com/file/d/1RUzQ3ASrGtTtunHDnnqJUgEjc1FsblDo/view?usp=sharing" TargetMode="External"/><Relationship Id="rId341" Type="http://schemas.openxmlformats.org/officeDocument/2006/relationships/hyperlink" Target="https://roxannebeltran.files.wordpress.com/2015/09/topographic-complexity-reviews.pdf" TargetMode="External"/><Relationship Id="rId383" Type="http://schemas.openxmlformats.org/officeDocument/2006/relationships/hyperlink" Target="https://www.google.com/url?q=https://github.com/ybrandvain/GRFP/raw/master/KristinLeeNSFPersonalStatement2013.pdf&amp;sa=D&amp;source=editors&amp;ust=1631911041012000&amp;usg=AOvVaw17w8siFZwx8S_DRX_C-jw6" TargetMode="External"/><Relationship Id="rId439" Type="http://schemas.openxmlformats.org/officeDocument/2006/relationships/hyperlink" Target="https://www.google.com/url?q=https://github.com/ybrandvain/GRFP/raw/master/MartinezPersonalStatement10.pdf&amp;sa=D&amp;source=editors&amp;ust=1631911041011000&amp;usg=AOvVaw23yoXw8YTy1koxPScFC1hP" TargetMode="External"/><Relationship Id="rId201" Type="http://schemas.openxmlformats.org/officeDocument/2006/relationships/hyperlink" Target="https://drive.google.com/file/d/11O5nMIUfQtzKy2J2a-RQiAEvQGLXnm-i/view?usp=sharing" TargetMode="External"/><Relationship Id="rId243" Type="http://schemas.openxmlformats.org/officeDocument/2006/relationships/hyperlink" Target="https://drive.google.com/file/d/1fBsPvY6-_Amjzmjk2jX1tu6z4wllSLMu/view?usp=sharing" TargetMode="External"/><Relationship Id="rId285" Type="http://schemas.openxmlformats.org/officeDocument/2006/relationships/hyperlink" Target="https://drive.google.com/file/d/12vKbSIWnr68mqJTgUSEsj_85adVFpfBX/view" TargetMode="External"/><Relationship Id="rId450" Type="http://schemas.openxmlformats.org/officeDocument/2006/relationships/hyperlink" Target="http://www.rachelcsmith.com/NSF/EWastePersonalStatement.pdf" TargetMode="External"/><Relationship Id="rId38" Type="http://schemas.openxmlformats.org/officeDocument/2006/relationships/hyperlink" Target="https://drive.google.com/file/d/134sTBKgvlc3cj0YWQC8YyBsacXGR2UaG/view?usp=sharing" TargetMode="External"/><Relationship Id="rId103" Type="http://schemas.openxmlformats.org/officeDocument/2006/relationships/hyperlink" Target="https://drive.google.com/file/d/11EV0M9g92Aln_JXkTypWaidRJLJmD0jk/view?usp=sharing" TargetMode="External"/><Relationship Id="rId310" Type="http://schemas.openxmlformats.org/officeDocument/2006/relationships/hyperlink" Target="https://roxannebeltran.files.wordpress.com/2017/09/grfp-grant-research-proposal-final.pdf" TargetMode="External"/><Relationship Id="rId91" Type="http://schemas.openxmlformats.org/officeDocument/2006/relationships/hyperlink" Target="https://drive.google.com/file/d/10KOUCjfUZyKjgeZ5aBQaB4HA_BqhjdVQ/view?usp=sharing" TargetMode="External"/><Relationship Id="rId145" Type="http://schemas.openxmlformats.org/officeDocument/2006/relationships/hyperlink" Target="https://drive.google.com/file/d/1MHjT3G7ksmA4jVC0FGvJTtIcJFsU61Eh/view?usp=sharing" TargetMode="External"/><Relationship Id="rId187" Type="http://schemas.openxmlformats.org/officeDocument/2006/relationships/hyperlink" Target="https://drive.google.com/file/d/1Y9BQHKHxamsewacpOwOYTq7ozAX8p8X6/view?usp=sharing" TargetMode="External"/><Relationship Id="rId352" Type="http://schemas.openxmlformats.org/officeDocument/2006/relationships/hyperlink" Target="https://github.com/ybrandvain/GRFP" TargetMode="External"/><Relationship Id="rId394" Type="http://schemas.openxmlformats.org/officeDocument/2006/relationships/hyperlink" Target="https://www.google.com/url?q=https://github.com/ybrandvain/GRFP/raw/master/SKothari_NSFPersonalStatement_2013.pdf&amp;sa=D&amp;source=editors&amp;ust=1631911041012000&amp;usg=AOvVaw3FuOT6mRuqUJaikjQX5GIy" TargetMode="External"/><Relationship Id="rId408" Type="http://schemas.openxmlformats.org/officeDocument/2006/relationships/hyperlink" Target="https://github.com/ybrandvain/GRFP" TargetMode="External"/><Relationship Id="rId212" Type="http://schemas.openxmlformats.org/officeDocument/2006/relationships/hyperlink" Target="https://drive.google.com/file/d/1Ss8OA3-LFkTSnmnIFKogOGaSgW--V-ph/view?usp=sharing" TargetMode="External"/><Relationship Id="rId254" Type="http://schemas.openxmlformats.org/officeDocument/2006/relationships/hyperlink" Target="https://drive.google.com/file/d/1pCrAzqLjNE-qYvfD01ifyAWhW3bDty6z/view?usp=sharing" TargetMode="External"/><Relationship Id="rId49" Type="http://schemas.openxmlformats.org/officeDocument/2006/relationships/hyperlink" Target="https://drive.google.com/file/d/1qGGidG3I6uqOaB1bUr7b7druGvRJMBII/view?usp=sharing" TargetMode="External"/><Relationship Id="rId114" Type="http://schemas.openxmlformats.org/officeDocument/2006/relationships/hyperlink" Target="https://drive.google.com/file/d/1fZ50hUQy_jGFDqiJbFcrCwgXbVCZh4Eu/view?usp=sharing" TargetMode="External"/><Relationship Id="rId296" Type="http://schemas.openxmlformats.org/officeDocument/2006/relationships/hyperlink" Target="https://b83bf412-fbd3-4487-852d-9a66499bab1a.filesusr.com/ugd/24b4aa_628b7f1e149b47799ed07d69af21a687.pdf" TargetMode="External"/><Relationship Id="rId461" Type="http://schemas.openxmlformats.org/officeDocument/2006/relationships/hyperlink" Target="https://roxannebeltran.files.wordpress.com/2015/09/marine-mammals-research-essay.pdf" TargetMode="External"/><Relationship Id="rId60" Type="http://schemas.openxmlformats.org/officeDocument/2006/relationships/hyperlink" Target="https://drive.google.com/file/d/1lmQazd45tK4-KW_HutFgJLKL030IPjnN/view?usp=sharing" TargetMode="External"/><Relationship Id="rId156" Type="http://schemas.openxmlformats.org/officeDocument/2006/relationships/hyperlink" Target="https://drive.google.com/file/d/1dDjYKZJv5eMKWShzxXvxJTN2JkZ2OcXW/view?usp=sharing" TargetMode="External"/><Relationship Id="rId198" Type="http://schemas.openxmlformats.org/officeDocument/2006/relationships/hyperlink" Target="https://drive.google.com/file/d/1QJTVLGnz7NDhdMyrwa1uQB9l1GXNHBZX/view?usp=sharing" TargetMode="External"/><Relationship Id="rId321" Type="http://schemas.openxmlformats.org/officeDocument/2006/relationships/hyperlink" Target="https://www.google.com/url?q=https://github.com/ybrandvain/GRFP/raw/master/Norman_personal_2016_final.pdf&amp;sa=D&amp;source=editors&amp;ust=1631911041014000&amp;usg=AOvVaw3TfaQcAOibCQKBBwroIhmp" TargetMode="External"/><Relationship Id="rId363" Type="http://schemas.openxmlformats.org/officeDocument/2006/relationships/hyperlink" Target="https://b83bf412-fbd3-4487-852d-9a66499bab1a.filesusr.com/ugd/24b4aa_7110cd0946c6411b807158f9d6138b13.pdf" TargetMode="External"/><Relationship Id="rId419" Type="http://schemas.openxmlformats.org/officeDocument/2006/relationships/hyperlink" Target="http://www.rachelcsmith.com/NSF/BeeReproductiveSuccessProposal.pdf" TargetMode="External"/><Relationship Id="rId223" Type="http://schemas.openxmlformats.org/officeDocument/2006/relationships/hyperlink" Target="https://drive.google.com/file/d/1e4Yzxozs6OY2ek2rzOS-HnSHxHNSABvT/view?usp=sharing" TargetMode="External"/><Relationship Id="rId430" Type="http://schemas.openxmlformats.org/officeDocument/2006/relationships/hyperlink" Target="http://yes/" TargetMode="External"/><Relationship Id="rId18" Type="http://schemas.openxmlformats.org/officeDocument/2006/relationships/hyperlink" Target="https://docs.google.com/document/d/1yQ18--f1xkmRw-q0rV1VIZKCL1I8x_5_8KZwo6QrRzc/edit" TargetMode="External"/><Relationship Id="rId265" Type="http://schemas.openxmlformats.org/officeDocument/2006/relationships/hyperlink" Target="https://drive.google.com/file/d/1oGeDAm01h6RTvRlug9Aj-C56XcPudgJl/view" TargetMode="External"/><Relationship Id="rId472" Type="http://schemas.openxmlformats.org/officeDocument/2006/relationships/hyperlink" Target="http://v/" TargetMode="External"/><Relationship Id="rId125" Type="http://schemas.openxmlformats.org/officeDocument/2006/relationships/hyperlink" Target="https://drive.google.com/file/d/16niyAKszagpZjNUJ1XvQ5lvErwb2OfeK/view?usp=sharing" TargetMode="External"/><Relationship Id="rId167" Type="http://schemas.openxmlformats.org/officeDocument/2006/relationships/hyperlink" Target="https://thiagotvarella.github.io/docs/NewReview.pdf" TargetMode="External"/><Relationship Id="rId332" Type="http://schemas.openxmlformats.org/officeDocument/2006/relationships/hyperlink" Target="https://www.dropbox.com/s/hzp4tkm5zy3h3gr/mariakakis_nsf_personal.pdf?dl=0" TargetMode="External"/><Relationship Id="rId374" Type="http://schemas.openxmlformats.org/officeDocument/2006/relationships/hyperlink" Target="https://www.cientificolatino.com/writing-center" TargetMode="External"/><Relationship Id="rId71" Type="http://schemas.openxmlformats.org/officeDocument/2006/relationships/hyperlink" Target="http://www.cesaroestien.com/uploads/1/3/2/9/132989062/estien_grfp_research_statement_final.pdf" TargetMode="External"/><Relationship Id="rId234" Type="http://schemas.openxmlformats.org/officeDocument/2006/relationships/hyperlink" Target="https://drive.google.com/file/d/17v1SkIk_TEJgOv4xMA4V0RBB9e3hqpnC/view?usp=sharing" TargetMode="External"/><Relationship Id="rId2" Type="http://schemas.openxmlformats.org/officeDocument/2006/relationships/hyperlink" Target="https://drive.google.com/file/d/115bd-1fpI-DShBu-dikGaOBmEFJM2qwq/view?usp=sharing" TargetMode="External"/><Relationship Id="rId29" Type="http://schemas.openxmlformats.org/officeDocument/2006/relationships/hyperlink" Target="https://drive.google.com/file/d/1RxYVCYjHLpMEg3raTRbPqvpZeaYEAQM6/view?usp=sharing" TargetMode="External"/><Relationship Id="rId276" Type="http://schemas.openxmlformats.org/officeDocument/2006/relationships/hyperlink" Target="https://drive.google.com/file/d/14FQj9FfYGoxGMiBPUfQs0NH65OazZt0U/view?usp=sharing" TargetMode="External"/><Relationship Id="rId441" Type="http://schemas.openxmlformats.org/officeDocument/2006/relationships/hyperlink" Target="http://www.rachelcsmith.com/NSF/Causes%20and%20Conssquences%20of%20Biocomplexity%20Proposed%20Plan%20of%20Researchl.pdf" TargetMode="External"/><Relationship Id="rId483" Type="http://schemas.openxmlformats.org/officeDocument/2006/relationships/hyperlink" Target="http://www.rachelcsmith.com/NSF/Human%20Impacts%20on%20Stream%20Ecosystems%20Personal%20Statement.pdf" TargetMode="External"/><Relationship Id="rId40" Type="http://schemas.openxmlformats.org/officeDocument/2006/relationships/hyperlink" Target="https://drive.google.com/file/d/1bfkufHlmB1qtNSoYwpfTVTk5Sd4_zjFe/view?usp=sharing" TargetMode="External"/><Relationship Id="rId136" Type="http://schemas.openxmlformats.org/officeDocument/2006/relationships/hyperlink" Target="https://drive.google.com/file/d/1oh2lLLI9E3LH8LZbD4F4aYIkD7HpN3sH/view?usp=sharing" TargetMode="External"/><Relationship Id="rId178" Type="http://schemas.openxmlformats.org/officeDocument/2006/relationships/hyperlink" Target="https://drive.google.com/file/d/1NIufqwQK-h5JyzXhfCyyNyv0kJKV6ygI/view?usp=sharing" TargetMode="External"/><Relationship Id="rId301" Type="http://schemas.openxmlformats.org/officeDocument/2006/relationships/hyperlink" Target="https://github.com/ybrandvain/GRFP" TargetMode="External"/><Relationship Id="rId343" Type="http://schemas.openxmlformats.org/officeDocument/2006/relationships/hyperlink" Target="https://roxannebeltran.files.wordpress.com/2015/09/funded-bioenergetics-research-essay.pdf" TargetMode="External"/><Relationship Id="rId82" Type="http://schemas.openxmlformats.org/officeDocument/2006/relationships/hyperlink" Target="https://drive.google.com/file/d/1xNw7QDNYNKZtFgly6etVSWmDv327AnZf/view?usp=sharing" TargetMode="External"/><Relationship Id="rId203" Type="http://schemas.openxmlformats.org/officeDocument/2006/relationships/hyperlink" Target="https://drive.google.com/file/d/1ErFfkBAiYmuD-738NGQrWsCOp6-bAZMR/view?usp=sharing" TargetMode="External"/><Relationship Id="rId385" Type="http://schemas.openxmlformats.org/officeDocument/2006/relationships/hyperlink" Target="https://www.google.com/url?q=https://github.com/ybrandvain/GRFP/raw/master/GettleNoahNSFResearchProposal2013.pdf&amp;sa=D&amp;source=editors&amp;ust=1631911041012000&amp;usg=AOvVaw1FWMc4FumLO8aeNPBPbsI1" TargetMode="External"/><Relationship Id="rId245" Type="http://schemas.openxmlformats.org/officeDocument/2006/relationships/hyperlink" Target="https://drive.google.com/file/d/1avddvuDbYg7CF69saWgjwV4F4WOZoqIA/view?usp=sharing" TargetMode="External"/><Relationship Id="rId287" Type="http://schemas.openxmlformats.org/officeDocument/2006/relationships/hyperlink" Target="https://www.cientificolatino.com/writing-center" TargetMode="External"/><Relationship Id="rId410" Type="http://schemas.openxmlformats.org/officeDocument/2006/relationships/hyperlink" Target="http://rachelcsmith.com/academics/nsf.htm" TargetMode="External"/><Relationship Id="rId452" Type="http://schemas.openxmlformats.org/officeDocument/2006/relationships/hyperlink" Target="http://rachelcsmith.com/academics/nsf.htm" TargetMode="External"/><Relationship Id="rId105" Type="http://schemas.openxmlformats.org/officeDocument/2006/relationships/hyperlink" Target="https://drive.google.com/file/d/1e2QA86XOfg6nCUVFcsZwJMm1IO29p5jz/view?usp=sharing" TargetMode="External"/><Relationship Id="rId147" Type="http://schemas.openxmlformats.org/officeDocument/2006/relationships/hyperlink" Target="https://drive.google.com/file/d/1ZNqgwwksVDbaFz9O9oCQCjHVZOQYqROc/view?usp=sharing" TargetMode="External"/><Relationship Id="rId312" Type="http://schemas.openxmlformats.org/officeDocument/2006/relationships/hyperlink" Target="https://roxannebeltran.weebly.com/blog---nsf-grfp.html" TargetMode="External"/><Relationship Id="rId354" Type="http://schemas.openxmlformats.org/officeDocument/2006/relationships/hyperlink" Target="https://www.google.com/url?q=https://github.com/ybrandvain/GRFP/raw/master/Pers_MEvans.pdf&amp;sa=D&amp;source=editors&amp;ust=1631911041013000&amp;usg=AOvVaw0b_j9hdhyB6fZY3U2LICK2" TargetMode="External"/><Relationship Id="rId51" Type="http://schemas.openxmlformats.org/officeDocument/2006/relationships/hyperlink" Target="https://drive.google.com/file/d/160dS2zmA-4NL555WT55kDphszjHkSVMy/view?usp=sharing" TargetMode="External"/><Relationship Id="rId93" Type="http://schemas.openxmlformats.org/officeDocument/2006/relationships/hyperlink" Target="https://drive.google.com/file/d/1_4FS9uK98eD5uVuqhZNWPZIltvNIPojr/view?usp=sharing" TargetMode="External"/><Relationship Id="rId189" Type="http://schemas.openxmlformats.org/officeDocument/2006/relationships/hyperlink" Target="https://drive.google.com/file/d/1yNL4tlfXmoy8YjGovm1vVKh8SVC0EazO/view?usp=sharing" TargetMode="External"/><Relationship Id="rId396" Type="http://schemas.openxmlformats.org/officeDocument/2006/relationships/hyperlink" Target="https://www.google.com/url?q=https://github.com/ybrandvain/GRFP/raw/master/Kandlikar_2013_ResState.pdf&amp;sa=D&amp;source=editors&amp;ust=1631911041012000&amp;usg=AOvVaw26GuU0TcxagZZSqNxGB1HI" TargetMode="External"/><Relationship Id="rId214" Type="http://schemas.openxmlformats.org/officeDocument/2006/relationships/hyperlink" Target="https://drive.google.com/file/d/15yansvOADtOJ48uR-VWK-CxYhy4ImvYG/view?usp=sharing" TargetMode="External"/><Relationship Id="rId256" Type="http://schemas.openxmlformats.org/officeDocument/2006/relationships/hyperlink" Target="https://drive.google.com/file/d/1VUebbPEgytnAu7A45z5EPAXGrKg9zIis/view?usp=sharing" TargetMode="External"/><Relationship Id="rId298" Type="http://schemas.openxmlformats.org/officeDocument/2006/relationships/hyperlink" Target="https://www.google.com/url?q=https://github.com/ybrandvain/GRFP/raw/master/Arun_Durvasula_Research_Proposal_2018.pdf&amp;sa=D&amp;source=editors&amp;ust=1631911041014000&amp;usg=AOvVaw2XSdKnjLbuDfHZy9-WwNr6" TargetMode="External"/><Relationship Id="rId421" Type="http://schemas.openxmlformats.org/officeDocument/2006/relationships/hyperlink" Target="http://www.rachelcsmith.com/NSF/BeeReproductiveSuccessReviewerScoreSheets.pdf" TargetMode="External"/><Relationship Id="rId463" Type="http://schemas.openxmlformats.org/officeDocument/2006/relationships/hyperlink" Target="https://roxannebeltran.weebly.com/blog---nsf-grfp.html" TargetMode="External"/><Relationship Id="rId116" Type="http://schemas.openxmlformats.org/officeDocument/2006/relationships/hyperlink" Target="https://drive.google.com/file/d/1gqk_Tezb5TBMb-kZ_NFvkUxKUlbJsXar/view?usp=sharing" TargetMode="External"/><Relationship Id="rId137" Type="http://schemas.openxmlformats.org/officeDocument/2006/relationships/hyperlink" Target="https://drive.google.com/file/d/12ywTgiWmXHbnY-pU7bOq5PQntzTgmtvH/view?usp=sharing" TargetMode="External"/><Relationship Id="rId158" Type="http://schemas.openxmlformats.org/officeDocument/2006/relationships/hyperlink" Target="https://emilybaltz.files.wordpress.com/2020/04/etb-nsf-grfp-research-statement-2019.pdf" TargetMode="External"/><Relationship Id="rId302" Type="http://schemas.openxmlformats.org/officeDocument/2006/relationships/hyperlink" Target="https://www.google.com/url?q=https://github.com/ybrandvain/GRFP/raw/master/Hejmadi_Research_Statement.pdf&amp;sa=D&amp;source=editors&amp;ust=1631911041014000&amp;usg=AOvVaw15akW5VVldbEu5xmA9R8P3" TargetMode="External"/><Relationship Id="rId323" Type="http://schemas.openxmlformats.org/officeDocument/2006/relationships/hyperlink" Target="https://drive.google.com/file/d/1tkRhxiL6uasA7G5L4C8e1jU9A20JixCN/view?usp=sharing" TargetMode="External"/><Relationship Id="rId344" Type="http://schemas.openxmlformats.org/officeDocument/2006/relationships/hyperlink" Target="https://roxannebeltran.files.wordpress.com/2015/09/funded-bioenergetics-personal-essay.pdf" TargetMode="External"/><Relationship Id="rId20" Type="http://schemas.openxmlformats.org/officeDocument/2006/relationships/hyperlink" Target="https://drive.google.com/file/d/19fPz46KvykRoGSLQVL3ifN8pCS34WNDM/view?usp=sharing" TargetMode="External"/><Relationship Id="rId41" Type="http://schemas.openxmlformats.org/officeDocument/2006/relationships/hyperlink" Target="https://drive.google.com/file/d/11JUwR6-Yu0_vRSsXrWfhRaF-GOpTduFA/view?usp=sharing" TargetMode="External"/><Relationship Id="rId62" Type="http://schemas.openxmlformats.org/officeDocument/2006/relationships/hyperlink" Target="https://drive.google.com/file/d/1b87ON3f9NTc8ICNOCMHM3vtVnN2d4xXM/view?usp=sharing" TargetMode="External"/><Relationship Id="rId83" Type="http://schemas.openxmlformats.org/officeDocument/2006/relationships/hyperlink" Target="https://docs.google.com/document/d/1mg67DF4uWzefB796x5S1_VLHuDhyCZ9H6hxN7b2LLVE/edit?usp=sharing" TargetMode="External"/><Relationship Id="rId179" Type="http://schemas.openxmlformats.org/officeDocument/2006/relationships/hyperlink" Target="https://drive.google.com/file/d/1YNILku4n4jSxJyrq_z1GXB7BLyKtTBwg/view?usp=sharing" TargetMode="External"/><Relationship Id="rId365" Type="http://schemas.openxmlformats.org/officeDocument/2006/relationships/hyperlink" Target="https://b83bf412-fbd3-4487-852d-9a66499bab1a.filesusr.com/ugd/3b4676_f4b113ccfbc545449a324dd1c905937a.pdf" TargetMode="External"/><Relationship Id="rId386" Type="http://schemas.openxmlformats.org/officeDocument/2006/relationships/hyperlink" Target="https://www.google.com/url?q=https://github.com/ybrandvain/GRFP/raw/master/GettleNoahNSFPersonalStatement%25202013.pdf&amp;sa=D&amp;source=editors&amp;ust=1631911041012000&amp;usg=AOvVaw2Q-0nSysGiUvBu8yKmdD3A" TargetMode="External"/><Relationship Id="rId190" Type="http://schemas.openxmlformats.org/officeDocument/2006/relationships/hyperlink" Target="https://drive.google.com/file/d/1FtqEU7Z0ap361K-KPdJfGNlb0T_oAWfP/view?usp=sharing" TargetMode="External"/><Relationship Id="rId204" Type="http://schemas.openxmlformats.org/officeDocument/2006/relationships/hyperlink" Target="https://drive.google.com/file/d/1TpKgJHGdCH35G3Oi4LecQhB1TA5xUqqm/view?usp=sharing" TargetMode="External"/><Relationship Id="rId225" Type="http://schemas.openxmlformats.org/officeDocument/2006/relationships/hyperlink" Target="https://drive.google.com/file/d/1RTTfCXttSmaPjB2V5ASVJ3P_vo3sPC1L/view?usp=sharing" TargetMode="External"/><Relationship Id="rId246" Type="http://schemas.openxmlformats.org/officeDocument/2006/relationships/hyperlink" Target="https://drive.google.com/file/d/1HqL34XhoI6oHf2NySYADFtVTGcvmcf7T/view?usp=sharing" TargetMode="External"/><Relationship Id="rId267" Type="http://schemas.openxmlformats.org/officeDocument/2006/relationships/hyperlink" Target="https://drive.google.com/file/d/1tGBfbKZrp4gzQxoW5c2fVY-ghlrAqnFP/view" TargetMode="External"/><Relationship Id="rId288" Type="http://schemas.openxmlformats.org/officeDocument/2006/relationships/hyperlink" Target="http://v/" TargetMode="External"/><Relationship Id="rId411" Type="http://schemas.openxmlformats.org/officeDocument/2006/relationships/hyperlink" Target="http://rachelcsmith.com/NSF/DisturbanceRP.pdf" TargetMode="External"/><Relationship Id="rId432" Type="http://schemas.openxmlformats.org/officeDocument/2006/relationships/hyperlink" Target="http://www.rachelcsmith.com/NSF/EcologicalFiltersGrasslandsProposedResearch.pdf" TargetMode="External"/><Relationship Id="rId453" Type="http://schemas.openxmlformats.org/officeDocument/2006/relationships/hyperlink" Target="https://www.google.com/url?q=https://github.com/ybrandvain/GRFP/raw/master/rjcmarkelz_GRFP_2009_Research_Statement.pdf&amp;sa=D&amp;source=editors&amp;ust=1631911041011000&amp;usg=AOvVaw02uTB2J8dN-u0Ey9IsM_Aq" TargetMode="External"/><Relationship Id="rId474" Type="http://schemas.openxmlformats.org/officeDocument/2006/relationships/hyperlink" Target="http://www.rachelcsmith.com/NSF/NitrogenPrevResExp.pdf" TargetMode="External"/><Relationship Id="rId106" Type="http://schemas.openxmlformats.org/officeDocument/2006/relationships/hyperlink" Target="https://drive.google.com/file/d/1zSkUt6RPEwz1TycbDt5J8jgeJgygDcie/view?usp=sharing" TargetMode="External"/><Relationship Id="rId127" Type="http://schemas.openxmlformats.org/officeDocument/2006/relationships/hyperlink" Target="https://drive.google.com/file/d/1M0IAAa11p4OSabRh3-tHQuukYx2Alijt/view?usp=sharing" TargetMode="External"/><Relationship Id="rId313" Type="http://schemas.openxmlformats.org/officeDocument/2006/relationships/hyperlink" Target="https://www.google.com/url?q=https://github.com/ybrandvain/GRFP/raw/master/Del_Carpio_GRFP_2016_Research_Final.pdf&amp;sa=D&amp;source=editors&amp;ust=1631911041014000&amp;usg=AOvVaw3oSAq9Tf1nxDPhAXw1XHTj" TargetMode="External"/><Relationship Id="rId10" Type="http://schemas.openxmlformats.org/officeDocument/2006/relationships/hyperlink" Target="https://drive.google.com/file/d/1S-A22zp7HE-3rAO_WWIN0sTFhUYP_cy2/view?usp=sharing" TargetMode="External"/><Relationship Id="rId31" Type="http://schemas.openxmlformats.org/officeDocument/2006/relationships/hyperlink" Target="https://drive.google.com/file/d/1_WdIxtlyg5vDNhnxRbAKZZL7yNa93lqC/view?usp=sharing" TargetMode="External"/><Relationship Id="rId52" Type="http://schemas.openxmlformats.org/officeDocument/2006/relationships/hyperlink" Target="https://drive.google.com/file/d/1y0uUbvnT2vluJgqwo6FfAoerTz8Nw8ol/view?usp=sharing" TargetMode="External"/><Relationship Id="rId73" Type="http://schemas.openxmlformats.org/officeDocument/2006/relationships/hyperlink" Target="http://www.cesaroestien.com/uploads/1/3/2/9/132989062/estien_nsfgrfp_reviews.pdf" TargetMode="External"/><Relationship Id="rId94" Type="http://schemas.openxmlformats.org/officeDocument/2006/relationships/hyperlink" Target="https://drive.google.com/file/d/1PFpqQMbT4aKB6W29m8S5pRXg1hxETScY/view?usp=sharing" TargetMode="External"/><Relationship Id="rId148" Type="http://schemas.openxmlformats.org/officeDocument/2006/relationships/hyperlink" Target="https://theprofessorisin.com/2011/07/05/dr-karens-foolproof-grant-template/" TargetMode="External"/><Relationship Id="rId169" Type="http://schemas.openxmlformats.org/officeDocument/2006/relationships/hyperlink" Target="https://njw.fish/static/posts/nsf_grfp/research_proposal.pdf" TargetMode="External"/><Relationship Id="rId334" Type="http://schemas.openxmlformats.org/officeDocument/2006/relationships/hyperlink" Target="https://www.cientificolatino.com/writing-center" TargetMode="External"/><Relationship Id="rId355" Type="http://schemas.openxmlformats.org/officeDocument/2006/relationships/hyperlink" Target="https://github.com/ybrandvain/GRFP" TargetMode="External"/><Relationship Id="rId376" Type="http://schemas.openxmlformats.org/officeDocument/2006/relationships/hyperlink" Target="https://www.cientificolatino.com/writing-center" TargetMode="External"/><Relationship Id="rId397" Type="http://schemas.openxmlformats.org/officeDocument/2006/relationships/hyperlink" Target="https://www.google.com/url?q=https://github.com/ybrandvain/GRFP/raw/master/Kandlikar_2013_PersState.pdf&amp;sa=D&amp;source=editors&amp;ust=1631911041012000&amp;usg=AOvVaw3H0dXqVigqHaljW3Kcb8yo" TargetMode="External"/><Relationship Id="rId4" Type="http://schemas.openxmlformats.org/officeDocument/2006/relationships/hyperlink" Target="https://drive.google.com/file/d/1afe_t1wxoAprNgDQdje_zsuEeoPArxbu/view?usp=sharing" TargetMode="External"/><Relationship Id="rId180" Type="http://schemas.openxmlformats.org/officeDocument/2006/relationships/hyperlink" Target="https://drive.google.com/file/d/1T3zyXXbZY6JG4_b8LKFzbqDLY4Du9LEV/view?usp=sharing" TargetMode="External"/><Relationship Id="rId215" Type="http://schemas.openxmlformats.org/officeDocument/2006/relationships/hyperlink" Target="https://drive.google.com/file/d/1AEFkwQ5KYPgL8muHPYzCkuKDtNHyv3TV/view?usp=sharing" TargetMode="External"/><Relationship Id="rId236" Type="http://schemas.openxmlformats.org/officeDocument/2006/relationships/hyperlink" Target="http://v/" TargetMode="External"/><Relationship Id="rId257" Type="http://schemas.openxmlformats.org/officeDocument/2006/relationships/hyperlink" Target="https://drive.google.com/file/d/1oc28XywyqoR0SibJTq_Z6s3VJRXbBmnC/view?usp=sharing" TargetMode="External"/><Relationship Id="rId278" Type="http://schemas.openxmlformats.org/officeDocument/2006/relationships/hyperlink" Target="https://drive.google.com/file/d/15BfJS_fuYejw-scWud_wAdU2ys7G4IMM/view?usp=sharing" TargetMode="External"/><Relationship Id="rId401" Type="http://schemas.openxmlformats.org/officeDocument/2006/relationships/hyperlink" Target="https://drive.google.com/file/d/1WqD0-zlI30IJJRwIs9hXA0WKUoky9csX/view?usp=sharing" TargetMode="External"/><Relationship Id="rId422" Type="http://schemas.openxmlformats.org/officeDocument/2006/relationships/hyperlink" Target="http://rachelcsmith.com/academics/nsf.htm" TargetMode="External"/><Relationship Id="rId443" Type="http://schemas.openxmlformats.org/officeDocument/2006/relationships/hyperlink" Target="http://www.rachelcsmith.com/NSF/EcologicalFiltersGrasslandsRatingsSheets.pdf" TargetMode="External"/><Relationship Id="rId464" Type="http://schemas.openxmlformats.org/officeDocument/2006/relationships/hyperlink" Target="http://www.rachelcsmith.com/NSF/SmithProposedPR.pdf" TargetMode="External"/><Relationship Id="rId303" Type="http://schemas.openxmlformats.org/officeDocument/2006/relationships/hyperlink" Target="https://www.google.com/url?q=https://github.com/ybrandvain/GRFP/raw/master/HejmadiArun_Personal_Statement.pdf&amp;sa=D&amp;source=editors&amp;ust=1631911041014000&amp;usg=AOvVaw0CQ3G3Kg8JoRaOAkLBkCW1" TargetMode="External"/><Relationship Id="rId485" Type="http://schemas.openxmlformats.org/officeDocument/2006/relationships/hyperlink" Target="http://rachelcsmith.com/academics/nsf.htm" TargetMode="External"/><Relationship Id="rId42" Type="http://schemas.openxmlformats.org/officeDocument/2006/relationships/hyperlink" Target="https://drive.google.com/file/d/1dPbBxF7Mi96oLyLjAWY-KghU4HleF57c/view?usp=sharing" TargetMode="External"/><Relationship Id="rId84" Type="http://schemas.openxmlformats.org/officeDocument/2006/relationships/hyperlink" Target="https://drive.google.com/file/d/1Q9IWo5_4bWMuGgqZ3GYH-UM-Avtv-n9Q/view?usp=sharing" TargetMode="External"/><Relationship Id="rId138" Type="http://schemas.openxmlformats.org/officeDocument/2006/relationships/hyperlink" Target="https://drive.google.com/file/d/1V3jAMHcG4mzIO7TGBA-phHJi4VlfPgie/view?usp=sharing" TargetMode="External"/><Relationship Id="rId345" Type="http://schemas.openxmlformats.org/officeDocument/2006/relationships/hyperlink" Target="https://roxannebeltran.files.wordpress.com/2015/09/funded-bioenergetics-reviews.pdf" TargetMode="External"/><Relationship Id="rId387" Type="http://schemas.openxmlformats.org/officeDocument/2006/relationships/hyperlink" Target="https://www.google.com/url?q=https://github.com/ybrandvain/GRFP/raw/master/GettleNoahNSF_GRFPReviews2013.pdf&amp;sa=D&amp;source=editors&amp;ust=1631911041012000&amp;usg=AOvVaw3dBoN61NYnv7zQGbzBiqdD" TargetMode="External"/><Relationship Id="rId191" Type="http://schemas.openxmlformats.org/officeDocument/2006/relationships/hyperlink" Target="http://v/" TargetMode="External"/><Relationship Id="rId205" Type="http://schemas.openxmlformats.org/officeDocument/2006/relationships/hyperlink" Target="https://drive.google.com/file/d/1QUA1UuYY8SAhg0w443VtZQsDzjyH_v-G/view?usp=sharing" TargetMode="External"/><Relationship Id="rId247" Type="http://schemas.openxmlformats.org/officeDocument/2006/relationships/hyperlink" Target="https://drive.google.com/file/d/1373nGKj-ttQBIPIkK1eZ2H12FO1cCBYJ/view?usp=sharing" TargetMode="External"/><Relationship Id="rId412" Type="http://schemas.openxmlformats.org/officeDocument/2006/relationships/hyperlink" Target="http://rachelcsmith.com/NSF/DisturbancePRE.pdf" TargetMode="External"/><Relationship Id="rId107" Type="http://schemas.openxmlformats.org/officeDocument/2006/relationships/hyperlink" Target="https://drive.google.com/file/d/1z6D2I3BSbpBmpsErTglqYnzov1GBh-We/view?usp=sharing" TargetMode="External"/><Relationship Id="rId289" Type="http://schemas.openxmlformats.org/officeDocument/2006/relationships/hyperlink" Target="https://www.cientificolatino.com/writing-center" TargetMode="External"/><Relationship Id="rId454" Type="http://schemas.openxmlformats.org/officeDocument/2006/relationships/hyperlink" Target="https://www.google.com/url?q=https://github.com/ybrandvain/GRFP/raw/master/rjcmarkelz_GRFP_2009_Personal_Statement.pdf&amp;sa=D&amp;source=editors&amp;ust=1631911041011000&amp;usg=AOvVaw1Lr4sQJCv1OdiFpt250XmK" TargetMode="External"/><Relationship Id="rId11" Type="http://schemas.openxmlformats.org/officeDocument/2006/relationships/hyperlink" Target="https://drive.google.com/file/d/14Rw6JHIBwv0hD4eUOUjmZ2TmBSQxqIFB/view?usp=sharing" TargetMode="External"/><Relationship Id="rId53" Type="http://schemas.openxmlformats.org/officeDocument/2006/relationships/hyperlink" Target="https://drive.google.com/file/d/1K8nVqHVbFn-m5I1cTaBGF_OH6L9CoFTw/view?usp=sharing" TargetMode="External"/><Relationship Id="rId149" Type="http://schemas.openxmlformats.org/officeDocument/2006/relationships/hyperlink" Target="http://v/" TargetMode="External"/><Relationship Id="rId314" Type="http://schemas.openxmlformats.org/officeDocument/2006/relationships/hyperlink" Target="https://www.google.com/url?q=https://github.com/ybrandvain/GRFP/raw/master/Del_Carpio_GRFP_2016_Personal_Final.pdf&amp;sa=D&amp;source=editors&amp;ust=1631911041014000&amp;usg=AOvVaw0O2FaWZVv3ZhWuSzIeBCNe" TargetMode="External"/><Relationship Id="rId356" Type="http://schemas.openxmlformats.org/officeDocument/2006/relationships/hyperlink" Target="https://www.google.com/url?q=https://github.com/ybrandvain/GRFP/raw/master/BurgiorProposal.pdf&amp;sa=D&amp;source=editors&amp;ust=1631911041013000&amp;usg=AOvVaw1p0JkivNrHC1O7j1OKde1T" TargetMode="External"/><Relationship Id="rId398" Type="http://schemas.openxmlformats.org/officeDocument/2006/relationships/hyperlink" Target="https://github.com/ybrandvain/GRFP" TargetMode="External"/><Relationship Id="rId95" Type="http://schemas.openxmlformats.org/officeDocument/2006/relationships/hyperlink" Target="https://drive.google.com/file/d/1DGywlh0Y_EvxC1559Q8leaI8o3tMyZOd/view?usp=sharing" TargetMode="External"/><Relationship Id="rId160" Type="http://schemas.openxmlformats.org/officeDocument/2006/relationships/hyperlink" Target="https://twitter.com/ebaltz" TargetMode="External"/><Relationship Id="rId216" Type="http://schemas.openxmlformats.org/officeDocument/2006/relationships/hyperlink" Target="https://drive.google.com/file/d/1hlJ8Z7Iv2GmAkWEPbddizAqhjKOkVCd1/view?usp=sharing" TargetMode="External"/><Relationship Id="rId423" Type="http://schemas.openxmlformats.org/officeDocument/2006/relationships/hyperlink" Target="http://www.rachelcsmith.com/NSF/ArchaeologyResearchStatement.pdf" TargetMode="External"/><Relationship Id="rId258" Type="http://schemas.openxmlformats.org/officeDocument/2006/relationships/hyperlink" Target="https://drive.google.com/file/d/1k7pmn8hitqm1kkt0LDETSI7sf_f6PxXB/view?usp=sharing" TargetMode="External"/><Relationship Id="rId465" Type="http://schemas.openxmlformats.org/officeDocument/2006/relationships/hyperlink" Target="http://www.rachelcsmith.com/NSF/SmithPersonal.pdf" TargetMode="External"/><Relationship Id="rId22" Type="http://schemas.openxmlformats.org/officeDocument/2006/relationships/hyperlink" Target="https://drive.google.com/file/d/1JiuuP3Mlhvp6baxCB4w0RpZnlI8Me-_v/view?usp=sharing" TargetMode="External"/><Relationship Id="rId64" Type="http://schemas.openxmlformats.org/officeDocument/2006/relationships/hyperlink" Target="https://drive.google.com/file/d/1EFLb6asmABro4YUbH7xWE5oA2t0vuAZ0/view?usp=sharing" TargetMode="External"/><Relationship Id="rId118" Type="http://schemas.openxmlformats.org/officeDocument/2006/relationships/hyperlink" Target="https://drive.google.com/file/d/1KYlNZzopnQ0Ln2LOFrUg9ehVpMtVXtWq/view?usp=sharing" TargetMode="External"/><Relationship Id="rId325" Type="http://schemas.openxmlformats.org/officeDocument/2006/relationships/hyperlink" Target="https://drive.google.com/file/d/1uWpQgHzxvPcntHPSGyNeIBwYT3b3jxbV/view?usp=sharing" TargetMode="External"/><Relationship Id="rId367" Type="http://schemas.openxmlformats.org/officeDocument/2006/relationships/hyperlink" Target="https://www.cientificolatino.com/writing-center" TargetMode="External"/><Relationship Id="rId171" Type="http://schemas.openxmlformats.org/officeDocument/2006/relationships/hyperlink" Target="https://njw.fish/static/posts/nsf_grfp/reviews.pdf" TargetMode="External"/><Relationship Id="rId227" Type="http://schemas.openxmlformats.org/officeDocument/2006/relationships/hyperlink" Target="https://b83bf412-fbd3-4487-852d-9a66499bab1a.filesusr.com/ugd/24b4aa_274f1300d8e4479aac61c9733a9e105c.pdf" TargetMode="External"/><Relationship Id="rId269" Type="http://schemas.openxmlformats.org/officeDocument/2006/relationships/hyperlink" Target="https://aibhleog.github.io/nsf.html" TargetMode="External"/><Relationship Id="rId434" Type="http://schemas.openxmlformats.org/officeDocument/2006/relationships/hyperlink" Target="http://www.rachelcsmith.com/NSF/EcologicalFiltersGrasslandsPrevResearchExp.pdf" TargetMode="External"/><Relationship Id="rId476" Type="http://schemas.openxmlformats.org/officeDocument/2006/relationships/hyperlink" Target="https://www.google.com/url?q=https://github.com/ybrandvain/GRFP/raw/master/Scarpino_GRFP_ResearchProposal_2007.pdf&amp;sa=D&amp;source=editors&amp;ust=1631911041010000&amp;usg=AOvVaw2Zn_LkkVoM1wRqy8h2iSOQ" TargetMode="External"/><Relationship Id="rId33" Type="http://schemas.openxmlformats.org/officeDocument/2006/relationships/hyperlink" Target="https://drive.google.com/file/d/175BNYrz2D86-rqkTxvRWHE-kZie74GUF/view?usp=sharing" TargetMode="External"/><Relationship Id="rId129" Type="http://schemas.openxmlformats.org/officeDocument/2006/relationships/hyperlink" Target="https://drive.google.com/file/d/1XZk0p_BwNOuoKkomMPcBTK2-UIp9eksB/view?usp=sharing" TargetMode="External"/><Relationship Id="rId280" Type="http://schemas.openxmlformats.org/officeDocument/2006/relationships/hyperlink" Target="https://drive.google.com/file/d/1TaHJMkgKP8JCktEzRrVxfW00-rCnC3Fd/view?usp=sharing" TargetMode="External"/><Relationship Id="rId336" Type="http://schemas.openxmlformats.org/officeDocument/2006/relationships/hyperlink" Target="https://www.cientificolatino.com/writing-center" TargetMode="External"/><Relationship Id="rId75" Type="http://schemas.openxmlformats.org/officeDocument/2006/relationships/hyperlink" Target="https://drive.google.com/file/d/1uydyCwzZ5ed2fM5tai98U7aTcLIbWCu9/view?usp=sharing" TargetMode="External"/><Relationship Id="rId140" Type="http://schemas.openxmlformats.org/officeDocument/2006/relationships/hyperlink" Target="https://joshmyersdean.github.io/grfp/" TargetMode="External"/><Relationship Id="rId182" Type="http://schemas.openxmlformats.org/officeDocument/2006/relationships/hyperlink" Target="https://drive.google.com/file/d/1MMBroAdjsqRPwDjw-IDM_mrT7jCoKbJh/view?usp=sharing" TargetMode="External"/><Relationship Id="rId378" Type="http://schemas.openxmlformats.org/officeDocument/2006/relationships/hyperlink" Target="https://github.com/ybrandvain/GRFP" TargetMode="External"/><Relationship Id="rId403" Type="http://schemas.openxmlformats.org/officeDocument/2006/relationships/hyperlink" Target="https://www.google.com/url?q=https://github.com/ybrandvain/GRFP/raw/master/Werden_GRFP_Personal_Statement_Final2012.pdf&amp;sa=D&amp;source=editors&amp;ust=1631911041011000&amp;usg=AOvVaw06EE_nDD6gtEa1vu5B_QUt" TargetMode="External"/><Relationship Id="rId6" Type="http://schemas.openxmlformats.org/officeDocument/2006/relationships/hyperlink" Target="https://drive.google.com/file/d/1xW_Y6mcq4mu6ZmYr0TOnXDU_8COQjSEV/view?usp=sharing" TargetMode="External"/><Relationship Id="rId238" Type="http://schemas.openxmlformats.org/officeDocument/2006/relationships/hyperlink" Target="https://drive.google.com/file/d/1FwL5gszdMTzyP5ESA_6qDMaLPRVww0cw/view?usp=sharing" TargetMode="External"/><Relationship Id="rId445" Type="http://schemas.openxmlformats.org/officeDocument/2006/relationships/hyperlink" Target="http://www.rachelcsmith.com/NSF/CrossoverRegulationResearchProposal.pdf" TargetMode="External"/><Relationship Id="rId291" Type="http://schemas.openxmlformats.org/officeDocument/2006/relationships/hyperlink" Target="https://www.cientificolatino.com/writing-center" TargetMode="External"/><Relationship Id="rId305" Type="http://schemas.openxmlformats.org/officeDocument/2006/relationships/hyperlink" Target="https://github.com/ybrandvain/GRFP" TargetMode="External"/><Relationship Id="rId347" Type="http://schemas.openxmlformats.org/officeDocument/2006/relationships/hyperlink" Target="https://www.google.com/url?q=https://github.com/ybrandvain/GRFP/raw/master/ProposedResearch_Mooney2015.pdf&amp;sa=D&amp;source=editors&amp;ust=1631911041013000&amp;usg=AOvVaw2ZqEGRTLuGcyFQhyB8U-04" TargetMode="External"/><Relationship Id="rId44" Type="http://schemas.openxmlformats.org/officeDocument/2006/relationships/hyperlink" Target="https://drive.google.com/file/d/1LNvejGSYWBYtfo2XJYGuNqxIULsmhAPj/view?usp=sharing" TargetMode="External"/><Relationship Id="rId86" Type="http://schemas.openxmlformats.org/officeDocument/2006/relationships/hyperlink" Target="https://drive.google.com/file/d/1GCDkg1Wbuvg3cK1ID82Ps-2LuRk8LFbb/view?usp=sharing" TargetMode="External"/><Relationship Id="rId151" Type="http://schemas.openxmlformats.org/officeDocument/2006/relationships/hyperlink" Target="http://v/" TargetMode="External"/><Relationship Id="rId389" Type="http://schemas.openxmlformats.org/officeDocument/2006/relationships/hyperlink" Target="https://www.google.com/url?q=https://github.com/ybrandvain/GRFP/raw/master/Ddrabeck_GRFP_ResearchPlan_2013.pdf&amp;sa=D&amp;source=editors&amp;ust=1631911041012000&amp;usg=AOvVaw3uI9a0IER9Wldju8rn2S75" TargetMode="External"/><Relationship Id="rId193" Type="http://schemas.openxmlformats.org/officeDocument/2006/relationships/hyperlink" Target="https://drive.google.com/file/d/1shP7ByIPhxGkTRd7ZZo6ze-RfGReqHKj/view?usp=sharing" TargetMode="External"/><Relationship Id="rId207" Type="http://schemas.openxmlformats.org/officeDocument/2006/relationships/hyperlink" Target="https://drive.google.com/file/d/1upDJZZP8qrswPkCqzk6kecpvDBM5rkd5/view?usp=sharing" TargetMode="External"/><Relationship Id="rId249" Type="http://schemas.openxmlformats.org/officeDocument/2006/relationships/hyperlink" Target="https://drive.google.com/file/d/14oXpUMF3JF-tqPCngIqqjH5sld0VOhQI/view?usp=sharing" TargetMode="External"/><Relationship Id="rId414" Type="http://schemas.openxmlformats.org/officeDocument/2006/relationships/hyperlink" Target="http://rachelcsmith.com/academics/nsf.htm" TargetMode="External"/><Relationship Id="rId456" Type="http://schemas.openxmlformats.org/officeDocument/2006/relationships/hyperlink" Target="https://github.com/ybrandvain/GRFP" TargetMode="External"/><Relationship Id="rId13" Type="http://schemas.openxmlformats.org/officeDocument/2006/relationships/hyperlink" Target="https://drive.google.com/file/d/1cB4BfWHFQ6BsjYZtQ2yivQyKkZl9ilBT/view?usp=sharing" TargetMode="External"/><Relationship Id="rId109" Type="http://schemas.openxmlformats.org/officeDocument/2006/relationships/hyperlink" Target="https://drive.google.com/file/d/17Q-_SxUKrNuYYx_AijmfBUeFfgs49LzB/view?usp=sharing" TargetMode="External"/><Relationship Id="rId260" Type="http://schemas.openxmlformats.org/officeDocument/2006/relationships/hyperlink" Target="http://v/" TargetMode="External"/><Relationship Id="rId316" Type="http://schemas.openxmlformats.org/officeDocument/2006/relationships/hyperlink" Target="https://www.google.com/url?q=https://github.com/ybrandvain/GRFP/raw/master/Bird_NSF_Research_official.pdf&amp;sa=D&amp;source=editors&amp;ust=1631911041014000&amp;usg=AOvVaw20fKcbb6GE1CiqpkgtSXjg" TargetMode="External"/><Relationship Id="rId55" Type="http://schemas.openxmlformats.org/officeDocument/2006/relationships/hyperlink" Target="http://v/" TargetMode="External"/><Relationship Id="rId97" Type="http://schemas.openxmlformats.org/officeDocument/2006/relationships/hyperlink" Target="https://drive.google.com/file/d/1oj39ggMcMlZon02M6GjBF1G7UXUqrV9R/view?usp=sharing" TargetMode="External"/><Relationship Id="rId120" Type="http://schemas.openxmlformats.org/officeDocument/2006/relationships/hyperlink" Target="https://drive.google.com/file/d/1rOKn7d3-1-A98-RtEZUGtN3UxgoO9UkP/view?usp=sharing" TargetMode="External"/><Relationship Id="rId358" Type="http://schemas.openxmlformats.org/officeDocument/2006/relationships/hyperlink" Target="https://www.google.com/url?q=https://github.com/ybrandvain/GRFP/raw/master/Burgioreview.pdf&amp;sa=D&amp;source=editors&amp;ust=1631911041013000&amp;usg=AOvVaw3lUXjoSqFjXc9RY9uqK6Gq" TargetMode="External"/><Relationship Id="rId162" Type="http://schemas.openxmlformats.org/officeDocument/2006/relationships/hyperlink" Target="https://drive.google.com/file/d/1loNbHcjzl5zOEOzbFgk0I61A8LPIpHii/view" TargetMode="External"/><Relationship Id="rId218" Type="http://schemas.openxmlformats.org/officeDocument/2006/relationships/hyperlink" Target="https://drive.google.com/file/d/12t8iW1YKSMIr60bO_BTMwxgZfyQHwFyA/view?usp=sharing" TargetMode="External"/><Relationship Id="rId425" Type="http://schemas.openxmlformats.org/officeDocument/2006/relationships/hyperlink" Target="http://www.rachelcsmith.com/NSF/ArchaeologyPreviousResearchExp.pdf" TargetMode="External"/><Relationship Id="rId467" Type="http://schemas.openxmlformats.org/officeDocument/2006/relationships/hyperlink" Target="http://rachelcsmith.com/academics/nsf.htm" TargetMode="External"/><Relationship Id="rId271" Type="http://schemas.openxmlformats.org/officeDocument/2006/relationships/hyperlink" Target="https://www.cientificolatino.com/writing-center" TargetMode="External"/><Relationship Id="rId24" Type="http://schemas.openxmlformats.org/officeDocument/2006/relationships/hyperlink" Target="https://drive.google.com/file/d/14SC59yJmlMYeo4_xJ4squisd0WeY9Agy/view?usp=sharing" TargetMode="External"/><Relationship Id="rId66" Type="http://schemas.openxmlformats.org/officeDocument/2006/relationships/hyperlink" Target="https://drive.google.com/file/d/12gQguidFASrcelqBJ0OsRp92HxI0zP5c/view?usp=sharing" TargetMode="External"/><Relationship Id="rId131" Type="http://schemas.openxmlformats.org/officeDocument/2006/relationships/hyperlink" Target="https://drive.google.com/file/d/1IJmsl332Wealu-uBMQTcYE7NctMh9aKq/view?usp=sharing" TargetMode="External"/><Relationship Id="rId327" Type="http://schemas.openxmlformats.org/officeDocument/2006/relationships/hyperlink" Target="https://drive.google.com/file/d/1S-pd97HbCMr8t_lRE63UuzQRgW12k5SN/view?usp=sharing" TargetMode="External"/><Relationship Id="rId369" Type="http://schemas.openxmlformats.org/officeDocument/2006/relationships/hyperlink" Target="https://www.cientificolatino.com/writing-center" TargetMode="External"/><Relationship Id="rId173" Type="http://schemas.openxmlformats.org/officeDocument/2006/relationships/hyperlink" Target="https://njw.fish/words/nsf_grfp" TargetMode="External"/><Relationship Id="rId229" Type="http://schemas.openxmlformats.org/officeDocument/2006/relationships/hyperlink" Target="https://b83bf412-fbd3-4487-852d-9a66499bab1a.filesusr.com/ugd/24b4aa_fd686a0b81e64eedb64e667d657da3d4.pdf" TargetMode="External"/><Relationship Id="rId380" Type="http://schemas.openxmlformats.org/officeDocument/2006/relationships/hyperlink" Target="https://www.google.com/url?q=https://github.com/ybrandvain/GRFP/raw/master/Vince-BuffaloPersonal-statement2014.pdf&amp;sa=D&amp;source=editors&amp;ust=1631911041013000&amp;usg=AOvVaw3v_9S2BMTUGaoOTHoDSbdb" TargetMode="External"/><Relationship Id="rId436" Type="http://schemas.openxmlformats.org/officeDocument/2006/relationships/hyperlink" Target="https://www.google.com/url?q=https://github.com/ybrandvain/GRFP/blob/master/EBJproposal2010.pdf&amp;sa=D&amp;source=editors&amp;ust=1631911041011000&amp;usg=AOvVaw3utTT-a2L-Y-3tBSr4AUMj" TargetMode="External"/><Relationship Id="rId240" Type="http://schemas.openxmlformats.org/officeDocument/2006/relationships/hyperlink" Target="https://drive.google.com/file/d/1jf_dQ6OaAwUTZFe7XyLV7LvNhzPwVr7q/view?usp=sharing" TargetMode="External"/><Relationship Id="rId478" Type="http://schemas.openxmlformats.org/officeDocument/2006/relationships/hyperlink" Target="https://github.com/ybrandvain/GRFP" TargetMode="External"/><Relationship Id="rId35" Type="http://schemas.openxmlformats.org/officeDocument/2006/relationships/hyperlink" Target="https://drive.google.com/file/d/1AFY8HDSJ5p7b8DGBx853RrHc_skDxrj3/view?usp=sharing" TargetMode="External"/><Relationship Id="rId77" Type="http://schemas.openxmlformats.org/officeDocument/2006/relationships/hyperlink" Target="https://drive.google.com/file/d/11pWGLSzK5UyZ5pf9X65xr9TbgSQjlUqI/view?usp=sharing" TargetMode="External"/><Relationship Id="rId100" Type="http://schemas.openxmlformats.org/officeDocument/2006/relationships/hyperlink" Target="https://drive.google.com/file/d/1IYnt7vFCEhTHGLdr47sMzJfoa40lAX6I/view?usp=sharing" TargetMode="External"/><Relationship Id="rId282" Type="http://schemas.openxmlformats.org/officeDocument/2006/relationships/hyperlink" Target="https://tx.ag/nsfadvice" TargetMode="External"/><Relationship Id="rId338" Type="http://schemas.openxmlformats.org/officeDocument/2006/relationships/hyperlink" Target="https://www.cientificolatino.com/writing-center" TargetMode="External"/><Relationship Id="rId8" Type="http://schemas.openxmlformats.org/officeDocument/2006/relationships/hyperlink" Target="https://drive.google.com/file/d/1Gqt-1QPPgj11-tfP_6bzUzdQ5tM7aZMs/view?usp=sharing" TargetMode="External"/><Relationship Id="rId142" Type="http://schemas.openxmlformats.org/officeDocument/2006/relationships/hyperlink" Target="https://drive.google.com/file/d/12eORSS_y9JC09qyo6Dfi-mGDUP3kVfr3/view?usp=sharing" TargetMode="External"/><Relationship Id="rId184" Type="http://schemas.openxmlformats.org/officeDocument/2006/relationships/hyperlink" Target="https://drive.google.com/file/d/1cLM6sjwNhwYlV_gwGR8oyvguTejJK0AQ/view?usp=sharing" TargetMode="External"/><Relationship Id="rId391" Type="http://schemas.openxmlformats.org/officeDocument/2006/relationships/hyperlink" Target="https://www.google.com/url?q=https://github.com/ybrandvain/GRFP/raw/master/Ddrabeck_GRFP_Review_2013.pdf&amp;sa=D&amp;source=editors&amp;ust=1631911041012000&amp;usg=AOvVaw16uFLwQgVpiB1NBwE4l98F" TargetMode="External"/><Relationship Id="rId405" Type="http://schemas.openxmlformats.org/officeDocument/2006/relationships/hyperlink" Target="https://www.google.com/url?q=https://github.com/ybrandvain/GRFP/raw/master/ClarkAdam_NSFResearchProposal_final.pdf&amp;sa=D&amp;source=editors&amp;ust=1631911041011000&amp;usg=AOvVaw2eeGRq9deiGij_tQmayxHX" TargetMode="External"/><Relationship Id="rId447" Type="http://schemas.openxmlformats.org/officeDocument/2006/relationships/hyperlink" Target="http://www.rachelcsmith.com/NSF/CrossoverRegulationPreviousResearch.pdf" TargetMode="External"/><Relationship Id="rId251" Type="http://schemas.openxmlformats.org/officeDocument/2006/relationships/hyperlink" Target="https://twitter.com/FurmanK8" TargetMode="External"/><Relationship Id="rId46" Type="http://schemas.openxmlformats.org/officeDocument/2006/relationships/hyperlink" Target="https://drive.google.com/file/d/1ULzLKNYsf-PecywzeQLyiDCP-4lJwPIs/view?usp=sharing" TargetMode="External"/><Relationship Id="rId293" Type="http://schemas.openxmlformats.org/officeDocument/2006/relationships/hyperlink" Target="https://www.cientificolatino.com/writing-center" TargetMode="External"/><Relationship Id="rId307" Type="http://schemas.openxmlformats.org/officeDocument/2006/relationships/hyperlink" Target="https://drive.google.com/file/d/1Gq430pQMIraj41GMa4bj8JFxDL7AwifS/view?usp=sharing" TargetMode="External"/><Relationship Id="rId349" Type="http://schemas.openxmlformats.org/officeDocument/2006/relationships/hyperlink" Target="https://github.com/ybrandvain/GRFP" TargetMode="External"/><Relationship Id="rId88" Type="http://schemas.openxmlformats.org/officeDocument/2006/relationships/hyperlink" Target="https://drive.google.com/file/d/191e3aS14TcKuVTaJjW6kzzn8WkQTf4mH/view?usp=sharing" TargetMode="External"/><Relationship Id="rId111" Type="http://schemas.openxmlformats.org/officeDocument/2006/relationships/hyperlink" Target="https://drive.google.com/file/d/1t-WLLUrusUaYO31fib1_KGb4fRL4Mlwz/view?usp=sharing" TargetMode="External"/><Relationship Id="rId153" Type="http://schemas.openxmlformats.org/officeDocument/2006/relationships/hyperlink" Target="https://drive.google.com/file/d/1jZIX8EXi0O7lKVPfbRGZirQR73OEJDBs/view?usp=sharing" TargetMode="External"/><Relationship Id="rId195" Type="http://schemas.openxmlformats.org/officeDocument/2006/relationships/hyperlink" Target="https://drive.google.com/file/d/1qXE4eOQACf4XutoTH4JzyjAN1PPfVrVp/view?usp=sharing" TargetMode="External"/><Relationship Id="rId209" Type="http://schemas.openxmlformats.org/officeDocument/2006/relationships/hyperlink" Target="https://drive.google.com/file/d/1jUyi6XJet4IULP8QwvrJyfKncCdRHh5h/view?usp=sharing" TargetMode="External"/><Relationship Id="rId360" Type="http://schemas.openxmlformats.org/officeDocument/2006/relationships/hyperlink" Target="https://drive.google.com/file/d/1TqTP8cTdpYj6WIL6lgO6_DJFf45vCGE1/view?usp=sharing" TargetMode="External"/><Relationship Id="rId416" Type="http://schemas.openxmlformats.org/officeDocument/2006/relationships/hyperlink" Target="http://rachelcsmith.com/NSF/SeasonalPS.pdf" TargetMode="External"/><Relationship Id="rId220" Type="http://schemas.openxmlformats.org/officeDocument/2006/relationships/hyperlink" Target="https://drive.google.com/file/d/1er9pUycK6KDPr7c-IV4wMhQdO5bRvVYt/view?usp=sharing" TargetMode="External"/><Relationship Id="rId458" Type="http://schemas.openxmlformats.org/officeDocument/2006/relationships/hyperlink" Target="http://v/" TargetMode="External"/><Relationship Id="rId15" Type="http://schemas.openxmlformats.org/officeDocument/2006/relationships/hyperlink" Target="https://drive.google.com/file/d/1JaYLz1RBYSDM5p-w2R62OcRr1kf6Has0/view?usp=sharing" TargetMode="External"/><Relationship Id="rId57" Type="http://schemas.openxmlformats.org/officeDocument/2006/relationships/hyperlink" Target="https://drive.google.com/file/d/1HvNE0BLPf4n2LJio-0VUmifEq-pDBtUP/view?usp=sharing" TargetMode="External"/><Relationship Id="rId262" Type="http://schemas.openxmlformats.org/officeDocument/2006/relationships/hyperlink" Target="https://drive.google.com/file/d/1qzRom2g5sbfWZ77AYDADLH1qq5ePnOW1/view?usp=sharing" TargetMode="External"/><Relationship Id="rId318" Type="http://schemas.openxmlformats.org/officeDocument/2006/relationships/hyperlink" Target="https://www.google.com/url?q=https://github.com/ybrandvain/GRFP/raw/master/BirdNSFreview.pdf&amp;sa=D&amp;source=editors&amp;ust=1631911041014000&amp;usg=AOvVaw1r14dhBl1ASbVAG8y04eMW" TargetMode="External"/><Relationship Id="rId99" Type="http://schemas.openxmlformats.org/officeDocument/2006/relationships/hyperlink" Target="https://drive.google.com/file/d/1YZ-NE5RqNG63F_J05w796ECrbPwa237z/view?usp=sharing" TargetMode="External"/><Relationship Id="rId122" Type="http://schemas.openxmlformats.org/officeDocument/2006/relationships/hyperlink" Target="https://drive.google.com/file/d/1z4GfOeq9kVXdOZO6qfa735RAaZYtjoLU/view?usp=sharing" TargetMode="External"/><Relationship Id="rId164" Type="http://schemas.openxmlformats.org/officeDocument/2006/relationships/hyperlink" Target="https://jessicayin.com/" TargetMode="External"/><Relationship Id="rId371" Type="http://schemas.openxmlformats.org/officeDocument/2006/relationships/hyperlink" Target="https://www.cientificolatino.com/writing-center" TargetMode="External"/><Relationship Id="rId427" Type="http://schemas.openxmlformats.org/officeDocument/2006/relationships/hyperlink" Target="http://rachelcsmith.com/academics/nsf.htm" TargetMode="External"/><Relationship Id="rId469" Type="http://schemas.openxmlformats.org/officeDocument/2006/relationships/hyperlink" Target="http://www.rachelcsmith.com/NSF/Game%20Ranching%20in%20Botswana%20Personal%20Statement.pdf" TargetMode="External"/><Relationship Id="rId26" Type="http://schemas.openxmlformats.org/officeDocument/2006/relationships/hyperlink" Target="https://drive.google.com/file/d/128WaNuSCMLGmUqfnfWYDWnLHm_FUKoSA/view?usp=sharing" TargetMode="External"/><Relationship Id="rId231" Type="http://schemas.openxmlformats.org/officeDocument/2006/relationships/hyperlink" Target="https://drive.google.com/file/d/1hYndIo-2SGLvmYQxbGpBtZE_43xKjzNR/view?usp=sharing" TargetMode="External"/><Relationship Id="rId273" Type="http://schemas.openxmlformats.org/officeDocument/2006/relationships/hyperlink" Target="https://www.cientificolatino.com/writing-center" TargetMode="External"/><Relationship Id="rId329" Type="http://schemas.openxmlformats.org/officeDocument/2006/relationships/hyperlink" Target="https://drive.google.com/file/d/0BxTJoMOw_GADWUJyRzZqcVRLdDA/view?usp=sharing&amp;resourcekey=0-MgIpByEN_m7dg2XlGk-1pA" TargetMode="External"/><Relationship Id="rId480" Type="http://schemas.openxmlformats.org/officeDocument/2006/relationships/hyperlink" Target="https://www.google.com/url?q=https://github.com/ybrandvain/GRFP/raw/master/NChenGRFP2007personalStatement.pdf&amp;sa=D&amp;source=editors&amp;ust=1631911041011000&amp;usg=AOvVaw3EQYkkW1hXsky5CCZLx6gn" TargetMode="External"/><Relationship Id="rId68" Type="http://schemas.openxmlformats.org/officeDocument/2006/relationships/hyperlink" Target="https://drive.google.com/file/d/1zG_tu-vj_LqAiISWtZyNOewhgeuksgfM/view?usp=sharing" TargetMode="External"/><Relationship Id="rId133" Type="http://schemas.openxmlformats.org/officeDocument/2006/relationships/hyperlink" Target="https://drive.google.com/file/d/13_kR5Nwo6_DP_NiSoV5oRot07gFCK5bk/view?usp=sharing" TargetMode="External"/><Relationship Id="rId175" Type="http://schemas.openxmlformats.org/officeDocument/2006/relationships/hyperlink" Target="https://drive.google.com/file/d/1pbN37n2HgU6dGQkLQKlZ6ALkffxFaNuH/view?usp=sharing" TargetMode="External"/><Relationship Id="rId340" Type="http://schemas.openxmlformats.org/officeDocument/2006/relationships/hyperlink" Target="https://roxannebeltran.files.wordpress.com/2015/09/topographic-complexity-personal-essay.pdf" TargetMode="External"/><Relationship Id="rId200" Type="http://schemas.openxmlformats.org/officeDocument/2006/relationships/hyperlink" Target="https://drive.google.com/file/d/1aYzeW_wh58XNZrUuIAVG-sP6Gn-wTDRO/view?usp=sharing" TargetMode="External"/><Relationship Id="rId382" Type="http://schemas.openxmlformats.org/officeDocument/2006/relationships/hyperlink" Target="https://www.google.com/url?q=https://github.com/ybrandvain/GRFP/raw/master/KristinLeeNSFProposal2013.pdf&amp;sa=D&amp;source=editors&amp;ust=1631911041011000&amp;usg=AOvVaw0hwXTvDk6sQ7H6nNAXiRUY" TargetMode="External"/><Relationship Id="rId438" Type="http://schemas.openxmlformats.org/officeDocument/2006/relationships/hyperlink" Target="https://www.google.com/url?q=https://github.com/ybrandvain/GRFP/raw/master/MartinezResearchStatement10.pdf&amp;sa=D&amp;source=editors&amp;ust=1631911041011000&amp;usg=AOvVaw1HzmyH5_2t69gIxNdXUCpj" TargetMode="External"/><Relationship Id="rId242" Type="http://schemas.openxmlformats.org/officeDocument/2006/relationships/hyperlink" Target="https://drive.google.com/file/d/16SoAmwOuMBZqwDdroatmr1QZhr5xWNE8/view?usp=sharing" TargetMode="External"/><Relationship Id="rId284" Type="http://schemas.openxmlformats.org/officeDocument/2006/relationships/hyperlink" Target="https://drive.google.com/file/d/1b3ra_iVDU8VsNUzjWoKffcK2vmTk4miR/view" TargetMode="External"/><Relationship Id="rId37" Type="http://schemas.openxmlformats.org/officeDocument/2006/relationships/hyperlink" Target="https://drive.google.com/file/d/1DFUTlWnxNMtLu-VM_gF-cunHkuvW4gEa/view?usp=sharing" TargetMode="External"/><Relationship Id="rId79" Type="http://schemas.openxmlformats.org/officeDocument/2006/relationships/hyperlink" Target="https://drive.google.com/file/d/1zjS4wlnDvpvMgL-Lz0584FJyUxAMIMBq/view?usp=sharing" TargetMode="External"/><Relationship Id="rId102" Type="http://schemas.openxmlformats.org/officeDocument/2006/relationships/hyperlink" Target="https://drive.google.com/file/d/1n52rzRvKZsb9CrRCU2Oow_jS1fxdeNQ2/view?usp=sharing" TargetMode="External"/><Relationship Id="rId144" Type="http://schemas.openxmlformats.org/officeDocument/2006/relationships/hyperlink" Target="https://drive.google.com/file/d/1LONADgEpV2ET24a-Qg5je7rJ6lYMckXE/view?usp=sharing" TargetMode="External"/><Relationship Id="rId90" Type="http://schemas.openxmlformats.org/officeDocument/2006/relationships/hyperlink" Target="https://drive.google.com/file/d/1cFOuHyKsv8mLrXbvPGB9i1qDRQcKRYS_/view?usp=sharing" TargetMode="External"/><Relationship Id="rId186" Type="http://schemas.openxmlformats.org/officeDocument/2006/relationships/hyperlink" Target="https://drive.google.com/file/d/1AlxUkHJdhoneHqM4TxKoaq6BjoeewHh9/view?usp=sharing" TargetMode="External"/><Relationship Id="rId351" Type="http://schemas.openxmlformats.org/officeDocument/2006/relationships/hyperlink" Target="https://www.google.com/url?q=https://github.com/ybrandvain/GRFP/raw/master/AFM_Personal_Statement.pdf&amp;sa=D&amp;source=editors&amp;ust=1631911041013000&amp;usg=AOvVaw1svmR0vg2BbC6hp7zeOOta" TargetMode="External"/><Relationship Id="rId393" Type="http://schemas.openxmlformats.org/officeDocument/2006/relationships/hyperlink" Target="https://www.google.com/url?q=https://github.com/ybrandvain/GRFP/raw/master/SKothari_NSFProposal_2013.pdf&amp;sa=D&amp;source=editors&amp;ust=1631911041012000&amp;usg=AOvVaw1qmAzFoNw85gtZ8ZjbQCka" TargetMode="External"/><Relationship Id="rId407" Type="http://schemas.openxmlformats.org/officeDocument/2006/relationships/hyperlink" Target="https://www.google.com/url?q=https://github.com/ybrandvain/GRFP/raw/master/ClarkAdam_Reviewer%2520comments.pdf&amp;sa=D&amp;source=editors&amp;ust=1631911041011000&amp;usg=AOvVaw1l-iD_rQBtE2RyE06UMBaj" TargetMode="External"/><Relationship Id="rId449" Type="http://schemas.openxmlformats.org/officeDocument/2006/relationships/hyperlink" Target="http://www.rachelcsmith.com/NSF/EWasteRecyclingResearchProposal.pdf" TargetMode="External"/><Relationship Id="rId211" Type="http://schemas.openxmlformats.org/officeDocument/2006/relationships/hyperlink" Target="https://drive.google.com/file/d/1UrEdrhevP5oPu8T2LShHRNpau6l7IV_u/view?usp=sharing" TargetMode="External"/><Relationship Id="rId253" Type="http://schemas.openxmlformats.org/officeDocument/2006/relationships/hyperlink" Target="https://drive.google.com/file/d/1ohAPI_NjKc7r1yklUeiqv7NotFp4NcuL/view?usp=sharing" TargetMode="External"/><Relationship Id="rId295" Type="http://schemas.openxmlformats.org/officeDocument/2006/relationships/hyperlink" Target="https://www.cientificolatino.com/writing-center" TargetMode="External"/><Relationship Id="rId309" Type="http://schemas.openxmlformats.org/officeDocument/2006/relationships/hyperlink" Target="https://drive.google.com/file/d/0BwVf4t7iUMeHQVBJeXJBTmUyNkk/view?usp=sharing&amp;resourcekey=0-CYSRVJAe0B4xBILt5xaRtg" TargetMode="External"/><Relationship Id="rId460" Type="http://schemas.openxmlformats.org/officeDocument/2006/relationships/hyperlink" Target="http://rachelcsmith.com/academics/nsf.htm" TargetMode="External"/><Relationship Id="rId48" Type="http://schemas.openxmlformats.org/officeDocument/2006/relationships/hyperlink" Target="https://drive.google.com/file/d/1zooW5bvs5mGh9DAiv1iHz9oPSwzyabU5/view?usp=sharing" TargetMode="External"/><Relationship Id="rId113" Type="http://schemas.openxmlformats.org/officeDocument/2006/relationships/hyperlink" Target="https://drive.google.com/file/d/1Iep9e7zUoeqk2tED-eH6HBrltpmzVvBK/view?usp=sharing" TargetMode="External"/><Relationship Id="rId320" Type="http://schemas.openxmlformats.org/officeDocument/2006/relationships/hyperlink" Target="https://www.google.com/url?q=https://github.com/ybrandvain/GRFP/raw/master/Norman_2016_final.pdf&amp;sa=D&amp;source=editors&amp;ust=1631911041014000&amp;usg=AOvVaw28l9e7MRJ1D5bm43_lkyED" TargetMode="External"/><Relationship Id="rId155" Type="http://schemas.openxmlformats.org/officeDocument/2006/relationships/hyperlink" Target="https://drive.google.com/file/d/1sswJTI4IXcCUwlkAZyMYSuLPM19F9L6b/view?usp=sharing" TargetMode="External"/><Relationship Id="rId197" Type="http://schemas.openxmlformats.org/officeDocument/2006/relationships/hyperlink" Target="https://drive.google.com/file/d/1rUqQ08zoKBWokSko24-pRj3UXdjTQ42i/view?usp=sharing" TargetMode="External"/><Relationship Id="rId362" Type="http://schemas.openxmlformats.org/officeDocument/2006/relationships/hyperlink" Target="https://drive.google.com/file/d/1aMSwpZSYGgLNPPlxiOoAtAduwqWU5-v6/view?usp=sharing" TargetMode="External"/><Relationship Id="rId418" Type="http://schemas.openxmlformats.org/officeDocument/2006/relationships/hyperlink" Target="http://rachelcsmith.com/academics/nsf.htm" TargetMode="External"/><Relationship Id="rId222" Type="http://schemas.openxmlformats.org/officeDocument/2006/relationships/hyperlink" Target="https://drive.google.com/file/d/1dj9apJRdKCS9ut2tQPGjvSte6bvuS8m6/view?usp=sharing" TargetMode="External"/><Relationship Id="rId264" Type="http://schemas.openxmlformats.org/officeDocument/2006/relationships/hyperlink" Target="https://drive.google.com/file/d/1tGBfbKZrp4gzQxoW5c2fVY-ghlrAqnFP/view?usp=sharing" TargetMode="External"/><Relationship Id="rId471" Type="http://schemas.openxmlformats.org/officeDocument/2006/relationships/hyperlink" Target="http://rachelcsmith.com/academics/nsf.htm" TargetMode="External"/><Relationship Id="rId17" Type="http://schemas.openxmlformats.org/officeDocument/2006/relationships/hyperlink" Target="https://drive.google.com/file/d/1JxWDuc8lh4WxXwmZVZt1f3Gpc_oIC0HE/view?usp=sharing" TargetMode="External"/><Relationship Id="rId59" Type="http://schemas.openxmlformats.org/officeDocument/2006/relationships/hyperlink" Target="https://drive.google.com/file/d/1Fd1bdaRBaDQekBKa4C503uXEJERFmmHN/view?usp=sharing" TargetMode="External"/><Relationship Id="rId124" Type="http://schemas.openxmlformats.org/officeDocument/2006/relationships/hyperlink" Target="https://drive.google.com/file/d/1L2CJsau7MjrwChjmZV7Ef7OSsxo20vvp/view?usp=sharing" TargetMode="External"/><Relationship Id="rId70" Type="http://schemas.openxmlformats.org/officeDocument/2006/relationships/hyperlink" Target="https://drive.google.com/file/d/16kIjK9PbdbxHerFesz_qDzjF86FtUNmh/view?usp=sharing" TargetMode="External"/><Relationship Id="rId166" Type="http://schemas.openxmlformats.org/officeDocument/2006/relationships/hyperlink" Target="https://thiagotvarella.github.io/docs/NewPersonalStatement.pdf" TargetMode="External"/><Relationship Id="rId331" Type="http://schemas.openxmlformats.org/officeDocument/2006/relationships/hyperlink" Target="https://www.dropbox.com/s/nfgu14i4szsgzij/mariakakis_nsf_research.pdf?dl=0" TargetMode="External"/><Relationship Id="rId373" Type="http://schemas.openxmlformats.org/officeDocument/2006/relationships/hyperlink" Target="https://b83bf412-fbd3-4487-852d-9a66499bab1a.filesusr.com/ugd/3b4676_36d69ea1c1b047878654dc84c903a3aa.pdf" TargetMode="External"/><Relationship Id="rId429" Type="http://schemas.openxmlformats.org/officeDocument/2006/relationships/hyperlink" Target="http://www.rachelcsmith.com/NSF/CarbonSequestrationAspenPrevResExp.pdf" TargetMode="External"/><Relationship Id="rId1" Type="http://schemas.openxmlformats.org/officeDocument/2006/relationships/hyperlink" Target="https://drive.google.com/file/d/1g6dKNotQo_G7iKigNOOelzufsPdx74uG/view?usp=sharing" TargetMode="External"/><Relationship Id="rId233" Type="http://schemas.openxmlformats.org/officeDocument/2006/relationships/hyperlink" Target="https://drive.google.com/file/d/1IDOKIB5HheQC27d4rjK-bef5V5pGivbW/view?usp=sharing" TargetMode="External"/><Relationship Id="rId440" Type="http://schemas.openxmlformats.org/officeDocument/2006/relationships/hyperlink" Target="https://github.com/ybrandvain/GRFP" TargetMode="External"/><Relationship Id="rId28" Type="http://schemas.openxmlformats.org/officeDocument/2006/relationships/hyperlink" Target="https://drive.google.com/file/d/1cRunf4UXvL8gTdap_eEb8cDyOIBM89lD/view?usp=sharing" TargetMode="External"/><Relationship Id="rId275" Type="http://schemas.openxmlformats.org/officeDocument/2006/relationships/hyperlink" Target="https://drive.google.com/file/d/1soqipGzPV05qAqfC3FdSBKNxPveOMg4M/view?usp=sharing" TargetMode="External"/><Relationship Id="rId300" Type="http://schemas.openxmlformats.org/officeDocument/2006/relationships/hyperlink" Target="https://www.google.com/url?q=https://github.com/ybrandvain/GRFP/raw/master/Arun_Durvasula_NSF_reviews.pdf&amp;sa=D&amp;source=editors&amp;ust=1631911041014000&amp;usg=AOvVaw3ynuRnmQZDLIuh7BveNzW6" TargetMode="External"/><Relationship Id="rId482" Type="http://schemas.openxmlformats.org/officeDocument/2006/relationships/hyperlink" Target="http://www.rachelcsmith.com/NSF/Human%20Impacts%20on%20Stream%20Impacts%20Proposed%20Plan%20of%20Research.pdf" TargetMode="External"/><Relationship Id="rId81" Type="http://schemas.openxmlformats.org/officeDocument/2006/relationships/hyperlink" Target="https://drive.google.com/file/d/1pIgZi-PAVzzl-hM1WYDnIGT5UjqEpB-y/view?usp=sharing" TargetMode="External"/><Relationship Id="rId135" Type="http://schemas.openxmlformats.org/officeDocument/2006/relationships/hyperlink" Target="https://drive.google.com/file/d/14-I6-90MdI0c4HadRHmxJjWUTo1ygkpK/view?usp=sharing" TargetMode="External"/><Relationship Id="rId177" Type="http://schemas.openxmlformats.org/officeDocument/2006/relationships/hyperlink" Target="https://drive.google.com/file/d/1r_89sM8yBqVoE6yim-fxsa6kixYxHhYN/view?usp=sharing" TargetMode="External"/><Relationship Id="rId342" Type="http://schemas.openxmlformats.org/officeDocument/2006/relationships/hyperlink" Target="https://roxannebeltran.weebly.com/blog---nsf-grfp.html" TargetMode="External"/><Relationship Id="rId384" Type="http://schemas.openxmlformats.org/officeDocument/2006/relationships/hyperlink" Target="https://github.com/ybrandvain/GRFP" TargetMode="External"/><Relationship Id="rId202" Type="http://schemas.openxmlformats.org/officeDocument/2006/relationships/hyperlink" Target="https://drive.google.com/file/d/1R5nPkAL9cdtlwObRnHqnGfwnEijp38Cb/view?usp=sharing" TargetMode="External"/><Relationship Id="rId244" Type="http://schemas.openxmlformats.org/officeDocument/2006/relationships/hyperlink" Target="https://drive.google.com/file/d/1qEwteLjVABw6E8_jTyVi4C0U8j9TBuGB/view?usp=sharing" TargetMode="External"/><Relationship Id="rId39" Type="http://schemas.openxmlformats.org/officeDocument/2006/relationships/hyperlink" Target="https://drive.google.com/file/d/1CGjYWfvir3I7bLF6WCiS8ZrYmCt_1aO-/view?usp=sharing" TargetMode="External"/><Relationship Id="rId286" Type="http://schemas.openxmlformats.org/officeDocument/2006/relationships/hyperlink" Target="https://b83bf412-fbd3-4487-852d-9a66499bab1a.filesusr.com/ugd/24b4aa_cdd24043537a4f8fbcae86d1aa5efc2d.pdf" TargetMode="External"/><Relationship Id="rId451" Type="http://schemas.openxmlformats.org/officeDocument/2006/relationships/hyperlink" Target="http://www.rachelcsmith.com/NSF/EWastePreviousResearchExperience.pdf" TargetMode="External"/><Relationship Id="rId50" Type="http://schemas.openxmlformats.org/officeDocument/2006/relationships/hyperlink" Target="https://drive.google.com/file/d/1xc5gJVIyUtBh_1G_x1assHYcqS-2mWEB/view?usp=sharing" TargetMode="External"/><Relationship Id="rId104" Type="http://schemas.openxmlformats.org/officeDocument/2006/relationships/hyperlink" Target="https://drive.google.com/file/d/1aH2mvHnsTmpr_-HsvQAJvZV_9aQoEGB5/view?usp=sharing" TargetMode="External"/><Relationship Id="rId146" Type="http://schemas.openxmlformats.org/officeDocument/2006/relationships/hyperlink" Target="https://drive.google.com/file/d/1KpdLSHkFN4pCDnHvy9HUHbx6QkuGki6q/view?usp=sharing" TargetMode="External"/><Relationship Id="rId188" Type="http://schemas.openxmlformats.org/officeDocument/2006/relationships/hyperlink" Target="https://drive.google.com/file/d/1VihACGyI6TkiZ4QShK-3oQpV8U7rmkYU/view?usp=sharing" TargetMode="External"/><Relationship Id="rId311" Type="http://schemas.openxmlformats.org/officeDocument/2006/relationships/hyperlink" Target="https://roxannebeltran.files.wordpress.com/2017/09/grfp-personal-statement-final.pdf" TargetMode="External"/><Relationship Id="rId353" Type="http://schemas.openxmlformats.org/officeDocument/2006/relationships/hyperlink" Target="https://www.google.com/url?q=https://github.com/ybrandvain/GRFP/raw/master/ResP_MEvans.pdf&amp;sa=D&amp;source=editors&amp;ust=1631911041013000&amp;usg=AOvVaw2pgoWImtL3rhLnnNkI-Jam" TargetMode="External"/><Relationship Id="rId395" Type="http://schemas.openxmlformats.org/officeDocument/2006/relationships/hyperlink" Target="https://github.com/ybrandvain/GRFP" TargetMode="External"/><Relationship Id="rId409" Type="http://schemas.openxmlformats.org/officeDocument/2006/relationships/hyperlink" Target="http://rachelcsmith.com/NSF/ProtectedAreaNetworkDesignProposal.pdf" TargetMode="External"/><Relationship Id="rId92" Type="http://schemas.openxmlformats.org/officeDocument/2006/relationships/hyperlink" Target="https://drive.google.com/file/d/1upZeRKDIm81gZno-1clUuumbEMLuzUHM/view?usp=sharing" TargetMode="External"/><Relationship Id="rId213" Type="http://schemas.openxmlformats.org/officeDocument/2006/relationships/hyperlink" Target="https://drive.google.com/file/d/1lUGgqcYG9vWXLY84fWDVS7DEc5joma1k/view?usp=sharing" TargetMode="External"/><Relationship Id="rId420" Type="http://schemas.openxmlformats.org/officeDocument/2006/relationships/hyperlink" Target="http://www.rachelcsmith.com/NSF/BeeReproductiveSuccessPrevResExp.pdf" TargetMode="External"/><Relationship Id="rId255" Type="http://schemas.openxmlformats.org/officeDocument/2006/relationships/hyperlink" Target="https://drive.google.com/file/d/1PlDp32HKPECU-ljiXMevhrPVsxj6-MiO/view?usp=sharing" TargetMode="External"/><Relationship Id="rId297" Type="http://schemas.openxmlformats.org/officeDocument/2006/relationships/hyperlink" Target="https://www.cientificolatino.com/writing-center" TargetMode="External"/><Relationship Id="rId462" Type="http://schemas.openxmlformats.org/officeDocument/2006/relationships/hyperlink" Target="https://roxannebeltran.files.wordpress.com/2015/09/marine-mammals-personal-essay.pdf" TargetMode="External"/><Relationship Id="rId115" Type="http://schemas.openxmlformats.org/officeDocument/2006/relationships/hyperlink" Target="https://drive.google.com/file/d/1oDXnLCQFYkOcsAMS2F6391kOQ5KRc2gL/view?usp=sharing" TargetMode="External"/><Relationship Id="rId157" Type="http://schemas.openxmlformats.org/officeDocument/2006/relationships/hyperlink" Target="https://drive.google.com/file/d/1-0-ZL3-c-Tkzc26jR0K6BOxB4THU_Nah/view?usp=sharing" TargetMode="External"/><Relationship Id="rId322" Type="http://schemas.openxmlformats.org/officeDocument/2006/relationships/hyperlink" Target="https://github.com/ybrandvain/GRFP" TargetMode="External"/><Relationship Id="rId364" Type="http://schemas.openxmlformats.org/officeDocument/2006/relationships/hyperlink" Target="https://www.cientificolatino.com/writing-center" TargetMode="External"/><Relationship Id="rId61" Type="http://schemas.openxmlformats.org/officeDocument/2006/relationships/hyperlink" Target="https://drive.google.com/file/d/1e1FcXa9tUqvgZbiFVFRWwgpunR6kg59D/view?usp=sharing" TargetMode="External"/><Relationship Id="rId199" Type="http://schemas.openxmlformats.org/officeDocument/2006/relationships/hyperlink" Target="https://drive.google.com/file/d/1b9OIGmLEEZ3sRmwJck0mhc15ZAXHNWbe/view?usp=sharing" TargetMode="External"/><Relationship Id="rId19" Type="http://schemas.openxmlformats.org/officeDocument/2006/relationships/hyperlink" Target="https://drive.google.com/file/d/11fshlTC1zXjefq39iyNAfPnp4Zw7THiO/view?usp=sharing" TargetMode="External"/><Relationship Id="rId224" Type="http://schemas.openxmlformats.org/officeDocument/2006/relationships/hyperlink" Target="https://drive.google.com/file/d/1-aioX1rdHdJQOnYI5NSrO7OKrVyeimFy/view?usp=sharing" TargetMode="External"/><Relationship Id="rId266" Type="http://schemas.openxmlformats.org/officeDocument/2006/relationships/hyperlink" Target="https://drive.google.com/file/d/15XtPMUHCcrHBrJDWivbl1EdjW1hP7lTe/view" TargetMode="External"/><Relationship Id="rId431" Type="http://schemas.openxmlformats.org/officeDocument/2006/relationships/hyperlink" Target="http://rachelcsmith.com/academics/nsf.htm" TargetMode="External"/><Relationship Id="rId473" Type="http://schemas.openxmlformats.org/officeDocument/2006/relationships/hyperlink" Target="http://www.rachelcsmith.com/NSF/NitrogenPersonalStatement.pdf" TargetMode="External"/><Relationship Id="rId30" Type="http://schemas.openxmlformats.org/officeDocument/2006/relationships/hyperlink" Target="https://drive.google.com/file/d/149VOqLpNLql06dgH5cH6Ylf1DfJYV5to/view?usp=sharing" TargetMode="External"/><Relationship Id="rId126" Type="http://schemas.openxmlformats.org/officeDocument/2006/relationships/hyperlink" Target="https://drive.google.com/file/d/17ntjhQWvC26dwcxbcyZEhuk6OjbRxZ3g/view?usp=sharing" TargetMode="External"/><Relationship Id="rId168" Type="http://schemas.openxmlformats.org/officeDocument/2006/relationships/hyperlink" Target="https://thiagotvarella.github.io/" TargetMode="External"/><Relationship Id="rId333" Type="http://schemas.openxmlformats.org/officeDocument/2006/relationships/hyperlink" Target="https://b83bf412-fbd3-4487-852d-9a66499bab1a.filesusr.com/ugd/24b4aa_db41134acbb3458f98665dee2a9fb59e.pdf" TargetMode="External"/><Relationship Id="rId72" Type="http://schemas.openxmlformats.org/officeDocument/2006/relationships/hyperlink" Target="http://www.cesaroestien.com/uploads/1/3/2/9/132989062/estien_grfp_personal_finalw.pdf" TargetMode="External"/><Relationship Id="rId375" Type="http://schemas.openxmlformats.org/officeDocument/2006/relationships/hyperlink" Target="https://b83bf412-fbd3-4487-852d-9a66499bab1a.filesusr.com/ugd/24b4aa_2397a534aaf34039899bcd2906739c03.pdf" TargetMode="External"/><Relationship Id="rId3" Type="http://schemas.openxmlformats.org/officeDocument/2006/relationships/hyperlink" Target="https://drive.google.com/file/d/1KnTyhYhjG5j-mRxAhTtNusLskA4O3nNO/view?usp=sharing" TargetMode="External"/><Relationship Id="rId235" Type="http://schemas.openxmlformats.org/officeDocument/2006/relationships/hyperlink" Target="https://drive.google.com/file/d/1m3OS0Obfap9BzGRQw9RjXBKxTTnTzKVS/view?usp=sharing" TargetMode="External"/><Relationship Id="rId277" Type="http://schemas.openxmlformats.org/officeDocument/2006/relationships/hyperlink" Target="https://drive.google.com/file/d/1QEcZvEPlRCRCGsR8JfivCA-0F2QLOq3V/view?usp=sharing" TargetMode="External"/><Relationship Id="rId400" Type="http://schemas.openxmlformats.org/officeDocument/2006/relationships/hyperlink" Target="https://drive.google.com/file/d/10Jj2A73Zf-eQsJnK5VV1hbNLbYMttfGT/view?usp=sharing" TargetMode="External"/><Relationship Id="rId442" Type="http://schemas.openxmlformats.org/officeDocument/2006/relationships/hyperlink" Target="http://www.rachelcsmith.com/NSF/Causes%20and%20Consequences%20of%20Biocompexity%20Previous%20Research.pdf" TargetMode="External"/><Relationship Id="rId484" Type="http://schemas.openxmlformats.org/officeDocument/2006/relationships/hyperlink" Target="http://www.rachelcsmith.com/NSF/Human%20Impacts%20on%20Stream%20Ecosystems%20Previous%20Research%20Experienc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88"/>
  <sheetViews>
    <sheetView tabSelected="1" workbookViewId="0">
      <pane ySplit="1" topLeftCell="A2" activePane="bottomLeft" state="frozen"/>
      <selection pane="bottomLeft" activeCell="A51" sqref="A51"/>
    </sheetView>
  </sheetViews>
  <sheetFormatPr baseColWidth="10" defaultColWidth="12.6640625" defaultRowHeight="15.75" customHeight="1" x14ac:dyDescent="0.15"/>
  <cols>
    <col min="1" max="1" width="21.33203125" customWidth="1"/>
    <col min="2" max="2" width="6.83203125" customWidth="1"/>
    <col min="3" max="3" width="52.6640625" customWidth="1"/>
    <col min="4" max="4" width="16.1640625" customWidth="1"/>
    <col min="5" max="5" width="10.6640625" customWidth="1"/>
    <col min="6" max="6" width="10.5" customWidth="1"/>
    <col min="7" max="8" width="10.33203125" customWidth="1"/>
    <col min="9" max="9" width="9.5" customWidth="1"/>
    <col min="10" max="10" width="17.1640625" customWidth="1"/>
    <col min="11" max="26" width="61.5" customWidth="1"/>
  </cols>
  <sheetData>
    <row r="1" spans="1:26" ht="15.75" customHeight="1" x14ac:dyDescent="0.15">
      <c r="A1" s="1" t="s">
        <v>0</v>
      </c>
      <c r="B1" s="1" t="s">
        <v>1</v>
      </c>
      <c r="C1" s="1" t="s">
        <v>2</v>
      </c>
      <c r="D1" s="1" t="s">
        <v>3</v>
      </c>
      <c r="E1" s="1" t="s">
        <v>4</v>
      </c>
      <c r="F1" s="1" t="s">
        <v>5</v>
      </c>
      <c r="G1" s="1" t="s">
        <v>6</v>
      </c>
      <c r="H1" s="1" t="s">
        <v>7</v>
      </c>
      <c r="I1" s="1" t="s">
        <v>8</v>
      </c>
      <c r="J1" s="1" t="s">
        <v>9</v>
      </c>
      <c r="K1" s="1" t="s">
        <v>10</v>
      </c>
      <c r="L1" s="1"/>
      <c r="M1" s="1"/>
      <c r="N1" s="1"/>
      <c r="O1" s="1"/>
      <c r="P1" s="1"/>
      <c r="Q1" s="1"/>
      <c r="R1" s="1"/>
      <c r="S1" s="1"/>
      <c r="T1" s="1"/>
      <c r="U1" s="1"/>
      <c r="V1" s="1"/>
      <c r="W1" s="1"/>
      <c r="X1" s="1"/>
      <c r="Y1" s="1"/>
      <c r="Z1" s="1"/>
    </row>
    <row r="2" spans="1:26" ht="15.75" customHeight="1" x14ac:dyDescent="0.15">
      <c r="A2" s="2" t="s">
        <v>11</v>
      </c>
      <c r="B2" s="3">
        <v>2022</v>
      </c>
      <c r="C2" s="2" t="s">
        <v>12</v>
      </c>
      <c r="D2" s="2" t="s">
        <v>13</v>
      </c>
      <c r="E2" s="2" t="s">
        <v>14</v>
      </c>
      <c r="F2" s="4" t="s">
        <v>15</v>
      </c>
      <c r="G2" s="4" t="s">
        <v>15</v>
      </c>
      <c r="H2" s="2" t="s">
        <v>16</v>
      </c>
      <c r="I2" s="4" t="s">
        <v>15</v>
      </c>
      <c r="J2" s="5" t="str">
        <f t="shared" ref="J2:J27" si="0">HYPERLINK("http://www.alexhunterlang.com/nsf-fellowship","Alex Lang")</f>
        <v>Alex Lang</v>
      </c>
      <c r="K2" s="2" t="s">
        <v>17</v>
      </c>
      <c r="L2" s="6"/>
      <c r="M2" s="6"/>
      <c r="N2" s="6"/>
      <c r="O2" s="6"/>
      <c r="P2" s="6"/>
      <c r="Q2" s="6"/>
      <c r="R2" s="6"/>
      <c r="S2" s="6"/>
      <c r="T2" s="6"/>
      <c r="U2" s="6"/>
      <c r="V2" s="6"/>
      <c r="W2" s="6"/>
      <c r="X2" s="6"/>
      <c r="Y2" s="6"/>
      <c r="Z2" s="6"/>
    </row>
    <row r="3" spans="1:26" ht="15.75" customHeight="1" x14ac:dyDescent="0.15">
      <c r="A3" s="2" t="s">
        <v>18</v>
      </c>
      <c r="B3" s="3">
        <v>2022</v>
      </c>
      <c r="C3" s="2" t="s">
        <v>19</v>
      </c>
      <c r="D3" s="2" t="s">
        <v>20</v>
      </c>
      <c r="E3" s="2" t="s">
        <v>14</v>
      </c>
      <c r="F3" s="4" t="s">
        <v>15</v>
      </c>
      <c r="G3" s="4" t="s">
        <v>15</v>
      </c>
      <c r="H3" s="2" t="s">
        <v>16</v>
      </c>
      <c r="I3" s="4" t="s">
        <v>15</v>
      </c>
      <c r="J3" s="5" t="str">
        <f t="shared" si="0"/>
        <v>Alex Lang</v>
      </c>
      <c r="K3" s="2" t="s">
        <v>21</v>
      </c>
      <c r="L3" s="2"/>
      <c r="M3" s="2"/>
      <c r="N3" s="2"/>
      <c r="O3" s="2"/>
      <c r="P3" s="2"/>
      <c r="Q3" s="2"/>
      <c r="R3" s="2"/>
      <c r="S3" s="2"/>
      <c r="T3" s="2"/>
      <c r="U3" s="2"/>
      <c r="V3" s="2"/>
      <c r="W3" s="2"/>
      <c r="X3" s="2"/>
      <c r="Y3" s="2"/>
      <c r="Z3" s="2"/>
    </row>
    <row r="4" spans="1:26" ht="15.75" customHeight="1" x14ac:dyDescent="0.15">
      <c r="A4" s="2" t="s">
        <v>22</v>
      </c>
      <c r="B4" s="3">
        <v>2022</v>
      </c>
      <c r="C4" s="2" t="s">
        <v>23</v>
      </c>
      <c r="D4" s="2" t="s">
        <v>13</v>
      </c>
      <c r="E4" s="2" t="s">
        <v>14</v>
      </c>
      <c r="F4" s="4" t="s">
        <v>15</v>
      </c>
      <c r="G4" s="4" t="s">
        <v>15</v>
      </c>
      <c r="H4" s="2" t="s">
        <v>16</v>
      </c>
      <c r="I4" s="2" t="s">
        <v>24</v>
      </c>
      <c r="J4" s="5" t="str">
        <f t="shared" si="0"/>
        <v>Alex Lang</v>
      </c>
      <c r="K4" s="2"/>
      <c r="L4" s="2"/>
      <c r="M4" s="2"/>
      <c r="N4" s="2"/>
      <c r="O4" s="2"/>
      <c r="P4" s="2"/>
      <c r="Q4" s="2"/>
      <c r="R4" s="2"/>
      <c r="S4" s="2"/>
      <c r="T4" s="2"/>
      <c r="U4" s="2"/>
      <c r="V4" s="2"/>
      <c r="W4" s="2"/>
      <c r="X4" s="2"/>
      <c r="Y4" s="2"/>
      <c r="Z4" s="2"/>
    </row>
    <row r="5" spans="1:26" ht="15.75" customHeight="1" x14ac:dyDescent="0.15">
      <c r="A5" s="2" t="s">
        <v>25</v>
      </c>
      <c r="B5" s="3">
        <v>2022</v>
      </c>
      <c r="C5" s="2" t="s">
        <v>26</v>
      </c>
      <c r="D5" s="2" t="s">
        <v>27</v>
      </c>
      <c r="E5" s="2" t="s">
        <v>14</v>
      </c>
      <c r="F5" s="4" t="s">
        <v>15</v>
      </c>
      <c r="G5" s="4" t="s">
        <v>15</v>
      </c>
      <c r="H5" s="2" t="s">
        <v>16</v>
      </c>
      <c r="I5" s="4" t="s">
        <v>15</v>
      </c>
      <c r="J5" s="5" t="str">
        <f t="shared" si="0"/>
        <v>Alex Lang</v>
      </c>
      <c r="K5" s="2"/>
      <c r="L5" s="2"/>
      <c r="M5" s="2"/>
      <c r="N5" s="2"/>
      <c r="O5" s="2"/>
      <c r="P5" s="2"/>
      <c r="Q5" s="2"/>
      <c r="R5" s="2"/>
      <c r="S5" s="2"/>
      <c r="T5" s="2"/>
      <c r="U5" s="2"/>
      <c r="V5" s="2"/>
      <c r="W5" s="2"/>
      <c r="X5" s="2"/>
      <c r="Y5" s="2"/>
      <c r="Z5" s="2"/>
    </row>
    <row r="6" spans="1:26" ht="15.75" customHeight="1" x14ac:dyDescent="0.15">
      <c r="A6" s="2" t="s">
        <v>28</v>
      </c>
      <c r="B6" s="3">
        <v>2022</v>
      </c>
      <c r="C6" s="2" t="s">
        <v>29</v>
      </c>
      <c r="D6" s="2" t="s">
        <v>27</v>
      </c>
      <c r="E6" s="2" t="s">
        <v>14</v>
      </c>
      <c r="F6" s="4" t="s">
        <v>15</v>
      </c>
      <c r="G6" s="4" t="s">
        <v>15</v>
      </c>
      <c r="H6" s="2" t="s">
        <v>16</v>
      </c>
      <c r="I6" s="4" t="s">
        <v>15</v>
      </c>
      <c r="J6" s="5" t="str">
        <f t="shared" si="0"/>
        <v>Alex Lang</v>
      </c>
      <c r="K6" s="2"/>
      <c r="L6" s="4"/>
      <c r="M6" s="4"/>
      <c r="N6" s="4"/>
      <c r="O6" s="4"/>
      <c r="P6" s="4"/>
      <c r="Q6" s="4"/>
      <c r="R6" s="4"/>
      <c r="S6" s="4"/>
      <c r="T6" s="4"/>
      <c r="U6" s="4"/>
      <c r="V6" s="4"/>
      <c r="W6" s="4"/>
      <c r="X6" s="4"/>
      <c r="Y6" s="4"/>
      <c r="Z6" s="4"/>
    </row>
    <row r="7" spans="1:26" ht="15.75" customHeight="1" x14ac:dyDescent="0.15">
      <c r="A7" s="2" t="s">
        <v>30</v>
      </c>
      <c r="B7" s="3">
        <v>2022</v>
      </c>
      <c r="C7" s="2" t="s">
        <v>23</v>
      </c>
      <c r="D7" s="2" t="s">
        <v>27</v>
      </c>
      <c r="E7" s="2" t="s">
        <v>14</v>
      </c>
      <c r="F7" s="4" t="s">
        <v>15</v>
      </c>
      <c r="G7" s="4" t="s">
        <v>15</v>
      </c>
      <c r="H7" s="2" t="s">
        <v>16</v>
      </c>
      <c r="I7" s="4" t="s">
        <v>15</v>
      </c>
      <c r="J7" s="5" t="str">
        <f t="shared" si="0"/>
        <v>Alex Lang</v>
      </c>
      <c r="K7" s="4" t="s">
        <v>15</v>
      </c>
      <c r="L7" s="2"/>
      <c r="M7" s="2"/>
      <c r="N7" s="2"/>
      <c r="O7" s="2"/>
      <c r="P7" s="2"/>
      <c r="Q7" s="2"/>
      <c r="R7" s="2"/>
      <c r="S7" s="2"/>
      <c r="T7" s="2"/>
      <c r="U7" s="2"/>
      <c r="V7" s="2"/>
      <c r="W7" s="2"/>
      <c r="X7" s="2"/>
      <c r="Y7" s="2"/>
      <c r="Z7" s="2"/>
    </row>
    <row r="8" spans="1:26" ht="15.75" customHeight="1" x14ac:dyDescent="0.15">
      <c r="A8" s="2" t="s">
        <v>31</v>
      </c>
      <c r="B8" s="3">
        <v>2022</v>
      </c>
      <c r="C8" s="2" t="s">
        <v>32</v>
      </c>
      <c r="D8" s="2" t="s">
        <v>13</v>
      </c>
      <c r="E8" s="2" t="s">
        <v>14</v>
      </c>
      <c r="F8" s="4" t="s">
        <v>15</v>
      </c>
      <c r="G8" s="4" t="s">
        <v>15</v>
      </c>
      <c r="H8" s="2" t="s">
        <v>16</v>
      </c>
      <c r="I8" s="4" t="s">
        <v>15</v>
      </c>
      <c r="J8" s="5" t="str">
        <f t="shared" si="0"/>
        <v>Alex Lang</v>
      </c>
      <c r="K8" s="2"/>
      <c r="L8" s="2"/>
      <c r="M8" s="2"/>
      <c r="N8" s="2"/>
      <c r="O8" s="2"/>
      <c r="P8" s="2"/>
      <c r="Q8" s="2"/>
      <c r="R8" s="2"/>
      <c r="S8" s="2"/>
      <c r="T8" s="2"/>
      <c r="U8" s="2"/>
      <c r="V8" s="2"/>
      <c r="W8" s="2"/>
      <c r="X8" s="2"/>
      <c r="Y8" s="2"/>
      <c r="Z8" s="2"/>
    </row>
    <row r="9" spans="1:26" ht="15.75" customHeight="1" x14ac:dyDescent="0.15">
      <c r="A9" s="2" t="s">
        <v>33</v>
      </c>
      <c r="B9" s="3">
        <v>2022</v>
      </c>
      <c r="C9" s="2" t="s">
        <v>34</v>
      </c>
      <c r="D9" s="2" t="s">
        <v>27</v>
      </c>
      <c r="E9" s="2" t="s">
        <v>14</v>
      </c>
      <c r="F9" s="4" t="s">
        <v>15</v>
      </c>
      <c r="G9" s="4" t="s">
        <v>15</v>
      </c>
      <c r="H9" s="2" t="s">
        <v>16</v>
      </c>
      <c r="I9" s="4" t="s">
        <v>15</v>
      </c>
      <c r="J9" s="5" t="str">
        <f t="shared" si="0"/>
        <v>Alex Lang</v>
      </c>
      <c r="K9" s="2" t="s">
        <v>35</v>
      </c>
      <c r="L9" s="7"/>
      <c r="M9" s="7"/>
      <c r="N9" s="7"/>
      <c r="O9" s="7"/>
      <c r="P9" s="7"/>
      <c r="Q9" s="7"/>
      <c r="R9" s="7"/>
      <c r="S9" s="7"/>
      <c r="T9" s="7"/>
      <c r="U9" s="7"/>
      <c r="V9" s="7"/>
      <c r="W9" s="7"/>
      <c r="X9" s="7"/>
      <c r="Y9" s="7"/>
      <c r="Z9" s="7"/>
    </row>
    <row r="10" spans="1:26" ht="15.75" customHeight="1" x14ac:dyDescent="0.15">
      <c r="A10" s="2" t="s">
        <v>36</v>
      </c>
      <c r="B10" s="3">
        <v>2022</v>
      </c>
      <c r="C10" s="2" t="s">
        <v>37</v>
      </c>
      <c r="D10" s="2" t="s">
        <v>27</v>
      </c>
      <c r="E10" s="2" t="s">
        <v>14</v>
      </c>
      <c r="F10" s="4" t="s">
        <v>15</v>
      </c>
      <c r="G10" s="4" t="s">
        <v>15</v>
      </c>
      <c r="H10" s="2" t="s">
        <v>16</v>
      </c>
      <c r="I10" s="2" t="s">
        <v>24</v>
      </c>
      <c r="J10" s="5" t="str">
        <f t="shared" si="0"/>
        <v>Alex Lang</v>
      </c>
      <c r="K10" s="2"/>
      <c r="L10" s="2"/>
      <c r="M10" s="2"/>
      <c r="N10" s="2"/>
      <c r="O10" s="2"/>
      <c r="P10" s="2"/>
      <c r="Q10" s="2"/>
      <c r="R10" s="2"/>
      <c r="S10" s="2"/>
      <c r="T10" s="2"/>
      <c r="U10" s="2"/>
      <c r="V10" s="2"/>
      <c r="W10" s="2"/>
      <c r="X10" s="2"/>
      <c r="Y10" s="2"/>
      <c r="Z10" s="2"/>
    </row>
    <row r="11" spans="1:26" ht="15.75" customHeight="1" x14ac:dyDescent="0.15">
      <c r="A11" s="2" t="s">
        <v>38</v>
      </c>
      <c r="B11" s="3">
        <v>2022</v>
      </c>
      <c r="C11" s="2" t="s">
        <v>39</v>
      </c>
      <c r="D11" s="2" t="s">
        <v>20</v>
      </c>
      <c r="E11" s="2" t="s">
        <v>14</v>
      </c>
      <c r="F11" s="4" t="s">
        <v>15</v>
      </c>
      <c r="G11" s="4" t="s">
        <v>15</v>
      </c>
      <c r="H11" s="2" t="s">
        <v>16</v>
      </c>
      <c r="I11" s="4" t="s">
        <v>15</v>
      </c>
      <c r="J11" s="5" t="str">
        <f t="shared" si="0"/>
        <v>Alex Lang</v>
      </c>
      <c r="K11" s="2"/>
      <c r="L11" s="7"/>
      <c r="M11" s="7"/>
      <c r="N11" s="7"/>
      <c r="O11" s="7"/>
      <c r="P11" s="7"/>
      <c r="Q11" s="7"/>
      <c r="R11" s="7"/>
      <c r="S11" s="7"/>
      <c r="T11" s="7"/>
      <c r="U11" s="7"/>
      <c r="V11" s="7"/>
      <c r="W11" s="7"/>
      <c r="X11" s="7"/>
      <c r="Y11" s="7"/>
      <c r="Z11" s="7"/>
    </row>
    <row r="12" spans="1:26" ht="15.75" customHeight="1" x14ac:dyDescent="0.15">
      <c r="A12" s="2" t="s">
        <v>40</v>
      </c>
      <c r="B12" s="3">
        <v>2022</v>
      </c>
      <c r="C12" s="2" t="s">
        <v>41</v>
      </c>
      <c r="D12" s="2" t="s">
        <v>20</v>
      </c>
      <c r="E12" s="2" t="s">
        <v>14</v>
      </c>
      <c r="F12" s="4" t="s">
        <v>15</v>
      </c>
      <c r="G12" s="4" t="s">
        <v>15</v>
      </c>
      <c r="H12" s="2" t="s">
        <v>16</v>
      </c>
      <c r="I12" s="2" t="s">
        <v>24</v>
      </c>
      <c r="J12" s="5" t="str">
        <f t="shared" si="0"/>
        <v>Alex Lang</v>
      </c>
      <c r="K12" s="2" t="s">
        <v>42</v>
      </c>
      <c r="L12" s="2"/>
      <c r="M12" s="2"/>
      <c r="N12" s="2"/>
      <c r="O12" s="2"/>
      <c r="P12" s="2"/>
      <c r="Q12" s="2"/>
      <c r="R12" s="2"/>
      <c r="S12" s="2"/>
      <c r="T12" s="2"/>
      <c r="U12" s="2"/>
      <c r="V12" s="2"/>
      <c r="W12" s="2"/>
      <c r="X12" s="2"/>
      <c r="Y12" s="2"/>
      <c r="Z12" s="2"/>
    </row>
    <row r="13" spans="1:26" ht="15.75" customHeight="1" x14ac:dyDescent="0.15">
      <c r="A13" s="2" t="s">
        <v>43</v>
      </c>
      <c r="B13" s="3">
        <v>2022</v>
      </c>
      <c r="C13" s="2" t="s">
        <v>44</v>
      </c>
      <c r="D13" s="2" t="s">
        <v>27</v>
      </c>
      <c r="E13" s="2" t="s">
        <v>14</v>
      </c>
      <c r="F13" s="4" t="s">
        <v>15</v>
      </c>
      <c r="G13" s="4" t="s">
        <v>15</v>
      </c>
      <c r="H13" s="2" t="s">
        <v>16</v>
      </c>
      <c r="I13" s="4" t="s">
        <v>15</v>
      </c>
      <c r="J13" s="5" t="str">
        <f t="shared" si="0"/>
        <v>Alex Lang</v>
      </c>
      <c r="K13" s="2"/>
      <c r="L13" s="8"/>
      <c r="M13" s="8"/>
      <c r="N13" s="8"/>
      <c r="O13" s="8"/>
      <c r="P13" s="8"/>
      <c r="Q13" s="8"/>
      <c r="R13" s="8"/>
      <c r="S13" s="8"/>
      <c r="T13" s="8"/>
      <c r="U13" s="8"/>
      <c r="V13" s="8"/>
      <c r="W13" s="8"/>
      <c r="X13" s="8"/>
      <c r="Y13" s="8"/>
      <c r="Z13" s="8"/>
    </row>
    <row r="14" spans="1:26" ht="15.75" customHeight="1" x14ac:dyDescent="0.15">
      <c r="A14" s="2" t="s">
        <v>45</v>
      </c>
      <c r="B14" s="3">
        <v>2022</v>
      </c>
      <c r="C14" s="2" t="s">
        <v>46</v>
      </c>
      <c r="D14" s="2" t="s">
        <v>27</v>
      </c>
      <c r="E14" s="2" t="s">
        <v>14</v>
      </c>
      <c r="F14" s="4" t="s">
        <v>15</v>
      </c>
      <c r="G14" s="4" t="s">
        <v>15</v>
      </c>
      <c r="H14" s="2" t="s">
        <v>16</v>
      </c>
      <c r="I14" s="4" t="s">
        <v>15</v>
      </c>
      <c r="J14" s="5" t="str">
        <f t="shared" si="0"/>
        <v>Alex Lang</v>
      </c>
      <c r="K14" s="2" t="s">
        <v>47</v>
      </c>
      <c r="L14" s="8"/>
      <c r="M14" s="8"/>
      <c r="N14" s="8"/>
      <c r="O14" s="8"/>
      <c r="P14" s="8"/>
      <c r="Q14" s="8"/>
      <c r="R14" s="8"/>
      <c r="S14" s="8"/>
      <c r="T14" s="8"/>
      <c r="U14" s="8"/>
      <c r="V14" s="8"/>
      <c r="W14" s="8"/>
      <c r="X14" s="8"/>
      <c r="Y14" s="8"/>
      <c r="Z14" s="8"/>
    </row>
    <row r="15" spans="1:26" ht="15.75" customHeight="1" x14ac:dyDescent="0.15">
      <c r="A15" s="2" t="s">
        <v>48</v>
      </c>
      <c r="B15" s="3">
        <v>2022</v>
      </c>
      <c r="C15" s="2" t="s">
        <v>49</v>
      </c>
      <c r="D15" s="2" t="s">
        <v>27</v>
      </c>
      <c r="E15" s="2" t="s">
        <v>14</v>
      </c>
      <c r="F15" s="4" t="s">
        <v>15</v>
      </c>
      <c r="G15" s="4" t="s">
        <v>15</v>
      </c>
      <c r="H15" s="2" t="s">
        <v>16</v>
      </c>
      <c r="I15" s="2" t="s">
        <v>24</v>
      </c>
      <c r="J15" s="5" t="str">
        <f t="shared" si="0"/>
        <v>Alex Lang</v>
      </c>
      <c r="K15" s="2" t="s">
        <v>50</v>
      </c>
      <c r="L15" s="2"/>
      <c r="M15" s="2"/>
      <c r="N15" s="2"/>
      <c r="O15" s="2"/>
      <c r="P15" s="2"/>
      <c r="Q15" s="2"/>
      <c r="R15" s="2"/>
      <c r="S15" s="2"/>
      <c r="T15" s="2"/>
      <c r="U15" s="2"/>
      <c r="V15" s="2"/>
      <c r="W15" s="2"/>
      <c r="X15" s="2"/>
      <c r="Y15" s="2"/>
      <c r="Z15" s="2"/>
    </row>
    <row r="16" spans="1:26" ht="15.75" customHeight="1" x14ac:dyDescent="0.15">
      <c r="A16" s="2" t="s">
        <v>48</v>
      </c>
      <c r="B16" s="3">
        <v>2022</v>
      </c>
      <c r="C16" s="2" t="s">
        <v>51</v>
      </c>
      <c r="D16" s="2" t="s">
        <v>27</v>
      </c>
      <c r="E16" s="2" t="s">
        <v>14</v>
      </c>
      <c r="F16" s="4" t="s">
        <v>15</v>
      </c>
      <c r="G16" s="2" t="s">
        <v>24</v>
      </c>
      <c r="H16" s="2" t="s">
        <v>16</v>
      </c>
      <c r="I16" s="2" t="s">
        <v>24</v>
      </c>
      <c r="J16" s="5" t="str">
        <f t="shared" si="0"/>
        <v>Alex Lang</v>
      </c>
      <c r="K16" s="2"/>
      <c r="L16" s="2"/>
      <c r="M16" s="2"/>
      <c r="N16" s="2"/>
      <c r="O16" s="2"/>
      <c r="P16" s="2"/>
      <c r="Q16" s="2"/>
      <c r="R16" s="2"/>
      <c r="S16" s="2"/>
      <c r="T16" s="2"/>
      <c r="U16" s="2"/>
      <c r="V16" s="2"/>
      <c r="W16" s="2"/>
      <c r="X16" s="2"/>
      <c r="Y16" s="2"/>
      <c r="Z16" s="2"/>
    </row>
    <row r="17" spans="1:26" ht="15.75" customHeight="1" x14ac:dyDescent="0.15">
      <c r="A17" s="2" t="s">
        <v>48</v>
      </c>
      <c r="B17" s="3">
        <v>2022</v>
      </c>
      <c r="C17" s="2" t="s">
        <v>52</v>
      </c>
      <c r="D17" s="2" t="s">
        <v>13</v>
      </c>
      <c r="E17" s="2" t="s">
        <v>14</v>
      </c>
      <c r="F17" s="4" t="s">
        <v>15</v>
      </c>
      <c r="G17" s="4" t="s">
        <v>15</v>
      </c>
      <c r="H17" s="2" t="s">
        <v>16</v>
      </c>
      <c r="I17" s="4" t="s">
        <v>15</v>
      </c>
      <c r="J17" s="5" t="str">
        <f t="shared" si="0"/>
        <v>Alex Lang</v>
      </c>
      <c r="K17" s="2"/>
      <c r="L17" s="2"/>
      <c r="M17" s="2"/>
      <c r="N17" s="2"/>
      <c r="O17" s="2"/>
      <c r="P17" s="2"/>
      <c r="Q17" s="2"/>
      <c r="R17" s="2"/>
      <c r="S17" s="2"/>
      <c r="T17" s="2"/>
      <c r="U17" s="2"/>
      <c r="V17" s="2"/>
      <c r="W17" s="2"/>
      <c r="X17" s="2"/>
      <c r="Y17" s="2"/>
      <c r="Z17" s="2"/>
    </row>
    <row r="18" spans="1:26" ht="15.75" customHeight="1" x14ac:dyDescent="0.15">
      <c r="A18" s="2" t="s">
        <v>53</v>
      </c>
      <c r="B18" s="3">
        <v>2022</v>
      </c>
      <c r="C18" s="2" t="s">
        <v>54</v>
      </c>
      <c r="D18" s="2" t="s">
        <v>20</v>
      </c>
      <c r="E18" s="2" t="s">
        <v>14</v>
      </c>
      <c r="F18" s="4" t="s">
        <v>15</v>
      </c>
      <c r="G18" s="4" t="s">
        <v>15</v>
      </c>
      <c r="H18" s="2" t="s">
        <v>16</v>
      </c>
      <c r="I18" s="4" t="s">
        <v>15</v>
      </c>
      <c r="J18" s="5" t="str">
        <f t="shared" si="0"/>
        <v>Alex Lang</v>
      </c>
      <c r="K18" s="2"/>
      <c r="L18" s="2"/>
      <c r="M18" s="2"/>
      <c r="N18" s="2"/>
      <c r="O18" s="2"/>
      <c r="P18" s="2"/>
      <c r="Q18" s="2"/>
      <c r="R18" s="2"/>
      <c r="S18" s="2"/>
      <c r="T18" s="2"/>
      <c r="U18" s="2"/>
      <c r="V18" s="2"/>
      <c r="W18" s="2"/>
      <c r="X18" s="2"/>
      <c r="Y18" s="2"/>
      <c r="Z18" s="2"/>
    </row>
    <row r="19" spans="1:26" ht="15.75" customHeight="1" x14ac:dyDescent="0.15">
      <c r="A19" s="2" t="s">
        <v>55</v>
      </c>
      <c r="B19" s="3">
        <v>2022</v>
      </c>
      <c r="C19" s="2" t="s">
        <v>56</v>
      </c>
      <c r="D19" s="2" t="s">
        <v>27</v>
      </c>
      <c r="E19" s="2" t="s">
        <v>14</v>
      </c>
      <c r="F19" s="4" t="s">
        <v>15</v>
      </c>
      <c r="G19" s="4" t="s">
        <v>15</v>
      </c>
      <c r="H19" s="2" t="s">
        <v>16</v>
      </c>
      <c r="I19" s="2" t="s">
        <v>24</v>
      </c>
      <c r="J19" s="5" t="str">
        <f t="shared" si="0"/>
        <v>Alex Lang</v>
      </c>
      <c r="K19" s="2"/>
      <c r="L19" s="2"/>
      <c r="M19" s="2"/>
      <c r="N19" s="2"/>
      <c r="O19" s="2"/>
      <c r="P19" s="2"/>
      <c r="Q19" s="2"/>
      <c r="R19" s="2"/>
      <c r="S19" s="2"/>
      <c r="T19" s="2"/>
      <c r="U19" s="2"/>
      <c r="V19" s="2"/>
      <c r="W19" s="2"/>
      <c r="X19" s="2"/>
      <c r="Y19" s="2"/>
      <c r="Z19" s="2"/>
    </row>
    <row r="20" spans="1:26" ht="15.75" customHeight="1" x14ac:dyDescent="0.15">
      <c r="A20" s="2" t="s">
        <v>57</v>
      </c>
      <c r="B20" s="3">
        <v>2022</v>
      </c>
      <c r="C20" s="2" t="s">
        <v>58</v>
      </c>
      <c r="D20" s="2" t="s">
        <v>13</v>
      </c>
      <c r="E20" s="2" t="s">
        <v>14</v>
      </c>
      <c r="F20" s="4" t="s">
        <v>15</v>
      </c>
      <c r="G20" s="4" t="s">
        <v>15</v>
      </c>
      <c r="H20" s="2" t="s">
        <v>16</v>
      </c>
      <c r="I20" s="4" t="s">
        <v>15</v>
      </c>
      <c r="J20" s="5" t="str">
        <f t="shared" si="0"/>
        <v>Alex Lang</v>
      </c>
      <c r="K20" s="2"/>
      <c r="L20" s="2"/>
      <c r="M20" s="2"/>
      <c r="N20" s="2"/>
      <c r="O20" s="2"/>
      <c r="P20" s="2"/>
      <c r="Q20" s="2"/>
      <c r="R20" s="2"/>
      <c r="S20" s="2"/>
      <c r="T20" s="2"/>
      <c r="U20" s="2"/>
      <c r="V20" s="2"/>
      <c r="W20" s="2"/>
      <c r="X20" s="2"/>
      <c r="Y20" s="2"/>
      <c r="Z20" s="2"/>
    </row>
    <row r="21" spans="1:26" ht="15.75" customHeight="1" x14ac:dyDescent="0.15">
      <c r="A21" s="2" t="s">
        <v>59</v>
      </c>
      <c r="B21" s="3">
        <v>2022</v>
      </c>
      <c r="C21" s="2" t="s">
        <v>60</v>
      </c>
      <c r="D21" s="2" t="s">
        <v>20</v>
      </c>
      <c r="E21" s="2" t="s">
        <v>14</v>
      </c>
      <c r="F21" s="4" t="s">
        <v>15</v>
      </c>
      <c r="G21" s="4" t="s">
        <v>15</v>
      </c>
      <c r="H21" s="2" t="s">
        <v>16</v>
      </c>
      <c r="I21" s="2" t="s">
        <v>24</v>
      </c>
      <c r="J21" s="5" t="str">
        <f t="shared" si="0"/>
        <v>Alex Lang</v>
      </c>
      <c r="K21" s="2"/>
      <c r="L21" s="2"/>
      <c r="M21" s="2"/>
      <c r="N21" s="2"/>
      <c r="O21" s="2"/>
      <c r="P21" s="2"/>
      <c r="Q21" s="2"/>
      <c r="R21" s="2"/>
      <c r="S21" s="2"/>
      <c r="T21" s="2"/>
      <c r="U21" s="2"/>
      <c r="V21" s="2"/>
      <c r="W21" s="2"/>
      <c r="X21" s="2"/>
      <c r="Y21" s="2"/>
      <c r="Z21" s="2"/>
    </row>
    <row r="22" spans="1:26" ht="15.75" customHeight="1" x14ac:dyDescent="0.15">
      <c r="A22" s="2" t="s">
        <v>61</v>
      </c>
      <c r="B22" s="3">
        <v>2022</v>
      </c>
      <c r="C22" s="2" t="s">
        <v>32</v>
      </c>
      <c r="D22" s="2" t="s">
        <v>20</v>
      </c>
      <c r="E22" s="2" t="s">
        <v>14</v>
      </c>
      <c r="F22" s="4" t="s">
        <v>15</v>
      </c>
      <c r="G22" s="4" t="s">
        <v>15</v>
      </c>
      <c r="H22" s="2" t="s">
        <v>16</v>
      </c>
      <c r="I22" s="4" t="s">
        <v>15</v>
      </c>
      <c r="J22" s="5" t="str">
        <f t="shared" si="0"/>
        <v>Alex Lang</v>
      </c>
      <c r="K22" s="2"/>
      <c r="L22" s="8"/>
      <c r="M22" s="8"/>
      <c r="N22" s="8"/>
      <c r="O22" s="8"/>
      <c r="P22" s="8"/>
      <c r="Q22" s="8"/>
      <c r="R22" s="8"/>
      <c r="S22" s="8"/>
      <c r="T22" s="8"/>
      <c r="U22" s="8"/>
      <c r="V22" s="8"/>
      <c r="W22" s="8"/>
      <c r="X22" s="8"/>
      <c r="Y22" s="8"/>
      <c r="Z22" s="8"/>
    </row>
    <row r="23" spans="1:26" ht="15.75" customHeight="1" x14ac:dyDescent="0.15">
      <c r="A23" s="2" t="s">
        <v>62</v>
      </c>
      <c r="B23" s="3">
        <v>2022</v>
      </c>
      <c r="C23" s="2" t="s">
        <v>63</v>
      </c>
      <c r="D23" s="2" t="s">
        <v>20</v>
      </c>
      <c r="E23" s="2" t="s">
        <v>14</v>
      </c>
      <c r="F23" s="4" t="s">
        <v>15</v>
      </c>
      <c r="G23" s="4" t="s">
        <v>15</v>
      </c>
      <c r="H23" s="2" t="s">
        <v>16</v>
      </c>
      <c r="I23" s="4" t="s">
        <v>15</v>
      </c>
      <c r="J23" s="5" t="str">
        <f t="shared" si="0"/>
        <v>Alex Lang</v>
      </c>
      <c r="K23" s="2"/>
      <c r="L23" s="9"/>
      <c r="M23" s="9"/>
      <c r="N23" s="9"/>
      <c r="O23" s="9"/>
      <c r="P23" s="9"/>
      <c r="Q23" s="9"/>
      <c r="R23" s="9"/>
      <c r="S23" s="9"/>
      <c r="T23" s="9"/>
      <c r="U23" s="9"/>
      <c r="V23" s="9"/>
      <c r="W23" s="9"/>
      <c r="X23" s="9"/>
      <c r="Y23" s="9"/>
      <c r="Z23" s="9"/>
    </row>
    <row r="24" spans="1:26" ht="15.75" customHeight="1" x14ac:dyDescent="0.15">
      <c r="A24" s="2" t="s">
        <v>64</v>
      </c>
      <c r="B24" s="3">
        <v>2022</v>
      </c>
      <c r="C24" s="2" t="s">
        <v>65</v>
      </c>
      <c r="D24" s="2" t="s">
        <v>20</v>
      </c>
      <c r="E24" s="2" t="s">
        <v>14</v>
      </c>
      <c r="F24" s="4" t="s">
        <v>15</v>
      </c>
      <c r="G24" s="4" t="s">
        <v>15</v>
      </c>
      <c r="H24" s="2" t="s">
        <v>16</v>
      </c>
      <c r="I24" s="2" t="s">
        <v>24</v>
      </c>
      <c r="J24" s="5" t="str">
        <f t="shared" si="0"/>
        <v>Alex Lang</v>
      </c>
      <c r="K24" s="2" t="s">
        <v>66</v>
      </c>
      <c r="L24" s="9"/>
      <c r="M24" s="9"/>
      <c r="N24" s="9"/>
      <c r="O24" s="9"/>
      <c r="P24" s="9"/>
      <c r="Q24" s="9"/>
      <c r="R24" s="9"/>
      <c r="S24" s="9"/>
      <c r="T24" s="9"/>
      <c r="U24" s="9"/>
      <c r="V24" s="9"/>
      <c r="W24" s="9"/>
      <c r="X24" s="9"/>
      <c r="Y24" s="9"/>
      <c r="Z24" s="9"/>
    </row>
    <row r="25" spans="1:26" ht="15.75" customHeight="1" x14ac:dyDescent="0.15">
      <c r="A25" s="2" t="s">
        <v>67</v>
      </c>
      <c r="B25" s="3">
        <v>2022</v>
      </c>
      <c r="C25" s="2" t="s">
        <v>68</v>
      </c>
      <c r="D25" s="2" t="s">
        <v>27</v>
      </c>
      <c r="E25" s="2" t="s">
        <v>14</v>
      </c>
      <c r="F25" s="4" t="s">
        <v>15</v>
      </c>
      <c r="G25" s="4" t="s">
        <v>15</v>
      </c>
      <c r="H25" s="2" t="s">
        <v>16</v>
      </c>
      <c r="I25" s="4" t="s">
        <v>15</v>
      </c>
      <c r="J25" s="5" t="str">
        <f t="shared" si="0"/>
        <v>Alex Lang</v>
      </c>
      <c r="K25" s="2"/>
      <c r="L25" s="8"/>
      <c r="M25" s="8"/>
      <c r="N25" s="8"/>
      <c r="O25" s="8"/>
      <c r="P25" s="8"/>
      <c r="Q25" s="8"/>
      <c r="R25" s="8"/>
      <c r="S25" s="8"/>
      <c r="T25" s="8"/>
      <c r="U25" s="8"/>
      <c r="V25" s="8"/>
      <c r="W25" s="8"/>
      <c r="X25" s="8"/>
      <c r="Y25" s="8"/>
      <c r="Z25" s="8"/>
    </row>
    <row r="26" spans="1:26" ht="15.75" customHeight="1" x14ac:dyDescent="0.15">
      <c r="A26" s="2" t="s">
        <v>69</v>
      </c>
      <c r="B26" s="3">
        <v>2022</v>
      </c>
      <c r="C26" s="2" t="s">
        <v>32</v>
      </c>
      <c r="D26" s="2" t="s">
        <v>27</v>
      </c>
      <c r="E26" s="2" t="s">
        <v>14</v>
      </c>
      <c r="F26" s="4" t="s">
        <v>15</v>
      </c>
      <c r="G26" s="4" t="s">
        <v>15</v>
      </c>
      <c r="H26" s="2" t="s">
        <v>16</v>
      </c>
      <c r="I26" s="4" t="s">
        <v>15</v>
      </c>
      <c r="J26" s="5" t="str">
        <f t="shared" si="0"/>
        <v>Alex Lang</v>
      </c>
      <c r="K26" s="2" t="s">
        <v>70</v>
      </c>
      <c r="L26" s="8"/>
      <c r="M26" s="8"/>
      <c r="N26" s="8"/>
      <c r="O26" s="8"/>
      <c r="P26" s="8"/>
      <c r="Q26" s="8"/>
      <c r="R26" s="8"/>
      <c r="S26" s="8"/>
      <c r="T26" s="8"/>
      <c r="U26" s="8"/>
      <c r="V26" s="8"/>
      <c r="W26" s="8"/>
      <c r="X26" s="8"/>
      <c r="Y26" s="8"/>
      <c r="Z26" s="8"/>
    </row>
    <row r="27" spans="1:26" ht="15.75" customHeight="1" x14ac:dyDescent="0.15">
      <c r="A27" s="2" t="s">
        <v>71</v>
      </c>
      <c r="B27" s="10">
        <v>2021</v>
      </c>
      <c r="C27" s="6" t="s">
        <v>72</v>
      </c>
      <c r="D27" s="2" t="s">
        <v>13</v>
      </c>
      <c r="E27" s="2" t="s">
        <v>14</v>
      </c>
      <c r="F27" s="11" t="s">
        <v>15</v>
      </c>
      <c r="G27" s="11" t="s">
        <v>15</v>
      </c>
      <c r="H27" s="2" t="s">
        <v>16</v>
      </c>
      <c r="I27" s="11" t="s">
        <v>15</v>
      </c>
      <c r="J27" s="5" t="str">
        <f t="shared" si="0"/>
        <v>Alex Lang</v>
      </c>
      <c r="K27" s="6" t="s">
        <v>73</v>
      </c>
      <c r="L27" s="8"/>
      <c r="M27" s="8"/>
      <c r="N27" s="8"/>
      <c r="O27" s="8"/>
      <c r="P27" s="8"/>
      <c r="Q27" s="8"/>
      <c r="R27" s="8"/>
      <c r="S27" s="8"/>
      <c r="T27" s="8"/>
      <c r="U27" s="8"/>
      <c r="V27" s="8"/>
      <c r="W27" s="8"/>
      <c r="X27" s="8"/>
      <c r="Y27" s="8"/>
      <c r="Z27" s="8"/>
    </row>
    <row r="28" spans="1:26" ht="15.75" customHeight="1" x14ac:dyDescent="0.15">
      <c r="A28" s="2" t="s">
        <v>74</v>
      </c>
      <c r="B28" s="3">
        <v>2021</v>
      </c>
      <c r="C28" s="2" t="s">
        <v>75</v>
      </c>
      <c r="D28" s="2" t="s">
        <v>27</v>
      </c>
      <c r="E28" s="2" t="s">
        <v>14</v>
      </c>
      <c r="F28" s="4" t="s">
        <v>15</v>
      </c>
      <c r="G28" s="4" t="s">
        <v>15</v>
      </c>
      <c r="H28" s="2" t="s">
        <v>16</v>
      </c>
      <c r="I28" s="4" t="s">
        <v>15</v>
      </c>
      <c r="J28" s="12" t="s">
        <v>74</v>
      </c>
      <c r="K28" s="2"/>
      <c r="L28" s="9"/>
      <c r="M28" s="9"/>
      <c r="N28" s="9"/>
      <c r="O28" s="9"/>
      <c r="P28" s="9"/>
      <c r="Q28" s="9"/>
      <c r="R28" s="9"/>
      <c r="S28" s="9"/>
      <c r="T28" s="9"/>
      <c r="U28" s="9"/>
      <c r="V28" s="9"/>
      <c r="W28" s="9"/>
      <c r="X28" s="9"/>
      <c r="Y28" s="9"/>
      <c r="Z28" s="9"/>
    </row>
    <row r="29" spans="1:26" ht="15.75" customHeight="1" x14ac:dyDescent="0.15">
      <c r="A29" s="2" t="s">
        <v>76</v>
      </c>
      <c r="B29" s="3">
        <v>2021</v>
      </c>
      <c r="C29" s="2" t="s">
        <v>77</v>
      </c>
      <c r="D29" s="2" t="s">
        <v>13</v>
      </c>
      <c r="E29" s="2" t="s">
        <v>78</v>
      </c>
      <c r="F29" s="4" t="s">
        <v>15</v>
      </c>
      <c r="G29" s="4" t="s">
        <v>15</v>
      </c>
      <c r="H29" s="2" t="s">
        <v>16</v>
      </c>
      <c r="I29" s="4" t="s">
        <v>15</v>
      </c>
      <c r="J29" s="5" t="str">
        <f t="shared" ref="J29:J49" si="1">HYPERLINK("http://www.alexhunterlang.com/nsf-fellowship","Alex Lang")</f>
        <v>Alex Lang</v>
      </c>
      <c r="K29" s="2"/>
      <c r="L29" s="2"/>
      <c r="M29" s="2"/>
      <c r="N29" s="2"/>
      <c r="O29" s="2"/>
      <c r="P29" s="2"/>
      <c r="Q29" s="2"/>
      <c r="R29" s="2"/>
      <c r="S29" s="2"/>
      <c r="T29" s="2"/>
      <c r="U29" s="2"/>
      <c r="V29" s="2"/>
      <c r="W29" s="2"/>
      <c r="X29" s="2"/>
      <c r="Y29" s="2"/>
      <c r="Z29" s="2"/>
    </row>
    <row r="30" spans="1:26" ht="15.75" customHeight="1" x14ac:dyDescent="0.15">
      <c r="A30" s="2" t="s">
        <v>79</v>
      </c>
      <c r="B30" s="3">
        <v>2021</v>
      </c>
      <c r="C30" s="2" t="s">
        <v>80</v>
      </c>
      <c r="D30" s="2" t="s">
        <v>20</v>
      </c>
      <c r="E30" s="2" t="s">
        <v>14</v>
      </c>
      <c r="F30" s="2" t="s">
        <v>24</v>
      </c>
      <c r="G30" s="5" t="s">
        <v>15</v>
      </c>
      <c r="H30" s="2" t="s">
        <v>16</v>
      </c>
      <c r="I30" s="5" t="s">
        <v>15</v>
      </c>
      <c r="J30" s="5" t="str">
        <f t="shared" si="1"/>
        <v>Alex Lang</v>
      </c>
      <c r="K30" s="2"/>
      <c r="L30" s="2"/>
      <c r="M30" s="2"/>
      <c r="N30" s="2"/>
      <c r="O30" s="2"/>
      <c r="P30" s="2"/>
      <c r="Q30" s="2"/>
      <c r="R30" s="2"/>
      <c r="S30" s="2"/>
      <c r="T30" s="2"/>
      <c r="U30" s="2"/>
      <c r="V30" s="2"/>
      <c r="W30" s="2"/>
      <c r="X30" s="2"/>
      <c r="Y30" s="2"/>
      <c r="Z30" s="2"/>
    </row>
    <row r="31" spans="1:26" ht="15.75" customHeight="1" x14ac:dyDescent="0.15">
      <c r="A31" s="2" t="s">
        <v>81</v>
      </c>
      <c r="B31" s="3">
        <v>2021</v>
      </c>
      <c r="C31" s="2" t="s">
        <v>23</v>
      </c>
      <c r="D31" s="2" t="s">
        <v>20</v>
      </c>
      <c r="E31" s="2" t="s">
        <v>14</v>
      </c>
      <c r="F31" s="5" t="s">
        <v>15</v>
      </c>
      <c r="G31" s="4" t="s">
        <v>15</v>
      </c>
      <c r="H31" s="2" t="s">
        <v>16</v>
      </c>
      <c r="I31" s="4" t="s">
        <v>15</v>
      </c>
      <c r="J31" s="5" t="str">
        <f t="shared" si="1"/>
        <v>Alex Lang</v>
      </c>
      <c r="K31" s="4" t="s">
        <v>15</v>
      </c>
      <c r="L31" s="2"/>
      <c r="M31" s="2"/>
      <c r="N31" s="2"/>
      <c r="O31" s="2"/>
      <c r="P31" s="2"/>
      <c r="Q31" s="2"/>
      <c r="R31" s="2"/>
      <c r="S31" s="2"/>
      <c r="T31" s="2"/>
      <c r="U31" s="2"/>
      <c r="V31" s="2"/>
      <c r="W31" s="2"/>
      <c r="X31" s="2"/>
      <c r="Y31" s="2"/>
      <c r="Z31" s="2"/>
    </row>
    <row r="32" spans="1:26" ht="15.75" customHeight="1" x14ac:dyDescent="0.15">
      <c r="A32" s="2" t="s">
        <v>82</v>
      </c>
      <c r="B32" s="3">
        <v>2021</v>
      </c>
      <c r="C32" s="2" t="s">
        <v>83</v>
      </c>
      <c r="D32" s="2" t="s">
        <v>20</v>
      </c>
      <c r="E32" s="2" t="s">
        <v>14</v>
      </c>
      <c r="F32" s="4" t="s">
        <v>15</v>
      </c>
      <c r="G32" s="4" t="s">
        <v>15</v>
      </c>
      <c r="H32" s="2" t="s">
        <v>16</v>
      </c>
      <c r="I32" s="4" t="s">
        <v>15</v>
      </c>
      <c r="J32" s="5" t="str">
        <f t="shared" si="1"/>
        <v>Alex Lang</v>
      </c>
      <c r="K32" s="2"/>
      <c r="L32" s="2"/>
      <c r="M32" s="2"/>
      <c r="N32" s="2"/>
      <c r="O32" s="2"/>
      <c r="P32" s="2"/>
      <c r="Q32" s="2"/>
      <c r="R32" s="2"/>
      <c r="S32" s="2"/>
      <c r="T32" s="2"/>
      <c r="U32" s="2"/>
      <c r="V32" s="2"/>
      <c r="W32" s="2"/>
      <c r="X32" s="2"/>
      <c r="Y32" s="2"/>
      <c r="Z32" s="2"/>
    </row>
    <row r="33" spans="1:26" ht="15.75" customHeight="1" x14ac:dyDescent="0.15">
      <c r="A33" s="13" t="s">
        <v>48</v>
      </c>
      <c r="B33" s="3">
        <v>2021</v>
      </c>
      <c r="C33" s="2" t="s">
        <v>84</v>
      </c>
      <c r="D33" s="2" t="s">
        <v>27</v>
      </c>
      <c r="E33" s="2" t="s">
        <v>14</v>
      </c>
      <c r="F33" s="4" t="s">
        <v>15</v>
      </c>
      <c r="G33" s="4" t="s">
        <v>15</v>
      </c>
      <c r="H33" s="2" t="s">
        <v>16</v>
      </c>
      <c r="I33" s="4" t="s">
        <v>15</v>
      </c>
      <c r="J33" s="5" t="str">
        <f t="shared" si="1"/>
        <v>Alex Lang</v>
      </c>
      <c r="K33" s="2"/>
      <c r="L33" s="2"/>
      <c r="M33" s="2"/>
      <c r="N33" s="2"/>
      <c r="O33" s="2"/>
      <c r="P33" s="2"/>
      <c r="Q33" s="2"/>
      <c r="R33" s="2"/>
      <c r="S33" s="2"/>
      <c r="T33" s="2"/>
      <c r="U33" s="2"/>
      <c r="V33" s="2"/>
      <c r="W33" s="2"/>
      <c r="X33" s="2"/>
      <c r="Y33" s="2"/>
      <c r="Z33" s="2"/>
    </row>
    <row r="34" spans="1:26" ht="15.75" customHeight="1" x14ac:dyDescent="0.15">
      <c r="A34" s="13" t="s">
        <v>48</v>
      </c>
      <c r="B34" s="3">
        <v>2021</v>
      </c>
      <c r="C34" s="2" t="s">
        <v>85</v>
      </c>
      <c r="D34" s="2" t="s">
        <v>20</v>
      </c>
      <c r="E34" s="2" t="s">
        <v>78</v>
      </c>
      <c r="F34" s="4" t="s">
        <v>15</v>
      </c>
      <c r="G34" s="4" t="s">
        <v>15</v>
      </c>
      <c r="H34" s="2" t="s">
        <v>16</v>
      </c>
      <c r="I34" s="4" t="s">
        <v>15</v>
      </c>
      <c r="J34" s="5" t="str">
        <f t="shared" si="1"/>
        <v>Alex Lang</v>
      </c>
      <c r="K34" s="2"/>
      <c r="L34" s="2"/>
      <c r="M34" s="2"/>
      <c r="N34" s="2"/>
      <c r="O34" s="2"/>
      <c r="P34" s="2"/>
      <c r="Q34" s="2"/>
      <c r="R34" s="2"/>
      <c r="S34" s="2"/>
      <c r="T34" s="2"/>
      <c r="U34" s="2"/>
      <c r="V34" s="2"/>
      <c r="W34" s="2"/>
      <c r="X34" s="2"/>
      <c r="Y34" s="2"/>
      <c r="Z34" s="2"/>
    </row>
    <row r="35" spans="1:26" ht="15.75" customHeight="1" x14ac:dyDescent="0.15">
      <c r="A35" s="2" t="s">
        <v>86</v>
      </c>
      <c r="B35" s="3">
        <v>2021</v>
      </c>
      <c r="C35" s="2" t="s">
        <v>26</v>
      </c>
      <c r="D35" s="2" t="s">
        <v>13</v>
      </c>
      <c r="E35" s="2" t="s">
        <v>14</v>
      </c>
      <c r="F35" s="4" t="s">
        <v>15</v>
      </c>
      <c r="G35" s="4" t="s">
        <v>15</v>
      </c>
      <c r="H35" s="2" t="s">
        <v>16</v>
      </c>
      <c r="I35" s="14" t="s">
        <v>24</v>
      </c>
      <c r="J35" s="5" t="str">
        <f t="shared" si="1"/>
        <v>Alex Lang</v>
      </c>
      <c r="K35" s="2"/>
      <c r="L35" s="2"/>
      <c r="M35" s="2"/>
      <c r="N35" s="2"/>
      <c r="O35" s="2"/>
      <c r="P35" s="2"/>
      <c r="Q35" s="2"/>
      <c r="R35" s="2"/>
      <c r="S35" s="2"/>
      <c r="T35" s="2"/>
      <c r="U35" s="2"/>
      <c r="V35" s="2"/>
      <c r="W35" s="2"/>
      <c r="X35" s="2"/>
      <c r="Y35" s="2"/>
      <c r="Z35" s="2"/>
    </row>
    <row r="36" spans="1:26" ht="15.75" customHeight="1" x14ac:dyDescent="0.15">
      <c r="A36" s="2" t="s">
        <v>87</v>
      </c>
      <c r="B36" s="3">
        <v>2021</v>
      </c>
      <c r="C36" s="2" t="s">
        <v>52</v>
      </c>
      <c r="D36" s="2" t="s">
        <v>20</v>
      </c>
      <c r="E36" s="2" t="s">
        <v>14</v>
      </c>
      <c r="F36" s="4" t="s">
        <v>15</v>
      </c>
      <c r="G36" s="4" t="s">
        <v>15</v>
      </c>
      <c r="H36" s="2" t="s">
        <v>16</v>
      </c>
      <c r="I36" s="4" t="s">
        <v>15</v>
      </c>
      <c r="J36" s="5" t="str">
        <f t="shared" si="1"/>
        <v>Alex Lang</v>
      </c>
      <c r="K36" s="2"/>
      <c r="L36" s="2"/>
      <c r="M36" s="2"/>
      <c r="N36" s="2"/>
      <c r="O36" s="2"/>
      <c r="P36" s="2"/>
      <c r="Q36" s="2"/>
      <c r="R36" s="2"/>
      <c r="S36" s="2"/>
      <c r="T36" s="2"/>
      <c r="U36" s="2"/>
      <c r="V36" s="2"/>
      <c r="W36" s="2"/>
      <c r="X36" s="2"/>
      <c r="Y36" s="2"/>
      <c r="Z36" s="2"/>
    </row>
    <row r="37" spans="1:26" ht="15.75" customHeight="1" x14ac:dyDescent="0.15">
      <c r="A37" s="2" t="s">
        <v>88</v>
      </c>
      <c r="B37" s="3">
        <v>2021</v>
      </c>
      <c r="C37" s="2" t="s">
        <v>89</v>
      </c>
      <c r="D37" s="2" t="s">
        <v>27</v>
      </c>
      <c r="E37" s="2" t="s">
        <v>14</v>
      </c>
      <c r="F37" s="4" t="s">
        <v>15</v>
      </c>
      <c r="G37" s="4" t="s">
        <v>15</v>
      </c>
      <c r="H37" s="2" t="s">
        <v>16</v>
      </c>
      <c r="I37" s="2" t="s">
        <v>24</v>
      </c>
      <c r="J37" s="5" t="str">
        <f t="shared" si="1"/>
        <v>Alex Lang</v>
      </c>
      <c r="K37" s="2"/>
      <c r="L37" s="2"/>
      <c r="M37" s="2"/>
      <c r="N37" s="2"/>
      <c r="O37" s="2"/>
      <c r="P37" s="2"/>
      <c r="Q37" s="2"/>
      <c r="R37" s="2"/>
      <c r="S37" s="2"/>
      <c r="T37" s="2"/>
      <c r="U37" s="2"/>
      <c r="V37" s="2"/>
      <c r="W37" s="2"/>
      <c r="X37" s="2"/>
      <c r="Y37" s="2"/>
      <c r="Z37" s="2"/>
    </row>
    <row r="38" spans="1:26" ht="15.75" customHeight="1" x14ac:dyDescent="0.15">
      <c r="A38" s="2" t="s">
        <v>90</v>
      </c>
      <c r="B38" s="3">
        <v>2021</v>
      </c>
      <c r="C38" s="2" t="s">
        <v>32</v>
      </c>
      <c r="D38" s="2" t="s">
        <v>13</v>
      </c>
      <c r="E38" s="2" t="s">
        <v>14</v>
      </c>
      <c r="F38" s="4" t="s">
        <v>15</v>
      </c>
      <c r="G38" s="4" t="s">
        <v>15</v>
      </c>
      <c r="H38" s="2" t="s">
        <v>16</v>
      </c>
      <c r="I38" s="4" t="s">
        <v>15</v>
      </c>
      <c r="J38" s="5" t="str">
        <f t="shared" si="1"/>
        <v>Alex Lang</v>
      </c>
      <c r="K38" s="2" t="s">
        <v>91</v>
      </c>
      <c r="L38" s="2"/>
      <c r="M38" s="2"/>
      <c r="N38" s="2"/>
      <c r="O38" s="2"/>
      <c r="P38" s="2"/>
      <c r="Q38" s="2"/>
      <c r="R38" s="2"/>
      <c r="S38" s="2"/>
      <c r="T38" s="2"/>
      <c r="U38" s="2"/>
      <c r="V38" s="2"/>
      <c r="W38" s="2"/>
      <c r="X38" s="2"/>
      <c r="Y38" s="2"/>
      <c r="Z38" s="2"/>
    </row>
    <row r="39" spans="1:26" ht="15.75" customHeight="1" x14ac:dyDescent="0.15">
      <c r="A39" s="2" t="s">
        <v>92</v>
      </c>
      <c r="B39" s="3">
        <v>2021</v>
      </c>
      <c r="C39" s="2" t="s">
        <v>93</v>
      </c>
      <c r="D39" s="2" t="s">
        <v>13</v>
      </c>
      <c r="E39" s="2" t="s">
        <v>14</v>
      </c>
      <c r="F39" s="4" t="s">
        <v>15</v>
      </c>
      <c r="G39" s="4" t="s">
        <v>15</v>
      </c>
      <c r="H39" s="2" t="s">
        <v>16</v>
      </c>
      <c r="I39" s="4" t="s">
        <v>15</v>
      </c>
      <c r="J39" s="5" t="str">
        <f t="shared" si="1"/>
        <v>Alex Lang</v>
      </c>
      <c r="K39" s="2"/>
      <c r="L39" s="2"/>
      <c r="M39" s="2"/>
      <c r="N39" s="2"/>
      <c r="O39" s="2"/>
      <c r="P39" s="2"/>
      <c r="Q39" s="2"/>
      <c r="R39" s="2"/>
      <c r="S39" s="2"/>
      <c r="T39" s="2"/>
      <c r="U39" s="2"/>
      <c r="V39" s="2"/>
      <c r="W39" s="2"/>
      <c r="X39" s="2"/>
      <c r="Y39" s="2"/>
      <c r="Z39" s="2"/>
    </row>
    <row r="40" spans="1:26" ht="15.75" customHeight="1" x14ac:dyDescent="0.15">
      <c r="A40" s="2" t="s">
        <v>94</v>
      </c>
      <c r="B40" s="3">
        <v>2021</v>
      </c>
      <c r="C40" s="2" t="s">
        <v>95</v>
      </c>
      <c r="D40" s="2" t="s">
        <v>27</v>
      </c>
      <c r="E40" s="2" t="s">
        <v>14</v>
      </c>
      <c r="F40" s="5" t="s">
        <v>15</v>
      </c>
      <c r="G40" s="5" t="s">
        <v>15</v>
      </c>
      <c r="H40" s="2" t="s">
        <v>16</v>
      </c>
      <c r="I40" s="4" t="s">
        <v>15</v>
      </c>
      <c r="J40" s="5" t="str">
        <f t="shared" si="1"/>
        <v>Alex Lang</v>
      </c>
      <c r="K40" s="2" t="s">
        <v>96</v>
      </c>
      <c r="L40" s="2"/>
      <c r="M40" s="2"/>
      <c r="N40" s="2"/>
      <c r="O40" s="2"/>
      <c r="P40" s="2"/>
      <c r="Q40" s="2"/>
      <c r="R40" s="2"/>
      <c r="S40" s="2"/>
      <c r="T40" s="2"/>
      <c r="U40" s="2"/>
      <c r="V40" s="2"/>
      <c r="W40" s="2"/>
      <c r="X40" s="2"/>
      <c r="Y40" s="2"/>
      <c r="Z40" s="2"/>
    </row>
    <row r="41" spans="1:26" ht="15.75" customHeight="1" x14ac:dyDescent="0.15">
      <c r="A41" s="2" t="s">
        <v>97</v>
      </c>
      <c r="B41" s="3">
        <v>2021</v>
      </c>
      <c r="C41" s="2" t="s">
        <v>98</v>
      </c>
      <c r="D41" s="2" t="s">
        <v>20</v>
      </c>
      <c r="E41" s="2" t="s">
        <v>14</v>
      </c>
      <c r="F41" s="4" t="s">
        <v>15</v>
      </c>
      <c r="G41" s="4" t="s">
        <v>15</v>
      </c>
      <c r="H41" s="2" t="s">
        <v>16</v>
      </c>
      <c r="I41" s="4" t="s">
        <v>15</v>
      </c>
      <c r="J41" s="5" t="str">
        <f t="shared" si="1"/>
        <v>Alex Lang</v>
      </c>
      <c r="K41" s="2" t="s">
        <v>99</v>
      </c>
      <c r="L41" s="2"/>
      <c r="M41" s="2"/>
      <c r="N41" s="2"/>
      <c r="O41" s="2"/>
      <c r="P41" s="2"/>
      <c r="Q41" s="2"/>
      <c r="R41" s="2"/>
      <c r="S41" s="2"/>
      <c r="T41" s="2"/>
      <c r="U41" s="2"/>
      <c r="V41" s="2"/>
      <c r="W41" s="2"/>
      <c r="X41" s="2"/>
      <c r="Y41" s="2"/>
      <c r="Z41" s="2"/>
    </row>
    <row r="42" spans="1:26" ht="15.75" customHeight="1" x14ac:dyDescent="0.15">
      <c r="A42" s="2" t="s">
        <v>100</v>
      </c>
      <c r="B42" s="3">
        <v>2021</v>
      </c>
      <c r="C42" s="2" t="s">
        <v>101</v>
      </c>
      <c r="D42" s="2" t="s">
        <v>27</v>
      </c>
      <c r="E42" s="2" t="s">
        <v>14</v>
      </c>
      <c r="F42" s="4" t="s">
        <v>15</v>
      </c>
      <c r="G42" s="4" t="s">
        <v>15</v>
      </c>
      <c r="H42" s="2" t="s">
        <v>16</v>
      </c>
      <c r="I42" s="4" t="s">
        <v>15</v>
      </c>
      <c r="J42" s="5" t="str">
        <f t="shared" si="1"/>
        <v>Alex Lang</v>
      </c>
      <c r="K42" s="2"/>
      <c r="L42" s="15"/>
      <c r="M42" s="15"/>
      <c r="N42" s="15"/>
      <c r="O42" s="15"/>
      <c r="P42" s="15"/>
      <c r="Q42" s="15"/>
      <c r="R42" s="15"/>
      <c r="S42" s="15"/>
      <c r="T42" s="15"/>
      <c r="U42" s="15"/>
      <c r="V42" s="15"/>
      <c r="W42" s="15"/>
      <c r="X42" s="15"/>
      <c r="Y42" s="15"/>
      <c r="Z42" s="15"/>
    </row>
    <row r="43" spans="1:26" ht="15.75" customHeight="1" x14ac:dyDescent="0.15">
      <c r="A43" s="2" t="s">
        <v>102</v>
      </c>
      <c r="B43" s="3">
        <v>2021</v>
      </c>
      <c r="C43" s="2" t="s">
        <v>103</v>
      </c>
      <c r="D43" s="2" t="s">
        <v>13</v>
      </c>
      <c r="E43" s="2" t="s">
        <v>14</v>
      </c>
      <c r="F43" s="4" t="s">
        <v>15</v>
      </c>
      <c r="G43" s="4" t="s">
        <v>15</v>
      </c>
      <c r="H43" s="2" t="s">
        <v>16</v>
      </c>
      <c r="I43" s="4" t="s">
        <v>15</v>
      </c>
      <c r="J43" s="5" t="str">
        <f t="shared" si="1"/>
        <v>Alex Lang</v>
      </c>
      <c r="K43" s="2" t="s">
        <v>104</v>
      </c>
      <c r="L43" s="2"/>
      <c r="M43" s="2"/>
      <c r="N43" s="2"/>
      <c r="O43" s="2"/>
      <c r="P43" s="2"/>
      <c r="Q43" s="2"/>
      <c r="R43" s="2"/>
      <c r="S43" s="2"/>
      <c r="T43" s="2"/>
      <c r="U43" s="2"/>
      <c r="V43" s="2"/>
      <c r="W43" s="2"/>
      <c r="X43" s="2"/>
      <c r="Y43" s="2"/>
      <c r="Z43" s="2"/>
    </row>
    <row r="44" spans="1:26" ht="15.75" customHeight="1" x14ac:dyDescent="0.15">
      <c r="A44" s="2" t="s">
        <v>105</v>
      </c>
      <c r="B44" s="3">
        <v>2021</v>
      </c>
      <c r="C44" s="2" t="s">
        <v>19</v>
      </c>
      <c r="D44" s="2" t="s">
        <v>13</v>
      </c>
      <c r="E44" s="2" t="s">
        <v>14</v>
      </c>
      <c r="F44" s="4" t="s">
        <v>15</v>
      </c>
      <c r="G44" s="4" t="s">
        <v>15</v>
      </c>
      <c r="H44" s="2" t="s">
        <v>16</v>
      </c>
      <c r="I44" s="4" t="s">
        <v>15</v>
      </c>
      <c r="J44" s="5" t="str">
        <f t="shared" si="1"/>
        <v>Alex Lang</v>
      </c>
      <c r="K44" s="2"/>
      <c r="L44" s="2"/>
      <c r="M44" s="2"/>
      <c r="N44" s="2"/>
      <c r="O44" s="2"/>
      <c r="P44" s="2"/>
      <c r="Q44" s="2"/>
      <c r="R44" s="2"/>
      <c r="S44" s="2"/>
      <c r="T44" s="2"/>
      <c r="U44" s="2"/>
      <c r="V44" s="2"/>
      <c r="W44" s="2"/>
      <c r="X44" s="2"/>
      <c r="Y44" s="2"/>
      <c r="Z44" s="2"/>
    </row>
    <row r="45" spans="1:26" ht="15.75" customHeight="1" x14ac:dyDescent="0.15">
      <c r="A45" s="2" t="s">
        <v>106</v>
      </c>
      <c r="B45" s="3">
        <v>2021</v>
      </c>
      <c r="C45" s="2" t="s">
        <v>107</v>
      </c>
      <c r="D45" s="2" t="s">
        <v>20</v>
      </c>
      <c r="E45" s="2" t="s">
        <v>14</v>
      </c>
      <c r="F45" s="4" t="s">
        <v>15</v>
      </c>
      <c r="G45" s="4" t="s">
        <v>15</v>
      </c>
      <c r="H45" s="2" t="s">
        <v>16</v>
      </c>
      <c r="I45" s="4" t="s">
        <v>15</v>
      </c>
      <c r="J45" s="5" t="str">
        <f t="shared" si="1"/>
        <v>Alex Lang</v>
      </c>
      <c r="K45" s="2"/>
      <c r="L45" s="2"/>
      <c r="M45" s="2"/>
      <c r="N45" s="2"/>
      <c r="O45" s="2"/>
      <c r="P45" s="2"/>
      <c r="Q45" s="2"/>
      <c r="R45" s="2"/>
      <c r="S45" s="2"/>
      <c r="T45" s="2"/>
      <c r="U45" s="2"/>
      <c r="V45" s="2"/>
      <c r="W45" s="2"/>
      <c r="X45" s="2"/>
      <c r="Y45" s="2"/>
      <c r="Z45" s="2"/>
    </row>
    <row r="46" spans="1:26" ht="15.75" customHeight="1" x14ac:dyDescent="0.15">
      <c r="A46" s="2" t="s">
        <v>108</v>
      </c>
      <c r="B46" s="3">
        <v>2021</v>
      </c>
      <c r="C46" s="2" t="s">
        <v>52</v>
      </c>
      <c r="D46" s="2" t="s">
        <v>27</v>
      </c>
      <c r="E46" s="2" t="s">
        <v>14</v>
      </c>
      <c r="F46" s="4" t="s">
        <v>15</v>
      </c>
      <c r="G46" s="4" t="s">
        <v>15</v>
      </c>
      <c r="H46" s="2" t="s">
        <v>16</v>
      </c>
      <c r="I46" s="4" t="s">
        <v>15</v>
      </c>
      <c r="J46" s="5" t="str">
        <f t="shared" si="1"/>
        <v>Alex Lang</v>
      </c>
      <c r="K46" s="2"/>
      <c r="L46" s="9"/>
      <c r="M46" s="9"/>
      <c r="N46" s="9"/>
      <c r="O46" s="9"/>
      <c r="P46" s="9"/>
      <c r="Q46" s="9"/>
      <c r="R46" s="9"/>
      <c r="S46" s="9"/>
      <c r="T46" s="9"/>
      <c r="U46" s="9"/>
      <c r="V46" s="9"/>
      <c r="W46" s="9"/>
      <c r="X46" s="9"/>
      <c r="Y46" s="9"/>
      <c r="Z46" s="9"/>
    </row>
    <row r="47" spans="1:26" ht="15.75" customHeight="1" x14ac:dyDescent="0.15">
      <c r="A47" s="2" t="s">
        <v>109</v>
      </c>
      <c r="B47" s="3">
        <v>2021</v>
      </c>
      <c r="C47" s="2" t="s">
        <v>110</v>
      </c>
      <c r="D47" s="2" t="s">
        <v>27</v>
      </c>
      <c r="E47" s="2" t="s">
        <v>14</v>
      </c>
      <c r="F47" s="4" t="s">
        <v>15</v>
      </c>
      <c r="G47" s="4" t="s">
        <v>15</v>
      </c>
      <c r="H47" s="2" t="s">
        <v>16</v>
      </c>
      <c r="I47" s="4" t="s">
        <v>15</v>
      </c>
      <c r="J47" s="5" t="str">
        <f t="shared" si="1"/>
        <v>Alex Lang</v>
      </c>
      <c r="K47" s="2"/>
      <c r="L47" s="2"/>
      <c r="M47" s="2"/>
      <c r="N47" s="2"/>
      <c r="O47" s="2"/>
      <c r="P47" s="2"/>
      <c r="Q47" s="2"/>
      <c r="R47" s="2"/>
      <c r="S47" s="2"/>
      <c r="T47" s="2"/>
      <c r="U47" s="2"/>
      <c r="V47" s="2"/>
      <c r="W47" s="2"/>
      <c r="X47" s="2"/>
      <c r="Y47" s="2"/>
      <c r="Z47" s="2"/>
    </row>
    <row r="48" spans="1:26" ht="15.75" customHeight="1" x14ac:dyDescent="0.15">
      <c r="A48" s="2" t="s">
        <v>111</v>
      </c>
      <c r="B48" s="3">
        <v>2021</v>
      </c>
      <c r="C48" s="2" t="s">
        <v>112</v>
      </c>
      <c r="D48" s="2" t="s">
        <v>13</v>
      </c>
      <c r="E48" s="2" t="s">
        <v>14</v>
      </c>
      <c r="F48" s="4" t="s">
        <v>15</v>
      </c>
      <c r="G48" s="4" t="s">
        <v>15</v>
      </c>
      <c r="H48" s="2" t="s">
        <v>16</v>
      </c>
      <c r="I48" s="4" t="s">
        <v>15</v>
      </c>
      <c r="J48" s="5" t="str">
        <f t="shared" si="1"/>
        <v>Alex Lang</v>
      </c>
      <c r="K48" s="2"/>
      <c r="L48" s="2"/>
      <c r="M48" s="2"/>
      <c r="N48" s="2"/>
      <c r="O48" s="2"/>
      <c r="P48" s="2"/>
      <c r="Q48" s="2"/>
      <c r="R48" s="2"/>
      <c r="S48" s="2"/>
      <c r="T48" s="2"/>
      <c r="U48" s="2"/>
      <c r="V48" s="2"/>
      <c r="W48" s="2"/>
      <c r="X48" s="2"/>
      <c r="Y48" s="2"/>
      <c r="Z48" s="2"/>
    </row>
    <row r="49" spans="1:26" ht="15.75" customHeight="1" x14ac:dyDescent="0.15">
      <c r="A49" s="2" t="s">
        <v>113</v>
      </c>
      <c r="B49" s="3">
        <v>2021</v>
      </c>
      <c r="C49" s="2" t="s">
        <v>32</v>
      </c>
      <c r="D49" s="2" t="s">
        <v>27</v>
      </c>
      <c r="E49" s="2" t="s">
        <v>14</v>
      </c>
      <c r="F49" s="4" t="s">
        <v>15</v>
      </c>
      <c r="G49" s="4" t="s">
        <v>15</v>
      </c>
      <c r="H49" s="2" t="s">
        <v>16</v>
      </c>
      <c r="I49" s="4" t="s">
        <v>15</v>
      </c>
      <c r="J49" s="5" t="str">
        <f t="shared" si="1"/>
        <v>Alex Lang</v>
      </c>
      <c r="K49" s="2"/>
      <c r="L49" s="2"/>
      <c r="M49" s="2"/>
      <c r="N49" s="2"/>
      <c r="O49" s="2"/>
      <c r="P49" s="2"/>
      <c r="Q49" s="2"/>
      <c r="R49" s="2"/>
      <c r="S49" s="2"/>
      <c r="T49" s="2"/>
      <c r="U49" s="2"/>
      <c r="V49" s="2"/>
      <c r="W49" s="2"/>
      <c r="X49" s="2"/>
      <c r="Y49" s="2"/>
      <c r="Z49" s="2"/>
    </row>
    <row r="50" spans="1:26" ht="15.75" customHeight="1" x14ac:dyDescent="0.15">
      <c r="A50" s="2" t="s">
        <v>114</v>
      </c>
      <c r="B50" s="3">
        <v>2021</v>
      </c>
      <c r="C50" s="2" t="s">
        <v>115</v>
      </c>
      <c r="D50" s="2" t="s">
        <v>20</v>
      </c>
      <c r="E50" s="2" t="s">
        <v>14</v>
      </c>
      <c r="F50" s="4" t="s">
        <v>15</v>
      </c>
      <c r="G50" s="4" t="s">
        <v>15</v>
      </c>
      <c r="H50" s="2" t="s">
        <v>16</v>
      </c>
      <c r="I50" s="4" t="s">
        <v>15</v>
      </c>
      <c r="J50" s="2" t="s">
        <v>114</v>
      </c>
      <c r="K50" s="2"/>
      <c r="L50" s="2"/>
      <c r="M50" s="2"/>
      <c r="N50" s="2"/>
      <c r="O50" s="2"/>
      <c r="P50" s="2"/>
      <c r="Q50" s="2"/>
      <c r="R50" s="2"/>
      <c r="S50" s="2"/>
      <c r="T50" s="2"/>
      <c r="U50" s="2"/>
      <c r="V50" s="2"/>
      <c r="W50" s="2"/>
      <c r="X50" s="2"/>
      <c r="Y50" s="2"/>
      <c r="Z50" s="2"/>
    </row>
    <row r="51" spans="1:26" ht="15.75" customHeight="1" x14ac:dyDescent="0.15">
      <c r="A51" s="2" t="s">
        <v>116</v>
      </c>
      <c r="B51" s="3">
        <v>2021</v>
      </c>
      <c r="C51" s="2" t="s">
        <v>117</v>
      </c>
      <c r="D51" s="2" t="s">
        <v>27</v>
      </c>
      <c r="E51" s="2" t="s">
        <v>14</v>
      </c>
      <c r="F51" s="4" t="s">
        <v>15</v>
      </c>
      <c r="G51" s="2" t="s">
        <v>24</v>
      </c>
      <c r="H51" s="2" t="s">
        <v>16</v>
      </c>
      <c r="I51" s="2" t="s">
        <v>24</v>
      </c>
      <c r="J51" s="16" t="s">
        <v>116</v>
      </c>
      <c r="K51" s="2"/>
      <c r="L51" s="9"/>
      <c r="M51" s="9"/>
      <c r="N51" s="9"/>
      <c r="O51" s="9"/>
      <c r="P51" s="9"/>
      <c r="Q51" s="9"/>
      <c r="R51" s="9"/>
      <c r="S51" s="9"/>
      <c r="T51" s="9"/>
      <c r="U51" s="9"/>
      <c r="V51" s="9"/>
      <c r="W51" s="9"/>
      <c r="X51" s="9"/>
      <c r="Y51" s="9"/>
      <c r="Z51" s="9"/>
    </row>
    <row r="52" spans="1:26" ht="15.75" customHeight="1" x14ac:dyDescent="0.15">
      <c r="A52" s="2" t="s">
        <v>118</v>
      </c>
      <c r="B52" s="3">
        <v>2021</v>
      </c>
      <c r="C52" s="2" t="s">
        <v>119</v>
      </c>
      <c r="D52" s="2" t="s">
        <v>27</v>
      </c>
      <c r="E52" s="2" t="s">
        <v>14</v>
      </c>
      <c r="F52" s="4" t="s">
        <v>15</v>
      </c>
      <c r="G52" s="4" t="s">
        <v>15</v>
      </c>
      <c r="H52" s="2" t="s">
        <v>16</v>
      </c>
      <c r="I52" s="2" t="s">
        <v>24</v>
      </c>
      <c r="J52" s="5" t="str">
        <f t="shared" ref="J52:J57" si="2">HYPERLINK("http://www.alexhunterlang.com/nsf-fellowship","Alex Lang")</f>
        <v>Alex Lang</v>
      </c>
      <c r="K52" s="2"/>
      <c r="L52" s="2"/>
      <c r="M52" s="2"/>
      <c r="N52" s="2"/>
      <c r="O52" s="2"/>
      <c r="P52" s="2"/>
      <c r="Q52" s="2"/>
      <c r="R52" s="2"/>
      <c r="S52" s="2"/>
      <c r="T52" s="2"/>
      <c r="U52" s="2"/>
      <c r="V52" s="2"/>
      <c r="W52" s="2"/>
      <c r="X52" s="2"/>
      <c r="Y52" s="2"/>
      <c r="Z52" s="2"/>
    </row>
    <row r="53" spans="1:26" ht="15.75" customHeight="1" x14ac:dyDescent="0.15">
      <c r="A53" s="2" t="s">
        <v>120</v>
      </c>
      <c r="B53" s="3">
        <v>2021</v>
      </c>
      <c r="C53" s="2" t="s">
        <v>121</v>
      </c>
      <c r="D53" s="2" t="s">
        <v>27</v>
      </c>
      <c r="E53" s="2" t="s">
        <v>14</v>
      </c>
      <c r="F53" s="4" t="s">
        <v>15</v>
      </c>
      <c r="G53" s="4" t="s">
        <v>15</v>
      </c>
      <c r="H53" s="2" t="s">
        <v>16</v>
      </c>
      <c r="I53" s="4" t="s">
        <v>15</v>
      </c>
      <c r="J53" s="5" t="str">
        <f t="shared" si="2"/>
        <v>Alex Lang</v>
      </c>
      <c r="K53" s="2"/>
      <c r="L53" s="2"/>
      <c r="M53" s="2"/>
      <c r="N53" s="2"/>
      <c r="O53" s="2"/>
      <c r="P53" s="2"/>
      <c r="Q53" s="2"/>
      <c r="R53" s="2"/>
      <c r="S53" s="2"/>
      <c r="T53" s="2"/>
      <c r="U53" s="2"/>
      <c r="V53" s="2"/>
      <c r="W53" s="2"/>
      <c r="X53" s="2"/>
      <c r="Y53" s="2"/>
      <c r="Z53" s="2"/>
    </row>
    <row r="54" spans="1:26" ht="15.75" customHeight="1" x14ac:dyDescent="0.15">
      <c r="A54" s="2" t="s">
        <v>48</v>
      </c>
      <c r="B54" s="3">
        <v>2021</v>
      </c>
      <c r="C54" s="2" t="s">
        <v>122</v>
      </c>
      <c r="D54" s="2" t="s">
        <v>20</v>
      </c>
      <c r="E54" s="2" t="s">
        <v>14</v>
      </c>
      <c r="F54" s="4" t="s">
        <v>15</v>
      </c>
      <c r="G54" s="4" t="s">
        <v>15</v>
      </c>
      <c r="H54" s="2" t="s">
        <v>16</v>
      </c>
      <c r="I54" s="2" t="s">
        <v>24</v>
      </c>
      <c r="J54" s="5" t="str">
        <f t="shared" si="2"/>
        <v>Alex Lang</v>
      </c>
      <c r="K54" s="17" t="s">
        <v>123</v>
      </c>
      <c r="L54" s="2"/>
      <c r="M54" s="2"/>
      <c r="N54" s="2"/>
      <c r="O54" s="2"/>
      <c r="P54" s="2"/>
      <c r="Q54" s="2"/>
      <c r="R54" s="2"/>
      <c r="S54" s="2"/>
      <c r="T54" s="2"/>
      <c r="U54" s="2"/>
      <c r="V54" s="2"/>
      <c r="W54" s="2"/>
      <c r="X54" s="2"/>
      <c r="Y54" s="2"/>
      <c r="Z54" s="2"/>
    </row>
    <row r="55" spans="1:26" ht="15.75" customHeight="1" x14ac:dyDescent="0.15">
      <c r="A55" s="2" t="s">
        <v>124</v>
      </c>
      <c r="B55" s="3">
        <v>2021</v>
      </c>
      <c r="C55" s="2" t="s">
        <v>125</v>
      </c>
      <c r="D55" s="2" t="s">
        <v>20</v>
      </c>
      <c r="E55" s="2" t="s">
        <v>14</v>
      </c>
      <c r="F55" s="4" t="s">
        <v>15</v>
      </c>
      <c r="G55" s="4" t="s">
        <v>15</v>
      </c>
      <c r="H55" s="2" t="s">
        <v>16</v>
      </c>
      <c r="I55" s="4" t="s">
        <v>15</v>
      </c>
      <c r="J55" s="5" t="str">
        <f t="shared" si="2"/>
        <v>Alex Lang</v>
      </c>
      <c r="K55" s="2"/>
      <c r="L55" s="7"/>
      <c r="M55" s="7"/>
      <c r="N55" s="7"/>
      <c r="O55" s="7"/>
      <c r="P55" s="7"/>
      <c r="Q55" s="7"/>
      <c r="R55" s="7"/>
      <c r="S55" s="7"/>
      <c r="T55" s="7"/>
      <c r="U55" s="7"/>
      <c r="V55" s="7"/>
      <c r="W55" s="7"/>
      <c r="X55" s="7"/>
      <c r="Y55" s="7"/>
      <c r="Z55" s="7"/>
    </row>
    <row r="56" spans="1:26" ht="15.75" customHeight="1" x14ac:dyDescent="0.15">
      <c r="A56" s="2" t="s">
        <v>126</v>
      </c>
      <c r="B56" s="3">
        <v>2021</v>
      </c>
      <c r="C56" s="2" t="s">
        <v>127</v>
      </c>
      <c r="D56" s="2" t="s">
        <v>13</v>
      </c>
      <c r="E56" s="2" t="s">
        <v>14</v>
      </c>
      <c r="F56" s="4" t="s">
        <v>15</v>
      </c>
      <c r="G56" s="4" t="s">
        <v>15</v>
      </c>
      <c r="H56" s="2" t="s">
        <v>16</v>
      </c>
      <c r="I56" s="4" t="s">
        <v>15</v>
      </c>
      <c r="J56" s="5" t="str">
        <f t="shared" si="2"/>
        <v>Alex Lang</v>
      </c>
      <c r="K56" s="2"/>
      <c r="L56" s="2"/>
      <c r="M56" s="2"/>
      <c r="N56" s="2"/>
      <c r="O56" s="2"/>
      <c r="P56" s="2"/>
      <c r="Q56" s="2"/>
      <c r="R56" s="2"/>
      <c r="S56" s="2"/>
      <c r="T56" s="2"/>
      <c r="U56" s="2"/>
      <c r="V56" s="2"/>
      <c r="W56" s="2"/>
      <c r="X56" s="2"/>
      <c r="Y56" s="2"/>
      <c r="Z56" s="2"/>
    </row>
    <row r="57" spans="1:26" ht="15.75" customHeight="1" x14ac:dyDescent="0.15">
      <c r="A57" s="2" t="s">
        <v>128</v>
      </c>
      <c r="B57" s="3">
        <v>2021</v>
      </c>
      <c r="C57" s="2" t="s">
        <v>129</v>
      </c>
      <c r="D57" s="2" t="s">
        <v>13</v>
      </c>
      <c r="E57" s="2" t="s">
        <v>14</v>
      </c>
      <c r="F57" s="4" t="s">
        <v>15</v>
      </c>
      <c r="G57" s="4" t="s">
        <v>15</v>
      </c>
      <c r="H57" s="2" t="s">
        <v>16</v>
      </c>
      <c r="I57" s="4" t="s">
        <v>15</v>
      </c>
      <c r="J57" s="5" t="str">
        <f t="shared" si="2"/>
        <v>Alex Lang</v>
      </c>
      <c r="K57" s="2"/>
      <c r="L57" s="2"/>
      <c r="M57" s="2"/>
      <c r="N57" s="2"/>
      <c r="O57" s="2"/>
      <c r="P57" s="2"/>
      <c r="Q57" s="2"/>
      <c r="R57" s="2"/>
      <c r="S57" s="2"/>
      <c r="T57" s="2"/>
      <c r="U57" s="2"/>
      <c r="V57" s="2"/>
      <c r="W57" s="2"/>
      <c r="X57" s="2"/>
      <c r="Y57" s="2"/>
      <c r="Z57" s="2"/>
    </row>
    <row r="58" spans="1:26" ht="15.75" customHeight="1" x14ac:dyDescent="0.15">
      <c r="A58" s="2" t="s">
        <v>130</v>
      </c>
      <c r="B58" s="3">
        <v>2020</v>
      </c>
      <c r="C58" s="2" t="s">
        <v>131</v>
      </c>
      <c r="D58" s="2" t="s">
        <v>20</v>
      </c>
      <c r="E58" s="2" t="s">
        <v>14</v>
      </c>
      <c r="F58" s="4" t="s">
        <v>15</v>
      </c>
      <c r="G58" s="4" t="s">
        <v>15</v>
      </c>
      <c r="H58" s="2" t="s">
        <v>16</v>
      </c>
      <c r="I58" s="2" t="s">
        <v>24</v>
      </c>
      <c r="J58" s="4" t="s">
        <v>130</v>
      </c>
      <c r="K58" s="2"/>
      <c r="L58" s="2"/>
      <c r="M58" s="2"/>
      <c r="N58" s="2"/>
      <c r="O58" s="2"/>
      <c r="P58" s="2"/>
      <c r="Q58" s="2"/>
      <c r="R58" s="2"/>
      <c r="S58" s="2"/>
      <c r="T58" s="2"/>
      <c r="U58" s="2"/>
      <c r="V58" s="2"/>
      <c r="W58" s="2"/>
      <c r="X58" s="2"/>
      <c r="Y58" s="2"/>
      <c r="Z58" s="2"/>
    </row>
    <row r="59" spans="1:26" ht="15.75" customHeight="1" x14ac:dyDescent="0.15">
      <c r="A59" s="2" t="s">
        <v>132</v>
      </c>
      <c r="B59" s="3">
        <v>2020</v>
      </c>
      <c r="C59" s="2" t="s">
        <v>133</v>
      </c>
      <c r="D59" s="2" t="s">
        <v>27</v>
      </c>
      <c r="E59" s="2" t="s">
        <v>14</v>
      </c>
      <c r="F59" s="4" t="s">
        <v>15</v>
      </c>
      <c r="G59" s="4" t="s">
        <v>15</v>
      </c>
      <c r="H59" s="2" t="s">
        <v>16</v>
      </c>
      <c r="I59" s="4" t="s">
        <v>15</v>
      </c>
      <c r="J59" s="2" t="s">
        <v>132</v>
      </c>
      <c r="K59" s="7" t="s">
        <v>15</v>
      </c>
      <c r="L59" s="2"/>
      <c r="M59" s="2"/>
      <c r="N59" s="2"/>
      <c r="O59" s="2"/>
      <c r="P59" s="2"/>
      <c r="Q59" s="2"/>
      <c r="R59" s="2"/>
      <c r="S59" s="2"/>
      <c r="T59" s="2"/>
      <c r="U59" s="2"/>
      <c r="V59" s="2"/>
      <c r="W59" s="2"/>
      <c r="X59" s="2"/>
      <c r="Y59" s="2"/>
      <c r="Z59" s="2"/>
    </row>
    <row r="60" spans="1:26" ht="15.75" customHeight="1" x14ac:dyDescent="0.15">
      <c r="A60" s="2" t="s">
        <v>134</v>
      </c>
      <c r="B60" s="3">
        <v>2020</v>
      </c>
      <c r="C60" s="2" t="s">
        <v>75</v>
      </c>
      <c r="D60" s="2" t="s">
        <v>13</v>
      </c>
      <c r="E60" s="2" t="s">
        <v>14</v>
      </c>
      <c r="F60" s="4" t="s">
        <v>15</v>
      </c>
      <c r="G60" s="4" t="s">
        <v>15</v>
      </c>
      <c r="H60" s="2" t="s">
        <v>16</v>
      </c>
      <c r="I60" s="4" t="s">
        <v>15</v>
      </c>
      <c r="J60" s="12" t="s">
        <v>134</v>
      </c>
      <c r="K60" s="2"/>
      <c r="L60" s="2"/>
      <c r="M60" s="2"/>
      <c r="N60" s="2"/>
      <c r="O60" s="2"/>
      <c r="P60" s="2"/>
      <c r="Q60" s="2"/>
      <c r="R60" s="2"/>
      <c r="S60" s="2"/>
      <c r="T60" s="2"/>
      <c r="U60" s="2"/>
      <c r="V60" s="2"/>
      <c r="W60" s="2"/>
      <c r="X60" s="2"/>
      <c r="Y60" s="2"/>
      <c r="Z60" s="2"/>
    </row>
    <row r="61" spans="1:26" ht="15.75" customHeight="1" x14ac:dyDescent="0.15">
      <c r="A61" s="2" t="s">
        <v>135</v>
      </c>
      <c r="B61" s="3">
        <v>2020</v>
      </c>
      <c r="C61" s="2" t="s">
        <v>136</v>
      </c>
      <c r="D61" s="2" t="s">
        <v>27</v>
      </c>
      <c r="E61" s="2" t="s">
        <v>14</v>
      </c>
      <c r="F61" s="4" t="s">
        <v>15</v>
      </c>
      <c r="G61" s="4" t="s">
        <v>15</v>
      </c>
      <c r="H61" s="2" t="s">
        <v>16</v>
      </c>
      <c r="I61" s="4" t="s">
        <v>15</v>
      </c>
      <c r="J61" s="4" t="s">
        <v>135</v>
      </c>
      <c r="K61" s="7" t="s">
        <v>15</v>
      </c>
      <c r="L61" s="2"/>
      <c r="M61" s="2"/>
      <c r="N61" s="2"/>
      <c r="O61" s="2"/>
      <c r="P61" s="2"/>
      <c r="Q61" s="2"/>
      <c r="R61" s="2"/>
      <c r="S61" s="2"/>
      <c r="T61" s="2"/>
      <c r="U61" s="2"/>
      <c r="V61" s="2"/>
      <c r="W61" s="2"/>
      <c r="X61" s="2"/>
      <c r="Y61" s="2"/>
      <c r="Z61" s="2"/>
    </row>
    <row r="62" spans="1:26" ht="15.75" customHeight="1" x14ac:dyDescent="0.15">
      <c r="A62" s="2" t="s">
        <v>137</v>
      </c>
      <c r="B62" s="3">
        <v>2020</v>
      </c>
      <c r="C62" s="2" t="s">
        <v>138</v>
      </c>
      <c r="D62" s="2" t="s">
        <v>27</v>
      </c>
      <c r="E62" s="2" t="s">
        <v>14</v>
      </c>
      <c r="F62" s="4" t="s">
        <v>15</v>
      </c>
      <c r="G62" s="4" t="s">
        <v>15</v>
      </c>
      <c r="H62" s="2" t="s">
        <v>16</v>
      </c>
      <c r="I62" s="2" t="s">
        <v>24</v>
      </c>
      <c r="J62" s="5" t="str">
        <f t="shared" ref="J62:J77" si="3">HYPERLINK("http://www.alexhunterlang.com/nsf-fellowship","Alex Lang")</f>
        <v>Alex Lang</v>
      </c>
      <c r="K62" s="2" t="s">
        <v>139</v>
      </c>
      <c r="L62" s="2"/>
      <c r="M62" s="2"/>
      <c r="N62" s="2"/>
      <c r="O62" s="2"/>
      <c r="P62" s="2"/>
      <c r="Q62" s="2"/>
      <c r="R62" s="2"/>
      <c r="S62" s="2"/>
      <c r="T62" s="2"/>
      <c r="U62" s="2"/>
      <c r="V62" s="2"/>
      <c r="W62" s="2"/>
      <c r="X62" s="2"/>
      <c r="Y62" s="2"/>
      <c r="Z62" s="2"/>
    </row>
    <row r="63" spans="1:26" ht="15.75" customHeight="1" x14ac:dyDescent="0.15">
      <c r="A63" s="13" t="s">
        <v>48</v>
      </c>
      <c r="B63" s="3">
        <v>2020</v>
      </c>
      <c r="C63" s="2" t="s">
        <v>140</v>
      </c>
      <c r="D63" s="2" t="s">
        <v>27</v>
      </c>
      <c r="E63" s="2" t="s">
        <v>14</v>
      </c>
      <c r="F63" s="5" t="s">
        <v>15</v>
      </c>
      <c r="G63" s="5" t="s">
        <v>15</v>
      </c>
      <c r="H63" s="2" t="s">
        <v>16</v>
      </c>
      <c r="I63" s="5" t="s">
        <v>15</v>
      </c>
      <c r="J63" s="5" t="str">
        <f t="shared" si="3"/>
        <v>Alex Lang</v>
      </c>
      <c r="K63" s="2"/>
      <c r="L63" s="15"/>
      <c r="M63" s="15"/>
      <c r="N63" s="15"/>
      <c r="O63" s="15"/>
      <c r="P63" s="15"/>
      <c r="Q63" s="15"/>
      <c r="R63" s="15"/>
      <c r="S63" s="15"/>
      <c r="T63" s="15"/>
      <c r="U63" s="15"/>
      <c r="V63" s="15"/>
      <c r="W63" s="15"/>
      <c r="X63" s="15"/>
      <c r="Y63" s="15"/>
      <c r="Z63" s="15"/>
    </row>
    <row r="64" spans="1:26" ht="15.75" customHeight="1" x14ac:dyDescent="0.15">
      <c r="A64" s="13" t="s">
        <v>48</v>
      </c>
      <c r="B64" s="3">
        <v>2020</v>
      </c>
      <c r="C64" s="2" t="s">
        <v>141</v>
      </c>
      <c r="D64" s="2" t="s">
        <v>13</v>
      </c>
      <c r="E64" s="2" t="s">
        <v>14</v>
      </c>
      <c r="F64" s="4" t="s">
        <v>15</v>
      </c>
      <c r="G64" s="4" t="s">
        <v>15</v>
      </c>
      <c r="H64" s="2" t="s">
        <v>16</v>
      </c>
      <c r="I64" s="2" t="s">
        <v>24</v>
      </c>
      <c r="J64" s="5" t="str">
        <f t="shared" si="3"/>
        <v>Alex Lang</v>
      </c>
      <c r="K64" s="2" t="s">
        <v>142</v>
      </c>
      <c r="L64" s="2"/>
      <c r="M64" s="2"/>
      <c r="N64" s="2"/>
      <c r="O64" s="2"/>
      <c r="P64" s="2"/>
      <c r="Q64" s="2"/>
      <c r="R64" s="2"/>
      <c r="S64" s="2"/>
      <c r="T64" s="2"/>
      <c r="U64" s="2"/>
      <c r="V64" s="2"/>
      <c r="W64" s="2"/>
      <c r="X64" s="2"/>
      <c r="Y64" s="2"/>
      <c r="Z64" s="2"/>
    </row>
    <row r="65" spans="1:26" ht="13" x14ac:dyDescent="0.15">
      <c r="A65" s="13" t="s">
        <v>48</v>
      </c>
      <c r="B65" s="3">
        <v>2020</v>
      </c>
      <c r="C65" s="2" t="s">
        <v>32</v>
      </c>
      <c r="D65" s="2" t="s">
        <v>13</v>
      </c>
      <c r="E65" s="2" t="s">
        <v>14</v>
      </c>
      <c r="F65" s="4" t="s">
        <v>15</v>
      </c>
      <c r="G65" s="4" t="s">
        <v>15</v>
      </c>
      <c r="H65" s="2" t="s">
        <v>16</v>
      </c>
      <c r="I65" s="4" t="s">
        <v>15</v>
      </c>
      <c r="J65" s="5" t="str">
        <f t="shared" si="3"/>
        <v>Alex Lang</v>
      </c>
      <c r="K65" s="2"/>
      <c r="L65" s="2"/>
      <c r="M65" s="2"/>
      <c r="N65" s="2"/>
      <c r="O65" s="2"/>
      <c r="P65" s="2"/>
      <c r="Q65" s="2"/>
      <c r="R65" s="2"/>
      <c r="S65" s="2"/>
      <c r="T65" s="2"/>
      <c r="U65" s="2"/>
      <c r="V65" s="2"/>
      <c r="W65" s="2"/>
      <c r="X65" s="2"/>
      <c r="Y65" s="2"/>
      <c r="Z65" s="2"/>
    </row>
    <row r="66" spans="1:26" ht="13" x14ac:dyDescent="0.15">
      <c r="A66" s="13" t="s">
        <v>48</v>
      </c>
      <c r="B66" s="3">
        <v>2020</v>
      </c>
      <c r="C66" s="2" t="s">
        <v>143</v>
      </c>
      <c r="D66" s="2" t="s">
        <v>20</v>
      </c>
      <c r="E66" s="2" t="s">
        <v>14</v>
      </c>
      <c r="F66" s="4" t="s">
        <v>15</v>
      </c>
      <c r="G66" s="4" t="s">
        <v>15</v>
      </c>
      <c r="H66" s="2" t="s">
        <v>16</v>
      </c>
      <c r="I66" s="4" t="s">
        <v>15</v>
      </c>
      <c r="J66" s="5" t="str">
        <f t="shared" si="3"/>
        <v>Alex Lang</v>
      </c>
      <c r="K66" s="2"/>
      <c r="L66" s="2"/>
      <c r="M66" s="2"/>
      <c r="N66" s="2"/>
      <c r="O66" s="2"/>
      <c r="P66" s="2"/>
      <c r="Q66" s="2"/>
      <c r="R66" s="2"/>
      <c r="S66" s="2"/>
      <c r="T66" s="2"/>
      <c r="U66" s="2"/>
      <c r="V66" s="2"/>
      <c r="W66" s="2"/>
      <c r="X66" s="2"/>
      <c r="Y66" s="2"/>
      <c r="Z66" s="2"/>
    </row>
    <row r="67" spans="1:26" ht="13" x14ac:dyDescent="0.15">
      <c r="A67" s="2" t="s">
        <v>144</v>
      </c>
      <c r="B67" s="3">
        <v>2020</v>
      </c>
      <c r="C67" s="2" t="s">
        <v>145</v>
      </c>
      <c r="D67" s="2" t="s">
        <v>13</v>
      </c>
      <c r="E67" s="2" t="s">
        <v>14</v>
      </c>
      <c r="F67" s="4" t="s">
        <v>15</v>
      </c>
      <c r="G67" s="4" t="s">
        <v>15</v>
      </c>
      <c r="H67" s="2" t="s">
        <v>16</v>
      </c>
      <c r="I67" s="4" t="s">
        <v>15</v>
      </c>
      <c r="J67" s="5" t="str">
        <f t="shared" si="3"/>
        <v>Alex Lang</v>
      </c>
      <c r="K67" s="2"/>
      <c r="L67" s="9"/>
      <c r="M67" s="9"/>
      <c r="N67" s="9"/>
      <c r="O67" s="9"/>
      <c r="P67" s="9"/>
      <c r="Q67" s="9"/>
      <c r="R67" s="9"/>
      <c r="S67" s="9"/>
      <c r="T67" s="9"/>
      <c r="U67" s="9"/>
      <c r="V67" s="9"/>
      <c r="W67" s="9"/>
      <c r="X67" s="9"/>
      <c r="Y67" s="9"/>
      <c r="Z67" s="9"/>
    </row>
    <row r="68" spans="1:26" ht="13" x14ac:dyDescent="0.15">
      <c r="A68" s="2" t="s">
        <v>146</v>
      </c>
      <c r="B68" s="3">
        <v>2020</v>
      </c>
      <c r="C68" s="2" t="s">
        <v>147</v>
      </c>
      <c r="D68" s="2" t="s">
        <v>27</v>
      </c>
      <c r="E68" s="2" t="s">
        <v>14</v>
      </c>
      <c r="F68" s="4" t="s">
        <v>15</v>
      </c>
      <c r="G68" s="4" t="s">
        <v>15</v>
      </c>
      <c r="H68" s="2" t="s">
        <v>16</v>
      </c>
      <c r="I68" s="4" t="s">
        <v>15</v>
      </c>
      <c r="J68" s="5" t="str">
        <f t="shared" si="3"/>
        <v>Alex Lang</v>
      </c>
      <c r="K68" s="2"/>
      <c r="L68" s="2"/>
      <c r="M68" s="2"/>
      <c r="N68" s="2"/>
      <c r="O68" s="2"/>
      <c r="P68" s="2"/>
      <c r="Q68" s="2"/>
      <c r="R68" s="2"/>
      <c r="S68" s="2"/>
      <c r="T68" s="2"/>
      <c r="U68" s="2"/>
      <c r="V68" s="2"/>
      <c r="W68" s="2"/>
      <c r="X68" s="2"/>
      <c r="Y68" s="2"/>
      <c r="Z68" s="2"/>
    </row>
    <row r="69" spans="1:26" ht="13" x14ac:dyDescent="0.15">
      <c r="A69" s="2" t="s">
        <v>148</v>
      </c>
      <c r="B69" s="3">
        <v>2020</v>
      </c>
      <c r="C69" s="2" t="s">
        <v>149</v>
      </c>
      <c r="D69" s="2" t="s">
        <v>13</v>
      </c>
      <c r="E69" s="2" t="s">
        <v>14</v>
      </c>
      <c r="F69" s="4" t="s">
        <v>15</v>
      </c>
      <c r="G69" s="4" t="s">
        <v>15</v>
      </c>
      <c r="H69" s="2" t="s">
        <v>16</v>
      </c>
      <c r="I69" s="2" t="s">
        <v>24</v>
      </c>
      <c r="J69" s="5" t="str">
        <f t="shared" si="3"/>
        <v>Alex Lang</v>
      </c>
      <c r="K69" s="2"/>
      <c r="L69" s="2"/>
      <c r="M69" s="2"/>
      <c r="N69" s="2"/>
      <c r="O69" s="2"/>
      <c r="P69" s="2"/>
      <c r="Q69" s="2"/>
      <c r="R69" s="2"/>
      <c r="S69" s="2"/>
      <c r="T69" s="2"/>
      <c r="U69" s="2"/>
      <c r="V69" s="2"/>
      <c r="W69" s="2"/>
      <c r="X69" s="2"/>
      <c r="Y69" s="2"/>
      <c r="Z69" s="2"/>
    </row>
    <row r="70" spans="1:26" ht="13" x14ac:dyDescent="0.15">
      <c r="A70" s="2" t="s">
        <v>150</v>
      </c>
      <c r="B70" s="3">
        <v>2020</v>
      </c>
      <c r="C70" s="2" t="s">
        <v>151</v>
      </c>
      <c r="D70" s="2" t="s">
        <v>20</v>
      </c>
      <c r="E70" s="2" t="s">
        <v>14</v>
      </c>
      <c r="F70" s="4" t="s">
        <v>15</v>
      </c>
      <c r="G70" s="4" t="s">
        <v>15</v>
      </c>
      <c r="H70" s="2" t="s">
        <v>16</v>
      </c>
      <c r="I70" s="4" t="s">
        <v>15</v>
      </c>
      <c r="J70" s="5" t="str">
        <f t="shared" si="3"/>
        <v>Alex Lang</v>
      </c>
      <c r="K70" s="2" t="s">
        <v>152</v>
      </c>
      <c r="L70" s="2"/>
      <c r="M70" s="2"/>
      <c r="N70" s="2"/>
      <c r="O70" s="2"/>
      <c r="P70" s="2"/>
      <c r="Q70" s="2"/>
      <c r="R70" s="2"/>
      <c r="S70" s="2"/>
      <c r="T70" s="2"/>
      <c r="U70" s="2"/>
      <c r="V70" s="2"/>
      <c r="W70" s="2"/>
      <c r="X70" s="2"/>
      <c r="Y70" s="2"/>
      <c r="Z70" s="2"/>
    </row>
    <row r="71" spans="1:26" ht="13" x14ac:dyDescent="0.15">
      <c r="A71" s="2" t="s">
        <v>153</v>
      </c>
      <c r="B71" s="3">
        <v>2020</v>
      </c>
      <c r="C71" s="2" t="s">
        <v>154</v>
      </c>
      <c r="D71" s="2" t="s">
        <v>20</v>
      </c>
      <c r="E71" s="2" t="s">
        <v>14</v>
      </c>
      <c r="F71" s="4" t="s">
        <v>15</v>
      </c>
      <c r="G71" s="4" t="s">
        <v>15</v>
      </c>
      <c r="H71" s="2" t="s">
        <v>16</v>
      </c>
      <c r="I71" s="4" t="s">
        <v>15</v>
      </c>
      <c r="J71" s="5" t="str">
        <f t="shared" si="3"/>
        <v>Alex Lang</v>
      </c>
      <c r="K71" s="2" t="s">
        <v>155</v>
      </c>
      <c r="L71" s="2"/>
      <c r="M71" s="2"/>
      <c r="N71" s="2"/>
      <c r="O71" s="2"/>
      <c r="P71" s="2"/>
      <c r="Q71" s="2"/>
      <c r="R71" s="2"/>
      <c r="S71" s="2"/>
      <c r="T71" s="2"/>
      <c r="U71" s="2"/>
      <c r="V71" s="2"/>
      <c r="W71" s="2"/>
      <c r="X71" s="2"/>
      <c r="Y71" s="2"/>
      <c r="Z71" s="2"/>
    </row>
    <row r="72" spans="1:26" ht="13" x14ac:dyDescent="0.15">
      <c r="A72" s="2" t="s">
        <v>156</v>
      </c>
      <c r="B72" s="3">
        <v>2020</v>
      </c>
      <c r="C72" s="2" t="s">
        <v>51</v>
      </c>
      <c r="D72" s="2" t="s">
        <v>27</v>
      </c>
      <c r="E72" s="2" t="s">
        <v>14</v>
      </c>
      <c r="F72" s="4" t="s">
        <v>15</v>
      </c>
      <c r="G72" s="4" t="s">
        <v>15</v>
      </c>
      <c r="H72" s="2" t="s">
        <v>16</v>
      </c>
      <c r="I72" s="4" t="s">
        <v>15</v>
      </c>
      <c r="J72" s="5" t="str">
        <f t="shared" si="3"/>
        <v>Alex Lang</v>
      </c>
      <c r="K72" s="2"/>
      <c r="L72" s="2"/>
      <c r="M72" s="2"/>
      <c r="N72" s="2"/>
      <c r="O72" s="2"/>
      <c r="P72" s="2"/>
      <c r="Q72" s="2"/>
      <c r="R72" s="2"/>
      <c r="S72" s="2"/>
      <c r="T72" s="2"/>
      <c r="U72" s="2"/>
      <c r="V72" s="2"/>
      <c r="W72" s="2"/>
      <c r="X72" s="2"/>
      <c r="Y72" s="2"/>
      <c r="Z72" s="2"/>
    </row>
    <row r="73" spans="1:26" ht="13" x14ac:dyDescent="0.15">
      <c r="A73" s="2" t="s">
        <v>157</v>
      </c>
      <c r="B73" s="3">
        <v>2020</v>
      </c>
      <c r="C73" s="2" t="s">
        <v>140</v>
      </c>
      <c r="D73" s="2" t="s">
        <v>27</v>
      </c>
      <c r="E73" s="2" t="s">
        <v>14</v>
      </c>
      <c r="F73" s="4" t="s">
        <v>15</v>
      </c>
      <c r="G73" s="4" t="s">
        <v>15</v>
      </c>
      <c r="H73" s="2" t="s">
        <v>16</v>
      </c>
      <c r="I73" s="4" t="s">
        <v>15</v>
      </c>
      <c r="J73" s="5" t="str">
        <f t="shared" si="3"/>
        <v>Alex Lang</v>
      </c>
      <c r="K73" s="2"/>
      <c r="L73" s="2"/>
      <c r="M73" s="2"/>
      <c r="N73" s="2"/>
      <c r="O73" s="2"/>
      <c r="P73" s="2"/>
      <c r="Q73" s="2"/>
      <c r="R73" s="2"/>
      <c r="S73" s="2"/>
      <c r="T73" s="2"/>
      <c r="U73" s="2"/>
      <c r="V73" s="2"/>
      <c r="W73" s="2"/>
      <c r="X73" s="2"/>
      <c r="Y73" s="2"/>
      <c r="Z73" s="2"/>
    </row>
    <row r="74" spans="1:26" ht="13" x14ac:dyDescent="0.15">
      <c r="A74" s="2" t="s">
        <v>158</v>
      </c>
      <c r="B74" s="3">
        <v>2020</v>
      </c>
      <c r="C74" s="2" t="s">
        <v>52</v>
      </c>
      <c r="D74" s="2" t="s">
        <v>13</v>
      </c>
      <c r="E74" s="2" t="s">
        <v>14</v>
      </c>
      <c r="F74" s="4" t="s">
        <v>15</v>
      </c>
      <c r="G74" s="4" t="s">
        <v>15</v>
      </c>
      <c r="H74" s="2" t="s">
        <v>16</v>
      </c>
      <c r="I74" s="4" t="s">
        <v>15</v>
      </c>
      <c r="J74" s="5" t="str">
        <f t="shared" si="3"/>
        <v>Alex Lang</v>
      </c>
      <c r="K74" s="2"/>
      <c r="L74" s="2"/>
      <c r="M74" s="2"/>
      <c r="N74" s="2"/>
      <c r="O74" s="2"/>
      <c r="P74" s="2"/>
      <c r="Q74" s="2"/>
      <c r="R74" s="2"/>
      <c r="S74" s="2"/>
      <c r="T74" s="2"/>
      <c r="U74" s="2"/>
      <c r="V74" s="2"/>
      <c r="W74" s="2"/>
      <c r="X74" s="2"/>
      <c r="Y74" s="2"/>
      <c r="Z74" s="2"/>
    </row>
    <row r="75" spans="1:26" ht="13" x14ac:dyDescent="0.15">
      <c r="A75" s="2" t="s">
        <v>159</v>
      </c>
      <c r="B75" s="3">
        <v>2020</v>
      </c>
      <c r="C75" s="2" t="s">
        <v>160</v>
      </c>
      <c r="D75" s="2" t="s">
        <v>27</v>
      </c>
      <c r="E75" s="2" t="s">
        <v>14</v>
      </c>
      <c r="F75" s="4" t="s">
        <v>15</v>
      </c>
      <c r="G75" s="4" t="s">
        <v>15</v>
      </c>
      <c r="H75" s="2" t="s">
        <v>16</v>
      </c>
      <c r="I75" s="4" t="s">
        <v>15</v>
      </c>
      <c r="J75" s="5" t="str">
        <f t="shared" si="3"/>
        <v>Alex Lang</v>
      </c>
      <c r="K75" s="2"/>
      <c r="L75" s="2"/>
      <c r="M75" s="2"/>
      <c r="N75" s="2"/>
      <c r="O75" s="2"/>
      <c r="P75" s="2"/>
      <c r="Q75" s="2"/>
      <c r="R75" s="2"/>
      <c r="S75" s="2"/>
      <c r="T75" s="2"/>
      <c r="U75" s="2"/>
      <c r="V75" s="2"/>
      <c r="W75" s="2"/>
      <c r="X75" s="2"/>
      <c r="Y75" s="2"/>
      <c r="Z75" s="2"/>
    </row>
    <row r="76" spans="1:26" ht="13" x14ac:dyDescent="0.15">
      <c r="A76" s="2" t="s">
        <v>161</v>
      </c>
      <c r="B76" s="3">
        <v>2020</v>
      </c>
      <c r="C76" s="2" t="s">
        <v>32</v>
      </c>
      <c r="D76" s="2" t="s">
        <v>13</v>
      </c>
      <c r="E76" s="2" t="s">
        <v>14</v>
      </c>
      <c r="F76" s="4" t="s">
        <v>15</v>
      </c>
      <c r="G76" s="4" t="s">
        <v>15</v>
      </c>
      <c r="H76" s="14" t="s">
        <v>16</v>
      </c>
      <c r="I76" s="4" t="s">
        <v>15</v>
      </c>
      <c r="J76" s="5" t="str">
        <f t="shared" si="3"/>
        <v>Alex Lang</v>
      </c>
      <c r="K76" s="2" t="s">
        <v>162</v>
      </c>
      <c r="L76" s="18"/>
      <c r="M76" s="18"/>
      <c r="N76" s="18"/>
      <c r="O76" s="18"/>
      <c r="P76" s="18"/>
      <c r="Q76" s="18"/>
      <c r="R76" s="18"/>
      <c r="S76" s="18"/>
      <c r="T76" s="18"/>
      <c r="U76" s="18"/>
      <c r="V76" s="18"/>
      <c r="W76" s="18"/>
      <c r="X76" s="18"/>
      <c r="Y76" s="18"/>
      <c r="Z76" s="18"/>
    </row>
    <row r="77" spans="1:26" ht="13" x14ac:dyDescent="0.15">
      <c r="A77" s="2" t="s">
        <v>163</v>
      </c>
      <c r="B77" s="3">
        <v>2020</v>
      </c>
      <c r="C77" s="2" t="s">
        <v>164</v>
      </c>
      <c r="D77" s="2" t="s">
        <v>13</v>
      </c>
      <c r="E77" s="2" t="s">
        <v>14</v>
      </c>
      <c r="F77" s="4" t="s">
        <v>15</v>
      </c>
      <c r="G77" s="4" t="s">
        <v>15</v>
      </c>
      <c r="H77" s="2" t="s">
        <v>16</v>
      </c>
      <c r="I77" s="4" t="s">
        <v>15</v>
      </c>
      <c r="J77" s="5" t="str">
        <f t="shared" si="3"/>
        <v>Alex Lang</v>
      </c>
      <c r="K77" s="2"/>
      <c r="L77" s="18"/>
      <c r="M77" s="18"/>
      <c r="N77" s="18"/>
      <c r="O77" s="18"/>
      <c r="P77" s="18"/>
      <c r="Q77" s="18"/>
      <c r="R77" s="18"/>
      <c r="S77" s="18"/>
      <c r="T77" s="18"/>
      <c r="U77" s="18"/>
      <c r="V77" s="18"/>
      <c r="W77" s="18"/>
      <c r="X77" s="18"/>
      <c r="Y77" s="18"/>
      <c r="Z77" s="18"/>
    </row>
    <row r="78" spans="1:26" ht="13" x14ac:dyDescent="0.15">
      <c r="A78" s="2" t="s">
        <v>165</v>
      </c>
      <c r="B78" s="3">
        <v>2019</v>
      </c>
      <c r="C78" s="2" t="s">
        <v>166</v>
      </c>
      <c r="D78" s="2" t="s">
        <v>27</v>
      </c>
      <c r="E78" s="2" t="s">
        <v>14</v>
      </c>
      <c r="F78" s="8" t="str">
        <f>HYPERLINK("https://astrobarker.github.io/essays/nsf_grfp_research.pdf","Yes")</f>
        <v>Yes</v>
      </c>
      <c r="G78" s="8" t="str">
        <f>HYPERLINK("https://astrobarker.github.io/essays/nsf_grfp_personal.pdf","Yes")</f>
        <v>Yes</v>
      </c>
      <c r="H78" s="2" t="s">
        <v>16</v>
      </c>
      <c r="I78" s="8" t="str">
        <f>HYPERLINK("https://astrobarker.github.io/essays/nsf_feedback.pdf","Yes")</f>
        <v>Yes</v>
      </c>
      <c r="J78" s="19" t="str">
        <f>HYPERLINK("https://astrobarker.github.io/astrobarker.github.io/","Brandon Barker")</f>
        <v>Brandon Barker</v>
      </c>
      <c r="K78" s="8" t="str">
        <f>HYPERLINK("https://astrobarker.github.io/fellowships/","Yes")</f>
        <v>Yes</v>
      </c>
    </row>
    <row r="79" spans="1:26" ht="13" x14ac:dyDescent="0.15">
      <c r="A79" s="2" t="s">
        <v>167</v>
      </c>
      <c r="B79" s="3">
        <v>2019</v>
      </c>
      <c r="C79" s="2" t="s">
        <v>168</v>
      </c>
      <c r="D79" s="2" t="s">
        <v>27</v>
      </c>
      <c r="E79" s="2" t="s">
        <v>14</v>
      </c>
      <c r="F79" s="8" t="str">
        <f t="shared" ref="F79:G79" si="4">HYPERLINK("https://github.com/logan-pearce/logan-pearce.github.io/blob/main/resources/my_grfp_application.pdf","Yes")</f>
        <v>Yes</v>
      </c>
      <c r="G79" s="8" t="str">
        <f t="shared" si="4"/>
        <v>Yes</v>
      </c>
      <c r="H79" s="2" t="s">
        <v>16</v>
      </c>
      <c r="I79" s="2" t="s">
        <v>24</v>
      </c>
      <c r="J79" s="5" t="str">
        <f>HYPERLINK("http://loganpearcescience.com/","Logan Pearce")</f>
        <v>Logan Pearce</v>
      </c>
      <c r="K79" s="8" t="str">
        <f>HYPERLINK("http://www.loganpearcescience.com/resources/","Yes")</f>
        <v>Yes</v>
      </c>
      <c r="L79" s="9"/>
      <c r="M79" s="9"/>
      <c r="N79" s="9"/>
      <c r="O79" s="9"/>
      <c r="P79" s="9"/>
      <c r="Q79" s="9"/>
      <c r="R79" s="9"/>
      <c r="S79" s="9"/>
      <c r="T79" s="9"/>
      <c r="U79" s="9"/>
      <c r="V79" s="9"/>
      <c r="W79" s="9"/>
      <c r="X79" s="9"/>
      <c r="Y79" s="9"/>
      <c r="Z79" s="9"/>
    </row>
    <row r="80" spans="1:26" ht="13" x14ac:dyDescent="0.15">
      <c r="A80" s="2" t="s">
        <v>169</v>
      </c>
      <c r="B80" s="3">
        <v>2019</v>
      </c>
      <c r="C80" s="2" t="s">
        <v>170</v>
      </c>
      <c r="D80" s="2" t="s">
        <v>13</v>
      </c>
      <c r="E80" s="2" t="s">
        <v>14</v>
      </c>
      <c r="F80" s="8" t="str">
        <f>HYPERLINK("https://drive.google.com/file/d/1C2GgTC5fxby00rIUMp4Q6nGFDdIMrmkj/view?usp=sharing","Yes")</f>
        <v>Yes</v>
      </c>
      <c r="G80" s="2" t="s">
        <v>24</v>
      </c>
      <c r="H80" s="2" t="s">
        <v>16</v>
      </c>
      <c r="I80" s="8" t="str">
        <f>HYPERLINK("https://drive.google.com/file/d/1r5jyNfr4STvWvzQqeLGCgCFZpbdG3tEL/view?usp=sharing","Yes")</f>
        <v>Yes</v>
      </c>
      <c r="J80" s="5" t="str">
        <f t="shared" ref="J80:J86" si="5">HYPERLINK("http://www.alexhunterlang.com/nsf-fellowship","Alex Lang")</f>
        <v>Alex Lang</v>
      </c>
      <c r="K80" s="2"/>
      <c r="L80" s="9"/>
      <c r="M80" s="9"/>
      <c r="N80" s="9"/>
      <c r="O80" s="9"/>
      <c r="P80" s="9"/>
      <c r="Q80" s="9"/>
      <c r="R80" s="9"/>
      <c r="S80" s="9"/>
      <c r="T80" s="9"/>
      <c r="U80" s="9"/>
      <c r="V80" s="9"/>
      <c r="W80" s="9"/>
      <c r="X80" s="9"/>
      <c r="Y80" s="9"/>
      <c r="Z80" s="9"/>
    </row>
    <row r="81" spans="1:26" ht="13" x14ac:dyDescent="0.15">
      <c r="A81" s="2" t="s">
        <v>171</v>
      </c>
      <c r="B81" s="3">
        <v>2019</v>
      </c>
      <c r="C81" s="2" t="s">
        <v>46</v>
      </c>
      <c r="D81" s="2" t="s">
        <v>20</v>
      </c>
      <c r="E81" s="2" t="s">
        <v>14</v>
      </c>
      <c r="F81" s="8" t="str">
        <f>HYPERLINK("https://drive.google.com/file/d/1QxrnIKqy0ltomulYcWCgn4S22qBwYtAG/view?usp=sharing","Yes")</f>
        <v>Yes</v>
      </c>
      <c r="G81" s="8" t="str">
        <f>HYPERLINK("https://drive.google.com/file/d/1nhGn9i8JU4JWQxPEVxv907Lti_PsNAvp/view?usp=sharing","Yes")</f>
        <v>Yes</v>
      </c>
      <c r="H81" s="2" t="s">
        <v>16</v>
      </c>
      <c r="I81" s="2" t="s">
        <v>24</v>
      </c>
      <c r="J81" s="15" t="str">
        <f t="shared" si="5"/>
        <v>Alex Lang</v>
      </c>
      <c r="K81" s="2" t="s">
        <v>172</v>
      </c>
      <c r="L81" s="18"/>
      <c r="M81" s="18"/>
      <c r="N81" s="18"/>
      <c r="O81" s="18"/>
      <c r="P81" s="18"/>
      <c r="Q81" s="18"/>
      <c r="R81" s="18"/>
      <c r="S81" s="18"/>
      <c r="T81" s="18"/>
      <c r="U81" s="18"/>
      <c r="V81" s="18"/>
      <c r="W81" s="18"/>
      <c r="X81" s="18"/>
      <c r="Y81" s="18"/>
      <c r="Z81" s="18"/>
    </row>
    <row r="82" spans="1:26" ht="13" x14ac:dyDescent="0.15">
      <c r="A82" s="2" t="s">
        <v>173</v>
      </c>
      <c r="B82" s="3">
        <v>2019</v>
      </c>
      <c r="C82" s="2" t="s">
        <v>46</v>
      </c>
      <c r="D82" s="2" t="s">
        <v>20</v>
      </c>
      <c r="E82" s="2" t="s">
        <v>78</v>
      </c>
      <c r="F82" s="8" t="str">
        <f>HYPERLINK("https://drive.google.com/file/d/1c0EZ3JeM0ohgaXNjUREGUzc-Cp-HXfm_/view?usp=sharing","Yes")</f>
        <v>Yes</v>
      </c>
      <c r="G82" s="8" t="str">
        <f>HYPERLINK("https://drive.google.com/file/d/1jXiM6ZZ0Ny427snuwExe8FgUDPd804nW/view?usp=sharing","Yes")</f>
        <v>Yes</v>
      </c>
      <c r="H82" s="2" t="s">
        <v>16</v>
      </c>
      <c r="I82" s="8" t="str">
        <f>HYPERLINK("https://drive.google.com/file/d/1tFe7cOZZj7l3rpDoE0eESHBGXs9-QTqh/view?usp=sharing","Yes")</f>
        <v>Yes</v>
      </c>
      <c r="J82" s="5" t="str">
        <f t="shared" si="5"/>
        <v>Alex Lang</v>
      </c>
      <c r="K82" s="2"/>
      <c r="L82" s="18"/>
      <c r="M82" s="18"/>
      <c r="N82" s="18"/>
      <c r="O82" s="18"/>
      <c r="P82" s="18"/>
      <c r="Q82" s="18"/>
      <c r="R82" s="18"/>
      <c r="S82" s="18"/>
      <c r="T82" s="18"/>
      <c r="U82" s="18"/>
      <c r="V82" s="18"/>
      <c r="W82" s="18"/>
      <c r="X82" s="18"/>
      <c r="Y82" s="18"/>
      <c r="Z82" s="18"/>
    </row>
    <row r="83" spans="1:26" ht="13" x14ac:dyDescent="0.15">
      <c r="A83" s="2" t="s">
        <v>174</v>
      </c>
      <c r="B83" s="3">
        <v>2019</v>
      </c>
      <c r="C83" s="2" t="s">
        <v>175</v>
      </c>
      <c r="D83" s="2" t="s">
        <v>27</v>
      </c>
      <c r="E83" s="2" t="s">
        <v>14</v>
      </c>
      <c r="F83" s="8" t="str">
        <f>HYPERLINK("https://drive.google.com/file/d/1p4xapfOTDFbJuuVaCyGTOx94mBneRfi7/view?usp=sharing","Yes")</f>
        <v>Yes</v>
      </c>
      <c r="G83" s="8" t="str">
        <f>HYPERLINK("https://drive.google.com/file/d/1Vpl7DnF2WPRmDuiebpMsL3orXgSnsotZ/view?usp=sharing","Yes")</f>
        <v>Yes</v>
      </c>
      <c r="H83" s="2" t="s">
        <v>16</v>
      </c>
      <c r="I83" s="8" t="str">
        <f>HYPERLINK("https://drive.google.com/file/d/1poiDlgovr718vIne23BDWnn9GwA5MI6e/view?usp=sharing","Yes")</f>
        <v>Yes</v>
      </c>
      <c r="J83" s="15" t="str">
        <f t="shared" si="5"/>
        <v>Alex Lang</v>
      </c>
      <c r="K83" s="2"/>
    </row>
    <row r="84" spans="1:26" ht="13" x14ac:dyDescent="0.15">
      <c r="A84" s="2" t="s">
        <v>48</v>
      </c>
      <c r="B84" s="3">
        <v>2019</v>
      </c>
      <c r="C84" s="2" t="s">
        <v>19</v>
      </c>
      <c r="D84" s="2" t="s">
        <v>27</v>
      </c>
      <c r="E84" s="2" t="s">
        <v>14</v>
      </c>
      <c r="F84" s="8" t="str">
        <f>HYPERLINK("https://drive.google.com/file/d/1EL4g4NcAlxJgJp9cM1BKRTlr0gOJXUm2/view?usp=sharing","Yes")</f>
        <v>Yes</v>
      </c>
      <c r="G84" s="8" t="str">
        <f>HYPERLINK("https://drive.google.com/file/d/1lFEJoK9aARzwJXF_3RduUqisc-izGdJ6/view?usp=sharing","Yes")</f>
        <v>Yes</v>
      </c>
      <c r="H84" s="2" t="s">
        <v>16</v>
      </c>
      <c r="I84" s="2" t="s">
        <v>24</v>
      </c>
      <c r="J84" s="15" t="str">
        <f t="shared" si="5"/>
        <v>Alex Lang</v>
      </c>
      <c r="K84" s="2"/>
      <c r="L84" s="2"/>
      <c r="M84" s="2"/>
      <c r="N84" s="2"/>
      <c r="O84" s="2"/>
      <c r="P84" s="2"/>
      <c r="Q84" s="2"/>
      <c r="R84" s="2"/>
      <c r="S84" s="2"/>
      <c r="T84" s="2"/>
      <c r="U84" s="2"/>
      <c r="V84" s="2"/>
      <c r="W84" s="2"/>
      <c r="X84" s="2"/>
      <c r="Y84" s="2"/>
      <c r="Z84" s="2"/>
    </row>
    <row r="85" spans="1:26" ht="13" x14ac:dyDescent="0.15">
      <c r="A85" s="2" t="s">
        <v>176</v>
      </c>
      <c r="B85" s="3">
        <v>2019</v>
      </c>
      <c r="C85" s="2" t="s">
        <v>177</v>
      </c>
      <c r="D85" s="2" t="s">
        <v>27</v>
      </c>
      <c r="E85" s="2" t="s">
        <v>14</v>
      </c>
      <c r="F85" s="8" t="str">
        <f>HYPERLINK("https://drive.google.com/file/d/1MB7I9kXrra8SnTnHpv4B1GdlU3FrgIcP/view?usp=sharing","Yes")</f>
        <v>Yes</v>
      </c>
      <c r="G85" s="8" t="str">
        <f>HYPERLINK("https://drive.google.com/file/d/1dBjEauCu0KDuoTD6abATkf56Ux5_jTqs/view?usp=sharing","Yes")</f>
        <v>Yes</v>
      </c>
      <c r="H85" s="2" t="s">
        <v>16</v>
      </c>
      <c r="I85" s="8" t="str">
        <f>HYPERLINK("https://drive.google.com/file/d/1Rc-DHsolTbCIfzeatVNLRc70A-DlsK2U/view?usp=sharing","Yes")</f>
        <v>Yes</v>
      </c>
      <c r="J85" s="15" t="str">
        <f t="shared" si="5"/>
        <v>Alex Lang</v>
      </c>
      <c r="K85" s="2"/>
      <c r="L85" s="9"/>
      <c r="M85" s="9"/>
      <c r="N85" s="9"/>
      <c r="O85" s="9"/>
      <c r="P85" s="9"/>
      <c r="Q85" s="9"/>
      <c r="R85" s="9"/>
      <c r="S85" s="9"/>
      <c r="T85" s="9"/>
      <c r="U85" s="9"/>
      <c r="V85" s="9"/>
      <c r="W85" s="9"/>
      <c r="X85" s="9"/>
      <c r="Y85" s="9"/>
      <c r="Z85" s="9"/>
    </row>
    <row r="86" spans="1:26" ht="13" x14ac:dyDescent="0.15">
      <c r="A86" s="2" t="s">
        <v>178</v>
      </c>
      <c r="B86" s="3">
        <v>2019</v>
      </c>
      <c r="C86" s="2" t="s">
        <v>179</v>
      </c>
      <c r="D86" s="2" t="s">
        <v>20</v>
      </c>
      <c r="E86" s="2" t="s">
        <v>14</v>
      </c>
      <c r="F86" s="8" t="str">
        <f>HYPERLINK("https://drive.google.com/file/d/1gjzHrwICVaKbSoAjNOEPkdXKwtdejx65/view?usp=sharing","Yes")</f>
        <v>Yes</v>
      </c>
      <c r="G86" s="8" t="str">
        <f>HYPERLINK("https://drive.google.com/file/d/1MwGxOmYkasQTnJ0znHy4iQRGq61I2j1s/view?usp=sharing","Yes")</f>
        <v>Yes</v>
      </c>
      <c r="H86" s="2" t="s">
        <v>16</v>
      </c>
      <c r="I86" s="8" t="str">
        <f>HYPERLINK("https://drive.google.com/file/d/1XVyU95sLMrUgkGFvKXWYbwJVSR0GkmFH/view?usp=sharing","Yes")</f>
        <v>Yes</v>
      </c>
      <c r="J86" s="5" t="str">
        <f t="shared" si="5"/>
        <v>Alex Lang</v>
      </c>
      <c r="K86" s="2"/>
      <c r="L86" s="2"/>
      <c r="M86" s="2"/>
      <c r="N86" s="2"/>
      <c r="O86" s="2"/>
      <c r="P86" s="2"/>
      <c r="Q86" s="2"/>
      <c r="R86" s="2"/>
      <c r="S86" s="2"/>
      <c r="T86" s="2"/>
      <c r="U86" s="2"/>
      <c r="V86" s="2"/>
      <c r="W86" s="2"/>
      <c r="X86" s="2"/>
      <c r="Y86" s="2"/>
      <c r="Z86" s="2"/>
    </row>
    <row r="87" spans="1:26" ht="13" x14ac:dyDescent="0.15">
      <c r="A87" s="2" t="s">
        <v>180</v>
      </c>
      <c r="B87" s="3">
        <v>2019</v>
      </c>
      <c r="C87" s="2" t="s">
        <v>26</v>
      </c>
      <c r="D87" s="2" t="s">
        <v>27</v>
      </c>
      <c r="E87" s="2" t="s">
        <v>14</v>
      </c>
      <c r="F87" s="8" t="str">
        <f>HYPERLINK("https://natureinparadise.github.io/blog/grfp/Klinges_GRFP_research_statement.pdf","Yes")</f>
        <v>Yes</v>
      </c>
      <c r="G87" s="8" t="str">
        <f>HYPERLINK("https://natureinparadise.github.io/blog/grfp/Klinges_GRFP_personal_statement.pdf","Yes")</f>
        <v>Yes</v>
      </c>
      <c r="H87" s="2" t="s">
        <v>16</v>
      </c>
      <c r="I87" s="8" t="str">
        <f>HYPERLINK("https://natureinparadise.github.io/blog/grfp/Klinges_GRFP_reviews.pdf","Yes")</f>
        <v>Yes</v>
      </c>
      <c r="J87" s="5" t="str">
        <f>HYPERLINK("https://natureinparadise.github.io","Dave Klinges")</f>
        <v>Dave Klinges</v>
      </c>
      <c r="K87" s="8" t="str">
        <f>HYPERLINK("https://natureinparadise.github.io/blog/grfp-advice/","Yes")</f>
        <v>Yes</v>
      </c>
    </row>
    <row r="88" spans="1:26" ht="13" x14ac:dyDescent="0.15">
      <c r="A88" s="2" t="s">
        <v>181</v>
      </c>
      <c r="B88" s="3">
        <v>2019</v>
      </c>
      <c r="C88" s="2" t="s">
        <v>182</v>
      </c>
      <c r="D88" s="2" t="s">
        <v>13</v>
      </c>
      <c r="E88" s="2" t="s">
        <v>14</v>
      </c>
      <c r="F88" s="8" t="str">
        <f>HYPERLINK("https://drive.google.com/file/d/1Gn68Pn_0P3PllcZwcMZfdhdqiHDVQG2y/view?usp=sharing","Yes")</f>
        <v>Yes</v>
      </c>
      <c r="G88" s="8" t="str">
        <f>HYPERLINK("https://drive.google.com/file/d/1l1wW0aAkoijjX8_sYzhc4OfikRf-NHb0/view?usp=sharing","Yes")</f>
        <v>Yes</v>
      </c>
      <c r="H88" s="2" t="s">
        <v>16</v>
      </c>
      <c r="I88" s="8" t="str">
        <f>HYPERLINK("https://drive.google.com/file/d/104DIWRJz4v5QvpEll5GsaVY_J0dj-R0e/view?usp=sharing","Yes")</f>
        <v>Yes</v>
      </c>
      <c r="J88" s="5" t="str">
        <f t="shared" ref="J88:J89" si="6">HYPERLINK("http://www.alexhunterlang.com/nsf-fellowship","Alex Lang")</f>
        <v>Alex Lang</v>
      </c>
      <c r="K88" s="9"/>
      <c r="L88" s="15"/>
      <c r="M88" s="15"/>
      <c r="N88" s="15"/>
      <c r="O88" s="15"/>
      <c r="P88" s="15"/>
      <c r="Q88" s="15"/>
      <c r="R88" s="15"/>
      <c r="S88" s="15"/>
      <c r="T88" s="15"/>
      <c r="U88" s="15"/>
      <c r="V88" s="15"/>
      <c r="W88" s="15"/>
      <c r="X88" s="15"/>
      <c r="Y88" s="15"/>
      <c r="Z88" s="15"/>
    </row>
    <row r="89" spans="1:26" ht="13" x14ac:dyDescent="0.15">
      <c r="A89" s="2" t="s">
        <v>183</v>
      </c>
      <c r="B89" s="3">
        <v>2019</v>
      </c>
      <c r="C89" s="2" t="s">
        <v>184</v>
      </c>
      <c r="D89" s="2" t="s">
        <v>20</v>
      </c>
      <c r="E89" s="2" t="s">
        <v>14</v>
      </c>
      <c r="F89" s="8" t="str">
        <f>HYPERLINK("https://drive.google.com/file/d/1f9p-oVOZS7jGg1tth2w359PF-qbKAdwv/view?usp=sharing","Yes")</f>
        <v>Yes</v>
      </c>
      <c r="G89" s="8" t="str">
        <f>HYPERLINK("https://drive.google.com/file/d/1B1j1jJ2Rlep1p__cZ5u1OiyE8Zwsz3tS/view?usp=sharing","Yes")</f>
        <v>Yes</v>
      </c>
      <c r="H89" s="2" t="s">
        <v>16</v>
      </c>
      <c r="I89" s="8" t="str">
        <f>HYPERLINK("https://drive.google.com/file/d/142HQi6k4OpGb19_mMrMUe-Rv1HPocpea/view?usp=sharing","Yes")</f>
        <v>Yes</v>
      </c>
      <c r="J89" s="5" t="str">
        <f t="shared" si="6"/>
        <v>Alex Lang</v>
      </c>
      <c r="K89" s="9"/>
      <c r="L89" s="9"/>
      <c r="M89" s="9"/>
      <c r="N89" s="9"/>
      <c r="O89" s="9"/>
      <c r="P89" s="9"/>
      <c r="Q89" s="9"/>
      <c r="R89" s="9"/>
      <c r="S89" s="9"/>
      <c r="T89" s="9"/>
      <c r="U89" s="9"/>
      <c r="V89" s="9"/>
      <c r="W89" s="9"/>
      <c r="X89" s="9"/>
      <c r="Y89" s="9"/>
      <c r="Z89" s="9"/>
    </row>
    <row r="90" spans="1:26" ht="13" x14ac:dyDescent="0.15">
      <c r="A90" s="2" t="s">
        <v>185</v>
      </c>
      <c r="B90" s="3">
        <v>2019</v>
      </c>
      <c r="C90" s="2" t="s">
        <v>65</v>
      </c>
      <c r="D90" s="2" t="s">
        <v>20</v>
      </c>
      <c r="E90" s="2" t="s">
        <v>14</v>
      </c>
      <c r="F90" s="8" t="str">
        <f>HYPERLINK("https://jamesrhowevi.files.wordpress.com/2019/04/researchplan_jhowe_grfp.pdf","Yes")</f>
        <v>Yes</v>
      </c>
      <c r="G90" s="8" t="str">
        <f>HYPERLINK("https://jamesrhowevi.files.wordpress.com/2019/04/personalstatement_jhowe_grfp.pdf","Yes")</f>
        <v>Yes</v>
      </c>
      <c r="H90" s="2" t="s">
        <v>16</v>
      </c>
      <c r="I90" s="8" t="str">
        <f>HYPERLINK("https://jamesrhowevi.files.wordpress.com/2019/04/reviews_jhowe_grfp.pdf","Yes")</f>
        <v>Yes</v>
      </c>
      <c r="J90" s="19" t="str">
        <f>HYPERLINK("https://jamesrhowevi.me/","James Howe")</f>
        <v>James Howe</v>
      </c>
      <c r="K90" s="8" t="str">
        <f>HYPERLINK("https://jamesrhowevi.me/nsfgrfp/","Yes")</f>
        <v>Yes</v>
      </c>
      <c r="L90" s="20"/>
      <c r="M90" s="20"/>
      <c r="N90" s="20"/>
      <c r="O90" s="20"/>
      <c r="P90" s="20"/>
      <c r="Q90" s="20"/>
      <c r="R90" s="20"/>
      <c r="S90" s="20"/>
      <c r="T90" s="20"/>
      <c r="U90" s="20"/>
      <c r="V90" s="20"/>
      <c r="W90" s="20"/>
      <c r="X90" s="20"/>
      <c r="Y90" s="20"/>
      <c r="Z90" s="20"/>
    </row>
    <row r="91" spans="1:26" ht="13" x14ac:dyDescent="0.15">
      <c r="A91" s="2" t="s">
        <v>186</v>
      </c>
      <c r="B91" s="3">
        <v>2019</v>
      </c>
      <c r="C91" s="2" t="s">
        <v>187</v>
      </c>
      <c r="D91" s="2" t="s">
        <v>20</v>
      </c>
      <c r="E91" s="2" t="s">
        <v>14</v>
      </c>
      <c r="F91" s="8" t="str">
        <f>HYPERLINK("https://drive.google.com/file/d/1JuaRKzucA7qiiKmJ9VHjGcm5Qlls7JsP/view?usp=sharing","Yes")</f>
        <v>Yes</v>
      </c>
      <c r="G91" s="8" t="str">
        <f>HYPERLINK("https://drive.google.com/file/d/1Q8h3orNKfRglnnpxBRtOtBRFPrA2eA9M/view?usp=sharing","Yes")</f>
        <v>Yes</v>
      </c>
      <c r="H91" s="2" t="s">
        <v>16</v>
      </c>
      <c r="I91" s="8" t="str">
        <f>HYPERLINK("https://drive.google.com/file/d/1j-WqqBzw2dC8bDGmFD099CvPZOjTaw6g/view?usp=sharing","Yes")</f>
        <v>Yes</v>
      </c>
      <c r="J91" s="5" t="str">
        <f t="shared" ref="J91:J99" si="7">HYPERLINK("http://www.alexhunterlang.com/nsf-fellowship","Alex Lang")</f>
        <v>Alex Lang</v>
      </c>
      <c r="K91" s="8" t="str">
        <f>HYPERLINK("https://docs.google.com/document/d/1LDjXjQXVw3CIxm48q-0St80OMhL3E4OYGIfXLic7XQg/edit?usp=sharing","Yes")</f>
        <v>Yes</v>
      </c>
      <c r="L91" s="2"/>
      <c r="M91" s="2"/>
      <c r="N91" s="2"/>
      <c r="O91" s="2"/>
      <c r="P91" s="2"/>
      <c r="Q91" s="2"/>
      <c r="R91" s="2"/>
      <c r="S91" s="2"/>
      <c r="T91" s="2"/>
      <c r="U91" s="2"/>
      <c r="V91" s="2"/>
      <c r="W91" s="2"/>
      <c r="X91" s="2"/>
      <c r="Y91" s="2"/>
      <c r="Z91" s="2"/>
    </row>
    <row r="92" spans="1:26" ht="13" x14ac:dyDescent="0.15">
      <c r="A92" s="2" t="s">
        <v>188</v>
      </c>
      <c r="B92" s="3">
        <v>2019</v>
      </c>
      <c r="C92" s="2" t="s">
        <v>32</v>
      </c>
      <c r="D92" s="2" t="s">
        <v>27</v>
      </c>
      <c r="E92" s="2" t="s">
        <v>14</v>
      </c>
      <c r="F92" s="8" t="str">
        <f>HYPERLINK("https://drive.google.com/file/d/1zSLQUwAf3LjS5iuuzvizv5oDCL3YnsXo/view?usp=sharing","Yes")</f>
        <v>Yes</v>
      </c>
      <c r="G92" s="8" t="str">
        <f>HYPERLINK("https://drive.google.com/file/d/1CzH6Tt-37z-8_TIdjhLjhQHyKBWKIZBe/view?usp=sharing","Yes")</f>
        <v>Yes</v>
      </c>
      <c r="H92" s="2" t="s">
        <v>16</v>
      </c>
      <c r="I92" s="8" t="str">
        <f>HYPERLINK("https://drive.google.com/file/d/1kROfQJ18QdgbZMwitssIGzJvSPbzKvhR/view?usp=sharing","Yes")</f>
        <v>Yes</v>
      </c>
      <c r="J92" s="15" t="str">
        <f t="shared" si="7"/>
        <v>Alex Lang</v>
      </c>
      <c r="K92" s="8" t="str">
        <f>HYPERLINK("https://docs.google.com/document/d/1IN0MWHwFrYZHYLCjLu--9En22VPL01ZxpevX3DQ04U4/edit?usp=sharing","Yes")</f>
        <v>Yes</v>
      </c>
      <c r="L92" s="20"/>
      <c r="M92" s="20"/>
      <c r="N92" s="20"/>
      <c r="O92" s="20"/>
      <c r="P92" s="20"/>
      <c r="Q92" s="20"/>
      <c r="R92" s="20"/>
      <c r="S92" s="20"/>
      <c r="T92" s="20"/>
      <c r="U92" s="20"/>
      <c r="V92" s="20"/>
      <c r="W92" s="20"/>
      <c r="X92" s="20"/>
      <c r="Y92" s="20"/>
      <c r="Z92" s="20"/>
    </row>
    <row r="93" spans="1:26" ht="13" x14ac:dyDescent="0.15">
      <c r="A93" s="2" t="s">
        <v>189</v>
      </c>
      <c r="B93" s="3">
        <v>2019</v>
      </c>
      <c r="C93" s="2" t="s">
        <v>190</v>
      </c>
      <c r="D93" s="2" t="s">
        <v>13</v>
      </c>
      <c r="E93" s="2" t="s">
        <v>14</v>
      </c>
      <c r="F93" s="8" t="str">
        <f>HYPERLINK("https://drive.google.com/file/d/13xuOyp6w31m_NjJr156WNcOBX2X6JnUo/view?usp=sharing","Yes")</f>
        <v>Yes</v>
      </c>
      <c r="G93" s="8" t="str">
        <f>HYPERLINK("https://drive.google.com/file/d/1mCkIfdIpRRx_90wcJSJnktQntYwrVIrm/view?usp=sharing","Yes")</f>
        <v>Yes</v>
      </c>
      <c r="H93" s="2" t="s">
        <v>16</v>
      </c>
      <c r="I93" s="8" t="str">
        <f>HYPERLINK("https://drive.google.com/file/d/1Ru_XNTmm1I2kasGlhqxvD2-uxRXDSM2h/view?usp=sharing","Yes")</f>
        <v>Yes</v>
      </c>
      <c r="J93" s="5" t="str">
        <f t="shared" si="7"/>
        <v>Alex Lang</v>
      </c>
      <c r="K93" s="9"/>
      <c r="L93" s="20"/>
      <c r="M93" s="20"/>
      <c r="N93" s="20"/>
      <c r="O93" s="20"/>
      <c r="P93" s="20"/>
      <c r="Q93" s="20"/>
      <c r="R93" s="20"/>
      <c r="S93" s="20"/>
      <c r="T93" s="20"/>
      <c r="U93" s="20"/>
      <c r="V93" s="20"/>
      <c r="W93" s="20"/>
      <c r="X93" s="20"/>
      <c r="Y93" s="20"/>
      <c r="Z93" s="20"/>
    </row>
    <row r="94" spans="1:26" ht="13" x14ac:dyDescent="0.15">
      <c r="A94" s="2" t="s">
        <v>191</v>
      </c>
      <c r="B94" s="3">
        <v>2019</v>
      </c>
      <c r="C94" s="2" t="s">
        <v>138</v>
      </c>
      <c r="D94" s="2" t="s">
        <v>13</v>
      </c>
      <c r="E94" s="2" t="s">
        <v>14</v>
      </c>
      <c r="F94" s="8" t="str">
        <f>HYPERLINK("https://drive.google.com/file/d/11tdPnoeZIMY4qWn6eY3x1-VGC1e6phdP/view?usp=sharing","Yes")</f>
        <v>Yes</v>
      </c>
      <c r="G94" s="8" t="str">
        <f>HYPERLINK("https://drive.google.com/file/d/1c15V4KjAIqyX2CQEXcE97H7jp7GxynOq/view?usp=sharing","Yes")</f>
        <v>Yes</v>
      </c>
      <c r="H94" s="2" t="s">
        <v>16</v>
      </c>
      <c r="I94" s="8" t="str">
        <f>HYPERLINK("https://drive.google.com/file/d/1Si53NERSubtPbySJkpRq32mIyDhkFort/view?usp=sharing","Yes")</f>
        <v>Yes</v>
      </c>
      <c r="J94" s="5" t="str">
        <f t="shared" si="7"/>
        <v>Alex Lang</v>
      </c>
      <c r="K94" s="2"/>
      <c r="L94" s="20"/>
      <c r="M94" s="20"/>
      <c r="N94" s="20"/>
      <c r="O94" s="20"/>
      <c r="P94" s="20"/>
      <c r="Q94" s="20"/>
      <c r="R94" s="20"/>
      <c r="S94" s="20"/>
      <c r="T94" s="20"/>
      <c r="U94" s="20"/>
      <c r="V94" s="20"/>
      <c r="W94" s="20"/>
      <c r="X94" s="20"/>
      <c r="Y94" s="20"/>
      <c r="Z94" s="20"/>
    </row>
    <row r="95" spans="1:26" ht="13" x14ac:dyDescent="0.15">
      <c r="A95" s="2" t="s">
        <v>192</v>
      </c>
      <c r="B95" s="3">
        <v>2019</v>
      </c>
      <c r="C95" s="2" t="s">
        <v>193</v>
      </c>
      <c r="D95" s="2" t="s">
        <v>20</v>
      </c>
      <c r="E95" s="2" t="s">
        <v>14</v>
      </c>
      <c r="F95" s="8" t="str">
        <f>HYPERLINK("https://drive.google.com/file/d/1ObuHEI6GgO4_Qf7S_fJTDV6HbFXYaPM4/view?usp=sharing","Yes")</f>
        <v>Yes</v>
      </c>
      <c r="G95" s="8" t="str">
        <f>HYPERLINK("https://drive.google.com/file/d/1CuzD7jntZrg5OEzYV3qF62dCF7_9Zv_H/view?usp=sharing","Yes")</f>
        <v>Yes</v>
      </c>
      <c r="H95" s="2" t="s">
        <v>16</v>
      </c>
      <c r="I95" s="2" t="s">
        <v>24</v>
      </c>
      <c r="J95" s="5" t="str">
        <f t="shared" si="7"/>
        <v>Alex Lang</v>
      </c>
      <c r="K95" s="2"/>
      <c r="L95" s="20"/>
      <c r="M95" s="20"/>
      <c r="N95" s="20"/>
      <c r="O95" s="20"/>
      <c r="P95" s="20"/>
      <c r="Q95" s="20"/>
      <c r="R95" s="20"/>
      <c r="S95" s="20"/>
      <c r="T95" s="20"/>
      <c r="U95" s="20"/>
      <c r="V95" s="20"/>
      <c r="W95" s="20"/>
      <c r="X95" s="20"/>
      <c r="Y95" s="20"/>
      <c r="Z95" s="20"/>
    </row>
    <row r="96" spans="1:26" ht="13" x14ac:dyDescent="0.15">
      <c r="A96" s="2" t="s">
        <v>194</v>
      </c>
      <c r="B96" s="3">
        <v>2019</v>
      </c>
      <c r="C96" s="2" t="s">
        <v>195</v>
      </c>
      <c r="D96" s="2" t="s">
        <v>27</v>
      </c>
      <c r="E96" s="2" t="s">
        <v>14</v>
      </c>
      <c r="F96" s="8" t="str">
        <f>HYPERLINK("https://drive.google.com/file/d/1hSY8RNwACPAci1tgbjc6Si-dwYbBpK0w/view?usp=sharing","Yes")</f>
        <v>Yes</v>
      </c>
      <c r="G96" s="8" t="str">
        <f>HYPERLINK("https://drive.google.com/file/d/1C-cpdjYvxMycqdMyKFdzhYNP4L-opSYB/view?usp=sharing","Yes")</f>
        <v>Yes</v>
      </c>
      <c r="H96" s="2" t="s">
        <v>16</v>
      </c>
      <c r="I96" s="2" t="s">
        <v>24</v>
      </c>
      <c r="J96" s="15" t="str">
        <f t="shared" si="7"/>
        <v>Alex Lang</v>
      </c>
      <c r="K96" s="2"/>
      <c r="L96" s="15"/>
      <c r="M96" s="15"/>
      <c r="N96" s="15"/>
      <c r="O96" s="15"/>
      <c r="P96" s="15"/>
      <c r="Q96" s="15"/>
      <c r="R96" s="15"/>
      <c r="S96" s="15"/>
      <c r="T96" s="15"/>
      <c r="U96" s="15"/>
      <c r="V96" s="15"/>
      <c r="W96" s="15"/>
      <c r="X96" s="15"/>
      <c r="Y96" s="15"/>
      <c r="Z96" s="15"/>
    </row>
    <row r="97" spans="1:26" ht="13" x14ac:dyDescent="0.15">
      <c r="A97" s="2" t="s">
        <v>196</v>
      </c>
      <c r="B97" s="3">
        <v>2019</v>
      </c>
      <c r="C97" s="2" t="s">
        <v>56</v>
      </c>
      <c r="D97" s="2" t="s">
        <v>20</v>
      </c>
      <c r="E97" s="2" t="s">
        <v>14</v>
      </c>
      <c r="F97" s="5" t="s">
        <v>15</v>
      </c>
      <c r="G97" s="5" t="s">
        <v>15</v>
      </c>
      <c r="H97" s="2" t="s">
        <v>16</v>
      </c>
      <c r="I97" s="2" t="s">
        <v>24</v>
      </c>
      <c r="J97" s="5" t="str">
        <f t="shared" si="7"/>
        <v>Alex Lang</v>
      </c>
      <c r="K97" s="2"/>
      <c r="L97" s="15"/>
      <c r="M97" s="15"/>
      <c r="N97" s="15"/>
      <c r="O97" s="15"/>
      <c r="P97" s="15"/>
      <c r="Q97" s="15"/>
      <c r="R97" s="15"/>
      <c r="S97" s="15"/>
      <c r="T97" s="15"/>
      <c r="U97" s="15"/>
      <c r="V97" s="15"/>
      <c r="W97" s="15"/>
      <c r="X97" s="15"/>
      <c r="Y97" s="15"/>
      <c r="Z97" s="15"/>
    </row>
    <row r="98" spans="1:26" ht="13" x14ac:dyDescent="0.15">
      <c r="A98" s="2" t="s">
        <v>197</v>
      </c>
      <c r="B98" s="3">
        <v>2019</v>
      </c>
      <c r="C98" s="2" t="s">
        <v>198</v>
      </c>
      <c r="D98" s="2" t="s">
        <v>27</v>
      </c>
      <c r="E98" s="2" t="s">
        <v>14</v>
      </c>
      <c r="F98" s="4" t="s">
        <v>15</v>
      </c>
      <c r="G98" s="4" t="s">
        <v>15</v>
      </c>
      <c r="H98" s="2" t="s">
        <v>16</v>
      </c>
      <c r="I98" s="4" t="s">
        <v>15</v>
      </c>
      <c r="J98" s="5" t="str">
        <f t="shared" si="7"/>
        <v>Alex Lang</v>
      </c>
      <c r="K98" s="2"/>
      <c r="L98" s="9"/>
      <c r="M98" s="9"/>
      <c r="N98" s="9"/>
      <c r="O98" s="9"/>
      <c r="P98" s="9"/>
      <c r="Q98" s="9"/>
      <c r="R98" s="9"/>
      <c r="S98" s="9"/>
      <c r="T98" s="9"/>
      <c r="U98" s="9"/>
      <c r="V98" s="9"/>
      <c r="W98" s="9"/>
      <c r="X98" s="9"/>
      <c r="Y98" s="9"/>
      <c r="Z98" s="9"/>
    </row>
    <row r="99" spans="1:26" ht="13" x14ac:dyDescent="0.15">
      <c r="A99" s="13" t="s">
        <v>48</v>
      </c>
      <c r="B99" s="3">
        <v>2019</v>
      </c>
      <c r="C99" s="2" t="s">
        <v>56</v>
      </c>
      <c r="D99" s="2" t="s">
        <v>27</v>
      </c>
      <c r="E99" s="2" t="s">
        <v>14</v>
      </c>
      <c r="F99" s="4" t="s">
        <v>15</v>
      </c>
      <c r="G99" s="4" t="s">
        <v>15</v>
      </c>
      <c r="H99" s="2" t="s">
        <v>16</v>
      </c>
      <c r="I99" s="4" t="s">
        <v>15</v>
      </c>
      <c r="J99" s="5" t="str">
        <f t="shared" si="7"/>
        <v>Alex Lang</v>
      </c>
      <c r="K99" s="2"/>
      <c r="L99" s="20"/>
      <c r="M99" s="20"/>
      <c r="N99" s="20"/>
      <c r="O99" s="20"/>
      <c r="P99" s="20"/>
      <c r="Q99" s="20"/>
      <c r="R99" s="20"/>
      <c r="S99" s="20"/>
      <c r="T99" s="20"/>
      <c r="U99" s="20"/>
      <c r="V99" s="20"/>
      <c r="W99" s="20"/>
      <c r="X99" s="20"/>
      <c r="Y99" s="20"/>
      <c r="Z99" s="20"/>
    </row>
    <row r="100" spans="1:26" ht="13" x14ac:dyDescent="0.15">
      <c r="A100" s="2" t="s">
        <v>48</v>
      </c>
      <c r="B100" s="3">
        <v>2019</v>
      </c>
      <c r="C100" s="2" t="s">
        <v>199</v>
      </c>
      <c r="D100" s="2" t="s">
        <v>200</v>
      </c>
      <c r="E100" s="2" t="s">
        <v>14</v>
      </c>
      <c r="F100" s="2" t="s">
        <v>24</v>
      </c>
      <c r="G100" s="5" t="s">
        <v>15</v>
      </c>
      <c r="H100" s="2" t="s">
        <v>16</v>
      </c>
      <c r="I100" s="2" t="s">
        <v>24</v>
      </c>
      <c r="J100" s="5" t="s">
        <v>201</v>
      </c>
      <c r="K100" s="2"/>
      <c r="L100" s="2"/>
      <c r="M100" s="2"/>
      <c r="N100" s="2"/>
      <c r="O100" s="2"/>
      <c r="P100" s="2"/>
      <c r="Q100" s="2"/>
      <c r="R100" s="2"/>
      <c r="S100" s="2"/>
      <c r="T100" s="2"/>
      <c r="U100" s="2"/>
      <c r="V100" s="2"/>
      <c r="W100" s="2"/>
      <c r="X100" s="2"/>
      <c r="Y100" s="2"/>
      <c r="Z100" s="2"/>
    </row>
    <row r="101" spans="1:26" ht="13" x14ac:dyDescent="0.15">
      <c r="A101" s="2" t="s">
        <v>48</v>
      </c>
      <c r="B101" s="3">
        <v>2019</v>
      </c>
      <c r="C101" s="2" t="s">
        <v>202</v>
      </c>
      <c r="D101" s="2" t="s">
        <v>200</v>
      </c>
      <c r="E101" s="2" t="s">
        <v>14</v>
      </c>
      <c r="F101" s="5" t="s">
        <v>15</v>
      </c>
      <c r="G101" s="2" t="s">
        <v>24</v>
      </c>
      <c r="H101" s="2" t="s">
        <v>16</v>
      </c>
      <c r="I101" s="2" t="s">
        <v>24</v>
      </c>
      <c r="J101" s="5" t="s">
        <v>201</v>
      </c>
      <c r="K101" s="2"/>
      <c r="L101" s="20"/>
      <c r="M101" s="20"/>
      <c r="N101" s="20"/>
      <c r="O101" s="20"/>
      <c r="P101" s="20"/>
      <c r="Q101" s="20"/>
      <c r="R101" s="20"/>
      <c r="S101" s="20"/>
      <c r="T101" s="20"/>
      <c r="U101" s="20"/>
      <c r="V101" s="20"/>
      <c r="W101" s="20"/>
      <c r="X101" s="20"/>
      <c r="Y101" s="20"/>
      <c r="Z101" s="20"/>
    </row>
    <row r="102" spans="1:26" ht="13" x14ac:dyDescent="0.15">
      <c r="A102" s="2" t="s">
        <v>203</v>
      </c>
      <c r="B102" s="3">
        <v>2019</v>
      </c>
      <c r="C102" s="2" t="s">
        <v>204</v>
      </c>
      <c r="D102" s="2" t="s">
        <v>27</v>
      </c>
      <c r="E102" s="2" t="s">
        <v>14</v>
      </c>
      <c r="F102" s="4" t="s">
        <v>15</v>
      </c>
      <c r="G102" s="4" t="s">
        <v>15</v>
      </c>
      <c r="H102" s="2" t="s">
        <v>16</v>
      </c>
      <c r="I102" s="4" t="s">
        <v>15</v>
      </c>
      <c r="J102" s="5" t="str">
        <f t="shared" ref="J102:J121" si="8">HYPERLINK("http://www.alexhunterlang.com/nsf-fellowship","Alex Lang")</f>
        <v>Alex Lang</v>
      </c>
      <c r="K102" s="2"/>
      <c r="L102" s="20"/>
      <c r="M102" s="20"/>
      <c r="N102" s="20"/>
      <c r="O102" s="20"/>
      <c r="P102" s="20"/>
      <c r="Q102" s="20"/>
      <c r="R102" s="20"/>
      <c r="S102" s="20"/>
      <c r="T102" s="20"/>
      <c r="U102" s="20"/>
      <c r="V102" s="20"/>
      <c r="W102" s="20"/>
      <c r="X102" s="20"/>
      <c r="Y102" s="20"/>
      <c r="Z102" s="20"/>
    </row>
    <row r="103" spans="1:26" ht="13" x14ac:dyDescent="0.15">
      <c r="A103" s="2" t="s">
        <v>205</v>
      </c>
      <c r="B103" s="3">
        <v>2019</v>
      </c>
      <c r="C103" s="2" t="s">
        <v>133</v>
      </c>
      <c r="D103" s="2" t="s">
        <v>20</v>
      </c>
      <c r="E103" s="2" t="s">
        <v>14</v>
      </c>
      <c r="F103" s="4" t="s">
        <v>15</v>
      </c>
      <c r="G103" s="4" t="s">
        <v>15</v>
      </c>
      <c r="H103" s="2" t="s">
        <v>16</v>
      </c>
      <c r="I103" s="4" t="s">
        <v>15</v>
      </c>
      <c r="J103" s="5" t="str">
        <f t="shared" si="8"/>
        <v>Alex Lang</v>
      </c>
      <c r="K103" s="2"/>
      <c r="L103" s="2"/>
      <c r="M103" s="2"/>
      <c r="N103" s="2"/>
      <c r="O103" s="2"/>
      <c r="P103" s="2"/>
      <c r="Q103" s="2"/>
      <c r="R103" s="2"/>
      <c r="S103" s="2"/>
      <c r="T103" s="2"/>
      <c r="U103" s="2"/>
      <c r="V103" s="2"/>
      <c r="W103" s="2"/>
      <c r="X103" s="2"/>
      <c r="Y103" s="2"/>
      <c r="Z103" s="2"/>
    </row>
    <row r="104" spans="1:26" ht="13" x14ac:dyDescent="0.15">
      <c r="A104" s="2" t="s">
        <v>206</v>
      </c>
      <c r="B104" s="3">
        <v>2019</v>
      </c>
      <c r="C104" s="2" t="s">
        <v>207</v>
      </c>
      <c r="D104" s="2" t="s">
        <v>27</v>
      </c>
      <c r="E104" s="2" t="s">
        <v>78</v>
      </c>
      <c r="F104" s="4" t="s">
        <v>15</v>
      </c>
      <c r="G104" s="4" t="s">
        <v>15</v>
      </c>
      <c r="H104" s="2" t="s">
        <v>16</v>
      </c>
      <c r="I104" s="4" t="s">
        <v>15</v>
      </c>
      <c r="J104" s="5" t="str">
        <f t="shared" si="8"/>
        <v>Alex Lang</v>
      </c>
      <c r="K104" s="2" t="s">
        <v>208</v>
      </c>
    </row>
    <row r="105" spans="1:26" ht="13" x14ac:dyDescent="0.15">
      <c r="A105" s="2" t="s">
        <v>209</v>
      </c>
      <c r="B105" s="3">
        <v>2019</v>
      </c>
      <c r="C105" s="2" t="s">
        <v>210</v>
      </c>
      <c r="D105" s="2" t="s">
        <v>27</v>
      </c>
      <c r="E105" s="2" t="s">
        <v>14</v>
      </c>
      <c r="F105" s="4" t="s">
        <v>15</v>
      </c>
      <c r="G105" s="4" t="s">
        <v>15</v>
      </c>
      <c r="H105" s="2" t="s">
        <v>16</v>
      </c>
      <c r="I105" s="4" t="s">
        <v>15</v>
      </c>
      <c r="J105" s="5" t="str">
        <f t="shared" si="8"/>
        <v>Alex Lang</v>
      </c>
      <c r="K105" s="2" t="s">
        <v>211</v>
      </c>
      <c r="L105" s="9"/>
      <c r="M105" s="9"/>
      <c r="N105" s="9"/>
      <c r="O105" s="9"/>
      <c r="P105" s="9"/>
      <c r="Q105" s="9"/>
      <c r="R105" s="9"/>
      <c r="S105" s="9"/>
      <c r="T105" s="9"/>
      <c r="U105" s="9"/>
      <c r="V105" s="9"/>
      <c r="W105" s="9"/>
      <c r="X105" s="9"/>
      <c r="Y105" s="9"/>
      <c r="Z105" s="9"/>
    </row>
    <row r="106" spans="1:26" ht="13" x14ac:dyDescent="0.15">
      <c r="A106" s="2" t="s">
        <v>212</v>
      </c>
      <c r="B106" s="3">
        <v>2019</v>
      </c>
      <c r="C106" s="2" t="s">
        <v>138</v>
      </c>
      <c r="D106" s="2" t="s">
        <v>20</v>
      </c>
      <c r="E106" s="2" t="s">
        <v>14</v>
      </c>
      <c r="F106" s="4" t="s">
        <v>15</v>
      </c>
      <c r="G106" s="4" t="s">
        <v>15</v>
      </c>
      <c r="H106" s="2" t="s">
        <v>16</v>
      </c>
      <c r="I106" s="4" t="s">
        <v>15</v>
      </c>
      <c r="J106" s="5" t="str">
        <f t="shared" si="8"/>
        <v>Alex Lang</v>
      </c>
      <c r="K106" s="2"/>
      <c r="L106" s="20"/>
      <c r="M106" s="20"/>
      <c r="N106" s="20"/>
      <c r="O106" s="20"/>
      <c r="P106" s="20"/>
      <c r="Q106" s="20"/>
      <c r="R106" s="20"/>
      <c r="S106" s="20"/>
      <c r="T106" s="20"/>
      <c r="U106" s="20"/>
      <c r="V106" s="20"/>
      <c r="W106" s="20"/>
      <c r="X106" s="20"/>
      <c r="Y106" s="20"/>
      <c r="Z106" s="20"/>
    </row>
    <row r="107" spans="1:26" ht="13" x14ac:dyDescent="0.15">
      <c r="A107" s="2" t="s">
        <v>213</v>
      </c>
      <c r="B107" s="3">
        <v>2019</v>
      </c>
      <c r="C107" s="2" t="s">
        <v>39</v>
      </c>
      <c r="D107" s="2" t="s">
        <v>13</v>
      </c>
      <c r="E107" s="2" t="s">
        <v>14</v>
      </c>
      <c r="F107" s="4" t="s">
        <v>15</v>
      </c>
      <c r="G107" s="4" t="s">
        <v>15</v>
      </c>
      <c r="H107" s="2" t="s">
        <v>16</v>
      </c>
      <c r="I107" s="4" t="s">
        <v>15</v>
      </c>
      <c r="J107" s="5" t="str">
        <f t="shared" si="8"/>
        <v>Alex Lang</v>
      </c>
      <c r="K107" s="2"/>
      <c r="L107" s="20"/>
      <c r="M107" s="20"/>
      <c r="N107" s="20"/>
      <c r="O107" s="20"/>
      <c r="P107" s="20"/>
      <c r="Q107" s="20"/>
      <c r="R107" s="20"/>
      <c r="S107" s="20"/>
      <c r="T107" s="20"/>
      <c r="U107" s="20"/>
      <c r="V107" s="20"/>
      <c r="W107" s="20"/>
      <c r="X107" s="20"/>
      <c r="Y107" s="20"/>
      <c r="Z107" s="20"/>
    </row>
    <row r="108" spans="1:26" ht="13" x14ac:dyDescent="0.15">
      <c r="A108" s="2" t="s">
        <v>214</v>
      </c>
      <c r="B108" s="3">
        <v>2019</v>
      </c>
      <c r="C108" s="2" t="s">
        <v>65</v>
      </c>
      <c r="D108" s="2" t="s">
        <v>27</v>
      </c>
      <c r="E108" s="2" t="s">
        <v>78</v>
      </c>
      <c r="F108" s="4" t="s">
        <v>15</v>
      </c>
      <c r="G108" s="4" t="s">
        <v>15</v>
      </c>
      <c r="H108" s="2" t="s">
        <v>16</v>
      </c>
      <c r="I108" s="2" t="s">
        <v>24</v>
      </c>
      <c r="J108" s="5" t="str">
        <f t="shared" si="8"/>
        <v>Alex Lang</v>
      </c>
      <c r="K108" s="4" t="s">
        <v>15</v>
      </c>
      <c r="L108" s="15"/>
      <c r="M108" s="15"/>
      <c r="N108" s="15"/>
      <c r="O108" s="15"/>
      <c r="P108" s="15"/>
      <c r="Q108" s="15"/>
      <c r="R108" s="15"/>
      <c r="S108" s="15"/>
      <c r="T108" s="15"/>
      <c r="U108" s="15"/>
      <c r="V108" s="15"/>
      <c r="W108" s="15"/>
      <c r="X108" s="15"/>
      <c r="Y108" s="15"/>
      <c r="Z108" s="15"/>
    </row>
    <row r="109" spans="1:26" ht="13" x14ac:dyDescent="0.15">
      <c r="A109" s="2" t="s">
        <v>215</v>
      </c>
      <c r="B109" s="3">
        <v>2019</v>
      </c>
      <c r="C109" s="2" t="s">
        <v>23</v>
      </c>
      <c r="D109" s="2" t="s">
        <v>27</v>
      </c>
      <c r="E109" s="2" t="s">
        <v>14</v>
      </c>
      <c r="F109" s="4" t="s">
        <v>15</v>
      </c>
      <c r="G109" s="4" t="s">
        <v>15</v>
      </c>
      <c r="H109" s="2" t="s">
        <v>16</v>
      </c>
      <c r="I109" s="4" t="s">
        <v>15</v>
      </c>
      <c r="J109" s="5" t="str">
        <f t="shared" si="8"/>
        <v>Alex Lang</v>
      </c>
      <c r="K109" s="2" t="s">
        <v>216</v>
      </c>
      <c r="L109" s="9"/>
      <c r="M109" s="9"/>
      <c r="N109" s="9"/>
      <c r="O109" s="9"/>
      <c r="P109" s="9"/>
      <c r="Q109" s="9"/>
      <c r="R109" s="9"/>
      <c r="S109" s="9"/>
      <c r="T109" s="9"/>
      <c r="U109" s="9"/>
      <c r="V109" s="9"/>
      <c r="W109" s="9"/>
      <c r="X109" s="9"/>
      <c r="Y109" s="9"/>
      <c r="Z109" s="9"/>
    </row>
    <row r="110" spans="1:26" ht="13" x14ac:dyDescent="0.15">
      <c r="A110" s="2" t="s">
        <v>217</v>
      </c>
      <c r="B110" s="3">
        <v>2019</v>
      </c>
      <c r="C110" s="2" t="s">
        <v>218</v>
      </c>
      <c r="D110" s="2" t="s">
        <v>13</v>
      </c>
      <c r="E110" s="2" t="s">
        <v>14</v>
      </c>
      <c r="F110" s="4" t="s">
        <v>15</v>
      </c>
      <c r="G110" s="4" t="s">
        <v>15</v>
      </c>
      <c r="H110" s="2" t="s">
        <v>16</v>
      </c>
      <c r="I110" s="4" t="s">
        <v>15</v>
      </c>
      <c r="J110" s="5" t="str">
        <f t="shared" si="8"/>
        <v>Alex Lang</v>
      </c>
      <c r="K110" s="2"/>
      <c r="L110" s="20"/>
      <c r="M110" s="20"/>
      <c r="N110" s="20"/>
      <c r="O110" s="20"/>
      <c r="P110" s="20"/>
      <c r="Q110" s="20"/>
      <c r="R110" s="20"/>
      <c r="S110" s="20"/>
      <c r="T110" s="20"/>
      <c r="U110" s="20"/>
      <c r="V110" s="20"/>
      <c r="W110" s="20"/>
      <c r="X110" s="20"/>
      <c r="Y110" s="20"/>
      <c r="Z110" s="20"/>
    </row>
    <row r="111" spans="1:26" ht="13" x14ac:dyDescent="0.15">
      <c r="A111" s="2" t="s">
        <v>163</v>
      </c>
      <c r="B111" s="3">
        <v>2019</v>
      </c>
      <c r="C111" s="2" t="s">
        <v>219</v>
      </c>
      <c r="D111" s="2" t="s">
        <v>27</v>
      </c>
      <c r="E111" s="2" t="s">
        <v>78</v>
      </c>
      <c r="F111" s="4" t="s">
        <v>15</v>
      </c>
      <c r="G111" s="4" t="s">
        <v>15</v>
      </c>
      <c r="H111" s="2" t="s">
        <v>16</v>
      </c>
      <c r="I111" s="4" t="s">
        <v>15</v>
      </c>
      <c r="J111" s="5" t="str">
        <f t="shared" si="8"/>
        <v>Alex Lang</v>
      </c>
      <c r="K111" s="2"/>
      <c r="L111" s="9"/>
      <c r="M111" s="9"/>
      <c r="N111" s="9"/>
      <c r="O111" s="9"/>
      <c r="P111" s="9"/>
      <c r="Q111" s="9"/>
      <c r="R111" s="9"/>
      <c r="S111" s="9"/>
      <c r="T111" s="9"/>
      <c r="U111" s="9"/>
      <c r="V111" s="9"/>
      <c r="W111" s="9"/>
      <c r="X111" s="9"/>
      <c r="Y111" s="9"/>
      <c r="Z111" s="9"/>
    </row>
    <row r="112" spans="1:26" ht="13" x14ac:dyDescent="0.15">
      <c r="A112" s="2" t="s">
        <v>220</v>
      </c>
      <c r="B112" s="3">
        <v>2019</v>
      </c>
      <c r="C112" s="2" t="s">
        <v>221</v>
      </c>
      <c r="D112" s="2" t="s">
        <v>13</v>
      </c>
      <c r="E112" s="2" t="s">
        <v>14</v>
      </c>
      <c r="F112" s="4" t="s">
        <v>15</v>
      </c>
      <c r="G112" s="4" t="s">
        <v>15</v>
      </c>
      <c r="H112" s="2" t="s">
        <v>16</v>
      </c>
      <c r="I112" s="2" t="s">
        <v>24</v>
      </c>
      <c r="J112" s="5" t="str">
        <f t="shared" si="8"/>
        <v>Alex Lang</v>
      </c>
      <c r="K112" s="2"/>
      <c r="L112" s="9"/>
      <c r="M112" s="9"/>
      <c r="N112" s="9"/>
      <c r="O112" s="9"/>
      <c r="P112" s="9"/>
      <c r="Q112" s="9"/>
      <c r="R112" s="9"/>
      <c r="S112" s="9"/>
      <c r="T112" s="9"/>
      <c r="U112" s="9"/>
      <c r="V112" s="9"/>
      <c r="W112" s="9"/>
      <c r="X112" s="9"/>
      <c r="Y112" s="9"/>
      <c r="Z112" s="9"/>
    </row>
    <row r="113" spans="1:26" ht="13" x14ac:dyDescent="0.15">
      <c r="A113" s="2" t="s">
        <v>222</v>
      </c>
      <c r="B113" s="3">
        <v>2018</v>
      </c>
      <c r="C113" s="2" t="s">
        <v>170</v>
      </c>
      <c r="D113" s="2" t="s">
        <v>27</v>
      </c>
      <c r="E113" s="2" t="s">
        <v>78</v>
      </c>
      <c r="F113" s="8" t="str">
        <f>HYPERLINK("https://drive.google.com/file/d/1Rl_TdAXWegpqr3UhRq5BXbc-y6wfC3VE/view?usp=sharing","Yes")</f>
        <v>Yes</v>
      </c>
      <c r="G113" s="8" t="str">
        <f>HYPERLINK("https://drive.google.com/file/d/1Ar1xBVFQWViWFQalWRGamPyHvkYn9WRz/view?usp=sharing","Yes")</f>
        <v>Yes</v>
      </c>
      <c r="H113" s="2" t="s">
        <v>16</v>
      </c>
      <c r="I113" s="2" t="s">
        <v>24</v>
      </c>
      <c r="J113" s="15" t="str">
        <f t="shared" si="8"/>
        <v>Alex Lang</v>
      </c>
      <c r="K113" s="2"/>
      <c r="L113" s="9"/>
      <c r="M113" s="9"/>
      <c r="N113" s="9"/>
      <c r="O113" s="9"/>
      <c r="P113" s="9"/>
      <c r="Q113" s="9"/>
      <c r="R113" s="9"/>
      <c r="S113" s="9"/>
      <c r="T113" s="9"/>
      <c r="U113" s="9"/>
      <c r="V113" s="9"/>
      <c r="W113" s="9"/>
      <c r="X113" s="9"/>
      <c r="Y113" s="9"/>
      <c r="Z113" s="9"/>
    </row>
    <row r="114" spans="1:26" ht="13" x14ac:dyDescent="0.15">
      <c r="A114" s="2" t="s">
        <v>223</v>
      </c>
      <c r="B114" s="3">
        <v>2018</v>
      </c>
      <c r="C114" s="2" t="s">
        <v>170</v>
      </c>
      <c r="D114" s="2" t="s">
        <v>27</v>
      </c>
      <c r="E114" s="2" t="s">
        <v>14</v>
      </c>
      <c r="F114" s="8" t="str">
        <f>HYPERLINK("https://drive.google.com/file/d/1Y5ipF_ZwnZDR3wc_KEiOnkawUtaB3l7j/view?usp=sharing","Yes")</f>
        <v>Yes</v>
      </c>
      <c r="G114" s="8" t="str">
        <f>HYPERLINK("https://drive.google.com/file/d/1h0w5i_huobaTk8stiEJTgVowAOHS8Ymy/view?usp=sharing","Yes")</f>
        <v>Yes</v>
      </c>
      <c r="H114" s="2" t="s">
        <v>16</v>
      </c>
      <c r="I114" s="8" t="str">
        <f>HYPERLINK("https://drive.google.com/file/d/1ofUpdVUk-VkR46VW123YHi2cXHY34b2v/view?usp=sharing","Yes")</f>
        <v>Yes</v>
      </c>
      <c r="J114" s="15" t="str">
        <f t="shared" si="8"/>
        <v>Alex Lang</v>
      </c>
      <c r="K114" s="2"/>
      <c r="L114" s="20"/>
      <c r="M114" s="20"/>
      <c r="N114" s="20"/>
      <c r="O114" s="20"/>
      <c r="P114" s="20"/>
      <c r="Q114" s="20"/>
      <c r="R114" s="20"/>
      <c r="S114" s="20"/>
      <c r="T114" s="20"/>
      <c r="U114" s="20"/>
      <c r="V114" s="20"/>
      <c r="W114" s="20"/>
      <c r="X114" s="20"/>
      <c r="Y114" s="20"/>
      <c r="Z114" s="20"/>
    </row>
    <row r="115" spans="1:26" ht="13" x14ac:dyDescent="0.15">
      <c r="A115" s="2" t="s">
        <v>224</v>
      </c>
      <c r="B115" s="3">
        <v>2018</v>
      </c>
      <c r="C115" s="2" t="s">
        <v>46</v>
      </c>
      <c r="D115" s="2" t="s">
        <v>13</v>
      </c>
      <c r="E115" s="2" t="s">
        <v>14</v>
      </c>
      <c r="F115" s="15" t="str">
        <f>HYPERLINK("https://drive.google.com/file/d/1hABPV3i0EInSPVF6aY7AMQiLLSDZLdPF/view?usp=sharing","Yes")</f>
        <v>Yes</v>
      </c>
      <c r="G115" s="15" t="str">
        <f>HYPERLINK("https://drive.google.com/file/d/1oSh7Qk2rKpyGGwC4I6KZzPiKK7KDXigo/view?usp=sharing","Yes")</f>
        <v>Yes</v>
      </c>
      <c r="H115" s="2" t="s">
        <v>16</v>
      </c>
      <c r="I115" s="15" t="str">
        <f>HYPERLINK("https://drive.google.com/file/d/1m_kZ4AASuE7zEy7t3qyTz0v0yC-qDqUQ/view?usp=sharing","Yes")</f>
        <v>Yes</v>
      </c>
      <c r="J115" s="15" t="str">
        <f t="shared" si="8"/>
        <v>Alex Lang</v>
      </c>
      <c r="K115" s="2"/>
      <c r="L115" s="20"/>
      <c r="M115" s="20"/>
      <c r="N115" s="20"/>
      <c r="O115" s="20"/>
      <c r="P115" s="20"/>
      <c r="Q115" s="20"/>
      <c r="R115" s="20"/>
      <c r="S115" s="20"/>
      <c r="T115" s="20"/>
      <c r="U115" s="20"/>
      <c r="V115" s="20"/>
      <c r="W115" s="20"/>
      <c r="X115" s="20"/>
      <c r="Y115" s="20"/>
      <c r="Z115" s="20"/>
    </row>
    <row r="116" spans="1:26" ht="13" x14ac:dyDescent="0.15">
      <c r="A116" s="2" t="s">
        <v>225</v>
      </c>
      <c r="B116" s="3">
        <v>2018</v>
      </c>
      <c r="C116" s="2" t="s">
        <v>46</v>
      </c>
      <c r="D116" s="2" t="s">
        <v>27</v>
      </c>
      <c r="E116" s="2" t="s">
        <v>78</v>
      </c>
      <c r="F116" s="8" t="str">
        <f>HYPERLINK("https://drive.google.com/file/d/1CGf_JBz_5XyMStxRf4MBI9jNvf-G0lBr/view?usp=sharing","Yes")</f>
        <v>Yes</v>
      </c>
      <c r="G116" s="8" t="str">
        <f>HYPERLINK("https://drive.google.com/file/d/1GNHzVyWvvrKHTcp35pWF9alBqQUY2_Bv/view?usp=sharing","Yes")</f>
        <v>Yes</v>
      </c>
      <c r="H116" s="2" t="s">
        <v>16</v>
      </c>
      <c r="I116" s="8" t="str">
        <f>HYPERLINK("https://drive.google.com/file/d/1w7H3dzcK0JT-D25Yl0AM8Qlx-wFVQdBW/view?usp=sharing","Yes")</f>
        <v>Yes</v>
      </c>
      <c r="J116" s="5" t="str">
        <f t="shared" si="8"/>
        <v>Alex Lang</v>
      </c>
      <c r="K116" s="2"/>
      <c r="L116" s="20"/>
      <c r="M116" s="20"/>
      <c r="N116" s="20"/>
      <c r="O116" s="20"/>
      <c r="P116" s="20"/>
      <c r="Q116" s="20"/>
      <c r="R116" s="20"/>
      <c r="S116" s="20"/>
      <c r="T116" s="20"/>
      <c r="U116" s="20"/>
      <c r="V116" s="20"/>
      <c r="W116" s="20"/>
      <c r="X116" s="20"/>
      <c r="Y116" s="20"/>
      <c r="Z116" s="20"/>
    </row>
    <row r="117" spans="1:26" ht="13" x14ac:dyDescent="0.15">
      <c r="A117" s="2" t="s">
        <v>226</v>
      </c>
      <c r="B117" s="3">
        <v>2018</v>
      </c>
      <c r="C117" s="2" t="s">
        <v>227</v>
      </c>
      <c r="D117" s="2" t="s">
        <v>20</v>
      </c>
      <c r="E117" s="2" t="s">
        <v>14</v>
      </c>
      <c r="F117" s="8" t="str">
        <f>HYPERLINK("https://drive.google.com/file/d/1rehx7rsMbxQGN4sGT8Y6coved0Me4Cly/view?usp=sharing","Yes")</f>
        <v>Yes</v>
      </c>
      <c r="G117" s="8" t="str">
        <f>HYPERLINK("https://drive.google.com/file/d/13uzjZEbdkVms_A1M5jBaVJXGD4WuGiQt/view?usp=sharing","Yes")</f>
        <v>Yes</v>
      </c>
      <c r="H117" s="2" t="s">
        <v>16</v>
      </c>
      <c r="I117" s="8" t="str">
        <f>HYPERLINK("https://drive.google.com/file/d/1tuhBxI2bFR79NcOwZBHJL7g55Vy8J4__/view?usp=sharing","Yes")</f>
        <v>Yes</v>
      </c>
      <c r="J117" s="5" t="str">
        <f t="shared" si="8"/>
        <v>Alex Lang</v>
      </c>
      <c r="K117" s="2"/>
      <c r="L117" s="9"/>
      <c r="M117" s="9"/>
      <c r="N117" s="9"/>
      <c r="O117" s="9"/>
      <c r="P117" s="9"/>
      <c r="Q117" s="9"/>
      <c r="R117" s="9"/>
      <c r="S117" s="9"/>
      <c r="T117" s="9"/>
      <c r="U117" s="9"/>
      <c r="V117" s="9"/>
      <c r="W117" s="9"/>
      <c r="X117" s="9"/>
      <c r="Y117" s="9"/>
      <c r="Z117" s="9"/>
    </row>
    <row r="118" spans="1:26" ht="13" x14ac:dyDescent="0.15">
      <c r="A118" s="2" t="s">
        <v>228</v>
      </c>
      <c r="B118" s="3">
        <v>2018</v>
      </c>
      <c r="C118" s="2" t="s">
        <v>52</v>
      </c>
      <c r="D118" s="2" t="s">
        <v>20</v>
      </c>
      <c r="E118" s="2" t="s">
        <v>14</v>
      </c>
      <c r="F118" s="8" t="str">
        <f>HYPERLINK("https://drive.google.com/file/d/1H8-IG08n2oWpyRlD-p2YAaJTvUxZseI8/view?usp=sharing","Yes")</f>
        <v>Yes</v>
      </c>
      <c r="G118" s="8" t="str">
        <f>HYPERLINK("https://drive.google.com/file/d/18KDdc05PUmLXeSrBMIVx1s438btw8AQT/view?usp=sharing","Yes")</f>
        <v>Yes</v>
      </c>
      <c r="H118" s="2" t="s">
        <v>16</v>
      </c>
      <c r="I118" s="8" t="str">
        <f>HYPERLINK("https://drive.google.com/file/d/1MKasHRAoWGS1HvYYqRpMHbP2TBVemzV7/view?usp=sharing","Yes")</f>
        <v>Yes</v>
      </c>
      <c r="J118" s="5" t="str">
        <f t="shared" si="8"/>
        <v>Alex Lang</v>
      </c>
      <c r="K118" s="2"/>
      <c r="L118" s="20"/>
      <c r="M118" s="20"/>
      <c r="N118" s="20"/>
      <c r="O118" s="20"/>
      <c r="P118" s="20"/>
      <c r="Q118" s="20"/>
      <c r="R118" s="20"/>
      <c r="S118" s="20"/>
      <c r="T118" s="20"/>
      <c r="U118" s="20"/>
      <c r="V118" s="20"/>
      <c r="W118" s="20"/>
      <c r="X118" s="20"/>
      <c r="Y118" s="20"/>
      <c r="Z118" s="20"/>
    </row>
    <row r="119" spans="1:26" ht="13" x14ac:dyDescent="0.15">
      <c r="A119" s="2" t="s">
        <v>229</v>
      </c>
      <c r="B119" s="3">
        <v>2018</v>
      </c>
      <c r="C119" s="2" t="s">
        <v>143</v>
      </c>
      <c r="D119" s="2" t="s">
        <v>13</v>
      </c>
      <c r="E119" s="2" t="s">
        <v>14</v>
      </c>
      <c r="F119" s="15" t="str">
        <f>HYPERLINK("https://drive.google.com/file/d/1yym8voNRPqXuGGMrl7oQfBKr7qo6NhxR/view?usp=sharing","Yes")</f>
        <v>Yes</v>
      </c>
      <c r="G119" s="15" t="str">
        <f>HYPERLINK("https://drive.google.com/file/d/1rtwCrV6k44lHnOkSQZgPhWjkXWltt9Nl/view?usp=sharing","Yes")</f>
        <v>Yes</v>
      </c>
      <c r="H119" s="2" t="s">
        <v>16</v>
      </c>
      <c r="I119" s="15" t="str">
        <f>HYPERLINK("https://drive.google.com/file/d/1pVFo_AS8Nd48BYxw_JvxRmMvOIge-YzV/view?usp=sharing","Yes")</f>
        <v>Yes</v>
      </c>
      <c r="J119" s="15" t="str">
        <f t="shared" si="8"/>
        <v>Alex Lang</v>
      </c>
      <c r="K119" s="2"/>
      <c r="L119" s="9"/>
      <c r="M119" s="9"/>
      <c r="N119" s="9"/>
      <c r="O119" s="9"/>
      <c r="P119" s="9"/>
      <c r="Q119" s="9"/>
      <c r="R119" s="9"/>
      <c r="S119" s="9"/>
      <c r="T119" s="9"/>
      <c r="U119" s="9"/>
      <c r="V119" s="9"/>
      <c r="W119" s="9"/>
      <c r="X119" s="9"/>
      <c r="Y119" s="9"/>
      <c r="Z119" s="9"/>
    </row>
    <row r="120" spans="1:26" ht="13" x14ac:dyDescent="0.15">
      <c r="A120" s="2" t="s">
        <v>230</v>
      </c>
      <c r="B120" s="3">
        <v>2018</v>
      </c>
      <c r="C120" s="2" t="s">
        <v>19</v>
      </c>
      <c r="D120" s="2" t="s">
        <v>27</v>
      </c>
      <c r="E120" s="2" t="s">
        <v>14</v>
      </c>
      <c r="F120" s="15" t="str">
        <f>HYPERLINK("https://drive.google.com/file/d/1TxC-tH0ZNtOEuMQi9wkZUnI7yk-ABpQl/view?usp=sharing","Yes")</f>
        <v>Yes</v>
      </c>
      <c r="G120" s="15" t="str">
        <f>HYPERLINK("https://drive.google.com/file/d/1YyPyRZbo89CpT-3er5PaKepxWQwYjroR/view?usp=sharing","Yes")</f>
        <v>Yes</v>
      </c>
      <c r="H120" s="2" t="s">
        <v>16</v>
      </c>
      <c r="I120" s="2" t="s">
        <v>24</v>
      </c>
      <c r="J120" s="15" t="str">
        <f t="shared" si="8"/>
        <v>Alex Lang</v>
      </c>
      <c r="K120" s="2"/>
      <c r="L120" s="20"/>
      <c r="M120" s="20"/>
      <c r="N120" s="20"/>
      <c r="O120" s="20"/>
      <c r="P120" s="20"/>
      <c r="Q120" s="20"/>
      <c r="R120" s="20"/>
      <c r="S120" s="20"/>
      <c r="T120" s="20"/>
      <c r="U120" s="20"/>
      <c r="V120" s="20"/>
      <c r="W120" s="20"/>
      <c r="X120" s="20"/>
      <c r="Y120" s="20"/>
      <c r="Z120" s="20"/>
    </row>
    <row r="121" spans="1:26" ht="13" x14ac:dyDescent="0.15">
      <c r="A121" s="2" t="s">
        <v>231</v>
      </c>
      <c r="B121" s="3">
        <v>2018</v>
      </c>
      <c r="C121" s="2" t="s">
        <v>133</v>
      </c>
      <c r="D121" s="2" t="s">
        <v>27</v>
      </c>
      <c r="E121" s="2" t="s">
        <v>14</v>
      </c>
      <c r="F121" s="15" t="str">
        <f>HYPERLINK("https://drive.google.com/file/d/1XgFtmaJaydJWWj-dZ6D7F8Yl-Z1qbXhe/view?usp=sharing","Yes")</f>
        <v>Yes</v>
      </c>
      <c r="G121" s="15" t="str">
        <f>HYPERLINK("https://drive.google.com/file/d/1w1pUizOLUsvY4drE3Wcx0fyXFWmSNXLP/view?usp=sharing","Yes")</f>
        <v>Yes</v>
      </c>
      <c r="H121" s="2" t="s">
        <v>16</v>
      </c>
      <c r="I121" s="15" t="str">
        <f>HYPERLINK("https://drive.google.com/file/d/15K5PRaI5YgpbB5U8ygo-FzxCsR4EN3MV/view?usp=sharing","Yes")</f>
        <v>Yes</v>
      </c>
      <c r="J121" s="15" t="str">
        <f t="shared" si="8"/>
        <v>Alex Lang</v>
      </c>
      <c r="K121" s="2"/>
      <c r="L121" s="9"/>
      <c r="M121" s="9"/>
      <c r="N121" s="9"/>
      <c r="O121" s="9"/>
      <c r="P121" s="9"/>
      <c r="Q121" s="9"/>
      <c r="R121" s="9"/>
      <c r="S121" s="9"/>
      <c r="T121" s="9"/>
      <c r="U121" s="9"/>
      <c r="V121" s="9"/>
      <c r="W121" s="9"/>
      <c r="X121" s="9"/>
      <c r="Y121" s="9"/>
      <c r="Z121" s="9"/>
    </row>
    <row r="122" spans="1:26" ht="13" x14ac:dyDescent="0.15">
      <c r="A122" s="2" t="s">
        <v>232</v>
      </c>
      <c r="B122" s="3">
        <v>2018</v>
      </c>
      <c r="C122" s="2" t="s">
        <v>233</v>
      </c>
      <c r="D122" s="2" t="s">
        <v>13</v>
      </c>
      <c r="E122" s="2" t="s">
        <v>14</v>
      </c>
      <c r="F122" s="6" t="s">
        <v>24</v>
      </c>
      <c r="G122" s="15" t="str">
        <f>HYPERLINK("https://tsafavi.github.io/assets/pdf/nsf-personal.pdf","Yes")</f>
        <v>Yes</v>
      </c>
      <c r="H122" s="2" t="s">
        <v>16</v>
      </c>
      <c r="I122" s="2" t="s">
        <v>24</v>
      </c>
      <c r="J122" s="15" t="str">
        <f>HYPERLINK("https://tsafavi.github.io/nsf-grfp.html","Tara Safavi")</f>
        <v>Tara Safavi</v>
      </c>
      <c r="K122" s="15" t="str">
        <f>HYPERLINK("https://tsafavi.github.io/nsf-grfp.html","Yes")</f>
        <v>Yes</v>
      </c>
      <c r="L122" s="9"/>
      <c r="M122" s="9"/>
      <c r="N122" s="9"/>
      <c r="O122" s="9"/>
      <c r="P122" s="9"/>
      <c r="Q122" s="9"/>
      <c r="R122" s="9"/>
      <c r="S122" s="9"/>
      <c r="T122" s="9"/>
      <c r="U122" s="9"/>
      <c r="V122" s="9"/>
      <c r="W122" s="9"/>
      <c r="X122" s="9"/>
      <c r="Y122" s="9"/>
      <c r="Z122" s="9"/>
    </row>
    <row r="123" spans="1:26" ht="13" x14ac:dyDescent="0.15">
      <c r="A123" s="2" t="s">
        <v>234</v>
      </c>
      <c r="B123" s="3">
        <v>2018</v>
      </c>
      <c r="C123" s="2" t="s">
        <v>136</v>
      </c>
      <c r="D123" s="2" t="s">
        <v>27</v>
      </c>
      <c r="E123" s="2" t="s">
        <v>14</v>
      </c>
      <c r="F123" s="15" t="str">
        <f>HYPERLINK("https://drive.google.com/file/d/17WmRQ37mpSZ_RexI-fbs1TQxsqsKtcGF/view?usp=sharing","Yes")</f>
        <v>Yes</v>
      </c>
      <c r="G123" s="15" t="str">
        <f>HYPERLINK("https://drive.google.com/file/d/1wO3uXf1Q4cNXvpElTLc4IhKnYZxNRsO_/view?usp=sharing","Yes")</f>
        <v>Yes</v>
      </c>
      <c r="H123" s="2" t="s">
        <v>16</v>
      </c>
      <c r="I123" s="15" t="str">
        <f>HYPERLINK("https://drive.google.com/file/d/1T76yKjtPU12E9Raaxeu8gy7ClOcuZQJ-/view?usp=sharing","Yes")</f>
        <v>Yes</v>
      </c>
      <c r="J123" s="15" t="str">
        <f t="shared" ref="J123:J129" si="9">HYPERLINK("http://www.alexhunterlang.com/nsf-fellowship","Alex Lang")</f>
        <v>Alex Lang</v>
      </c>
      <c r="K123" s="2"/>
      <c r="L123" s="2"/>
      <c r="M123" s="2"/>
      <c r="N123" s="2"/>
      <c r="O123" s="2"/>
      <c r="P123" s="2"/>
      <c r="Q123" s="2"/>
      <c r="R123" s="2"/>
      <c r="S123" s="2"/>
      <c r="T123" s="2"/>
      <c r="U123" s="2"/>
      <c r="V123" s="2"/>
      <c r="W123" s="2"/>
      <c r="X123" s="2"/>
      <c r="Y123" s="2"/>
      <c r="Z123" s="2"/>
    </row>
    <row r="124" spans="1:26" ht="13" x14ac:dyDescent="0.15">
      <c r="A124" s="2" t="s">
        <v>235</v>
      </c>
      <c r="B124" s="3">
        <v>2018</v>
      </c>
      <c r="C124" s="2" t="s">
        <v>93</v>
      </c>
      <c r="D124" s="2" t="s">
        <v>20</v>
      </c>
      <c r="E124" s="2" t="s">
        <v>14</v>
      </c>
      <c r="F124" s="15" t="str">
        <f>HYPERLINK("https://drive.google.com/file/d/1GdOsj7W2P64BCYjmrNoO56nEwGNcu3sD/view?usp=sharing","Yes")</f>
        <v>Yes</v>
      </c>
      <c r="G124" s="15" t="str">
        <f>HYPERLINK("https://drive.google.com/file/d/19TsJKiVu0tsmFeWd2nAcTOuGrNrG0Aho/view?usp=sharing","Yes")</f>
        <v>Yes</v>
      </c>
      <c r="H124" s="2" t="s">
        <v>16</v>
      </c>
      <c r="I124" s="15" t="str">
        <f>HYPERLINK("https://drive.google.com/file/d/1zzJrxG8QKJfjjXgMFb5JlKNH8xwwp8q7/view?usp=sharing","Yes")</f>
        <v>Yes</v>
      </c>
      <c r="J124" s="15" t="str">
        <f t="shared" si="9"/>
        <v>Alex Lang</v>
      </c>
      <c r="K124" s="2"/>
      <c r="L124" s="20"/>
      <c r="M124" s="20"/>
      <c r="N124" s="20"/>
      <c r="O124" s="20"/>
      <c r="P124" s="20"/>
      <c r="Q124" s="20"/>
      <c r="R124" s="20"/>
      <c r="S124" s="20"/>
      <c r="T124" s="20"/>
      <c r="U124" s="20"/>
      <c r="V124" s="20"/>
      <c r="W124" s="20"/>
      <c r="X124" s="20"/>
      <c r="Y124" s="20"/>
      <c r="Z124" s="20"/>
    </row>
    <row r="125" spans="1:26" ht="13" x14ac:dyDescent="0.15">
      <c r="A125" s="2" t="s">
        <v>48</v>
      </c>
      <c r="B125" s="3">
        <v>2018</v>
      </c>
      <c r="C125" s="2" t="s">
        <v>236</v>
      </c>
      <c r="D125" s="2" t="s">
        <v>27</v>
      </c>
      <c r="E125" s="2" t="s">
        <v>14</v>
      </c>
      <c r="F125" s="15" t="str">
        <f>HYPERLINK("https://drive.google.com/file/d/11Y-DrGd8lvu7Y620H4NX4qjUxnH3eSC8/view?usp=sharing","Yes")</f>
        <v>Yes</v>
      </c>
      <c r="G125" s="15" t="str">
        <f>HYPERLINK("https://drive.google.com/file/d/1-5BPX3-a38-VtEFDIcXON4vbkQ_RAa4p/view?usp=sharing","Yes")</f>
        <v>Yes</v>
      </c>
      <c r="H125" s="2" t="s">
        <v>16</v>
      </c>
      <c r="I125" s="15" t="str">
        <f>HYPERLINK("https://drive.google.com/file/d/1bAKznbJ46VwvWq9HQZBN8ppAO_HDjieg/view?usp=sharing","Yes")</f>
        <v>Yes</v>
      </c>
      <c r="J125" s="15" t="str">
        <f t="shared" si="9"/>
        <v>Alex Lang</v>
      </c>
      <c r="K125" s="2"/>
      <c r="L125" s="2"/>
      <c r="M125" s="2"/>
      <c r="N125" s="2"/>
      <c r="O125" s="2"/>
      <c r="P125" s="2"/>
      <c r="Q125" s="2"/>
      <c r="R125" s="2"/>
      <c r="S125" s="2"/>
      <c r="T125" s="2"/>
      <c r="U125" s="2"/>
      <c r="V125" s="2"/>
      <c r="W125" s="2"/>
      <c r="X125" s="2"/>
      <c r="Y125" s="2"/>
      <c r="Z125" s="2"/>
    </row>
    <row r="126" spans="1:26" ht="13" x14ac:dyDescent="0.15">
      <c r="A126" s="2" t="s">
        <v>237</v>
      </c>
      <c r="B126" s="3">
        <v>2018</v>
      </c>
      <c r="C126" s="2" t="s">
        <v>238</v>
      </c>
      <c r="D126" s="2" t="s">
        <v>27</v>
      </c>
      <c r="E126" s="2" t="s">
        <v>14</v>
      </c>
      <c r="F126" s="8" t="str">
        <f>HYPERLINK("https://drive.google.com/file/d/1bdICv5t-RGtT6GYAh0C4wzbMZ4LGt_Tw/view?usp=sharing","Yes")</f>
        <v>Yes</v>
      </c>
      <c r="G126" s="8" t="str">
        <f>HYPERLINK("https://drive.google.com/file/d/1CFxA4EiN_QO7grinLrX-D6ORZS37NxR9/view?usp=sharing","Yes")</f>
        <v>Yes</v>
      </c>
      <c r="H126" s="2" t="s">
        <v>16</v>
      </c>
      <c r="I126" s="2" t="s">
        <v>24</v>
      </c>
      <c r="J126" s="5" t="str">
        <f t="shared" si="9"/>
        <v>Alex Lang</v>
      </c>
      <c r="K126" s="9"/>
      <c r="L126" s="20"/>
      <c r="M126" s="20"/>
      <c r="N126" s="20"/>
      <c r="O126" s="20"/>
      <c r="P126" s="20"/>
      <c r="Q126" s="20"/>
      <c r="R126" s="20"/>
      <c r="S126" s="20"/>
      <c r="T126" s="20"/>
      <c r="U126" s="20"/>
      <c r="V126" s="20"/>
      <c r="W126" s="20"/>
      <c r="X126" s="20"/>
      <c r="Y126" s="20"/>
      <c r="Z126" s="20"/>
    </row>
    <row r="127" spans="1:26" ht="13" x14ac:dyDescent="0.15">
      <c r="A127" s="2" t="s">
        <v>239</v>
      </c>
      <c r="B127" s="3">
        <v>2018</v>
      </c>
      <c r="C127" s="2" t="s">
        <v>240</v>
      </c>
      <c r="D127" s="2" t="s">
        <v>20</v>
      </c>
      <c r="E127" s="2" t="s">
        <v>14</v>
      </c>
      <c r="F127" s="15" t="str">
        <f>HYPERLINK("https://drive.google.com/file/d/19NHeyLf3fMF_MpEKyI8ANOaghYKJVE-B/view?usp=sharing","Yes")</f>
        <v>Yes</v>
      </c>
      <c r="G127" s="15" t="str">
        <f>HYPERLINK("https://drive.google.com/file/d/1dy5ybT6KG0HxUxOn4AyWxx3CWGMs8xnz/view?usp=sharing","Yes")</f>
        <v>Yes</v>
      </c>
      <c r="H127" s="2" t="s">
        <v>16</v>
      </c>
      <c r="I127" s="15" t="str">
        <f>HYPERLINK("https://drive.google.com/file/d/1JMMtkbyKh7oIz6PalMqp4TKvKw0gJIm0/view?usp=sharing","Yes")</f>
        <v>Yes</v>
      </c>
      <c r="J127" s="15" t="str">
        <f t="shared" si="9"/>
        <v>Alex Lang</v>
      </c>
      <c r="K127" s="2"/>
      <c r="L127" s="20"/>
      <c r="M127" s="20"/>
      <c r="N127" s="20"/>
      <c r="O127" s="20"/>
      <c r="P127" s="20"/>
      <c r="Q127" s="20"/>
      <c r="R127" s="20"/>
      <c r="S127" s="20"/>
      <c r="T127" s="20"/>
      <c r="U127" s="20"/>
      <c r="V127" s="20"/>
      <c r="W127" s="20"/>
      <c r="X127" s="20"/>
      <c r="Y127" s="20"/>
      <c r="Z127" s="20"/>
    </row>
    <row r="128" spans="1:26" ht="13" x14ac:dyDescent="0.15">
      <c r="A128" s="2" t="s">
        <v>241</v>
      </c>
      <c r="B128" s="3">
        <v>2018</v>
      </c>
      <c r="C128" s="2" t="s">
        <v>242</v>
      </c>
      <c r="D128" s="2" t="s">
        <v>27</v>
      </c>
      <c r="E128" s="2" t="s">
        <v>14</v>
      </c>
      <c r="F128" s="2" t="s">
        <v>24</v>
      </c>
      <c r="G128" s="15" t="str">
        <f>HYPERLINK("https://drive.google.com/file/d/1DgKUVOsDpX8UJHYHYPZTypASgG2Ppm3_/view?usp=sharing","Yes")</f>
        <v>Yes</v>
      </c>
      <c r="H128" s="2" t="s">
        <v>16</v>
      </c>
      <c r="I128" s="2" t="s">
        <v>24</v>
      </c>
      <c r="J128" s="15" t="str">
        <f t="shared" si="9"/>
        <v>Alex Lang</v>
      </c>
      <c r="K128" s="2"/>
      <c r="L128" s="9"/>
      <c r="M128" s="9"/>
      <c r="N128" s="9"/>
      <c r="O128" s="9"/>
      <c r="P128" s="9"/>
      <c r="Q128" s="9"/>
      <c r="R128" s="9"/>
      <c r="S128" s="9"/>
      <c r="T128" s="9"/>
      <c r="U128" s="9"/>
      <c r="V128" s="9"/>
      <c r="W128" s="9"/>
      <c r="X128" s="9"/>
      <c r="Y128" s="9"/>
      <c r="Z128" s="9"/>
    </row>
    <row r="129" spans="1:26" ht="13" x14ac:dyDescent="0.15">
      <c r="A129" s="2" t="s">
        <v>243</v>
      </c>
      <c r="B129" s="3">
        <v>2018</v>
      </c>
      <c r="C129" s="2" t="s">
        <v>244</v>
      </c>
      <c r="D129" s="2" t="s">
        <v>20</v>
      </c>
      <c r="E129" s="2" t="s">
        <v>14</v>
      </c>
      <c r="F129" s="15" t="str">
        <f>HYPERLINK("https://drive.google.com/file/d/1wthU5wi9_EbiOjGMwP_zSyANovrTIqzQ/view?usp=sharing","Yes")</f>
        <v>Yes</v>
      </c>
      <c r="G129" s="15" t="str">
        <f>HYPERLINK("https://drive.google.com/file/d/1Bdq91eMnEyLIsCRMA5GvagqKAwCmGfWt/view?usp=sharing","Yes")</f>
        <v>Yes</v>
      </c>
      <c r="H129" s="2" t="s">
        <v>16</v>
      </c>
      <c r="I129" s="15" t="str">
        <f>HYPERLINK("https://drive.google.com/file/d/1L0t9Br-pQq2Cs3J1MUpL9IgF4YMWJWPW/view?usp=sharing","Yes")</f>
        <v>Yes</v>
      </c>
      <c r="J129" s="15" t="str">
        <f t="shared" si="9"/>
        <v>Alex Lang</v>
      </c>
      <c r="K129" s="2"/>
      <c r="L129" s="9"/>
      <c r="M129" s="9"/>
      <c r="N129" s="9"/>
      <c r="O129" s="9"/>
      <c r="P129" s="9"/>
      <c r="Q129" s="9"/>
      <c r="R129" s="9"/>
      <c r="S129" s="9"/>
      <c r="T129" s="9"/>
      <c r="U129" s="9"/>
      <c r="V129" s="9"/>
      <c r="W129" s="9"/>
      <c r="X129" s="9"/>
      <c r="Y129" s="9"/>
      <c r="Z129" s="9"/>
    </row>
    <row r="130" spans="1:26" ht="13" x14ac:dyDescent="0.15">
      <c r="A130" s="2" t="s">
        <v>245</v>
      </c>
      <c r="B130" s="3">
        <v>2018</v>
      </c>
      <c r="C130" s="2" t="s">
        <v>32</v>
      </c>
      <c r="D130" s="2" t="s">
        <v>27</v>
      </c>
      <c r="E130" s="2" t="s">
        <v>14</v>
      </c>
      <c r="F130" s="15" t="str">
        <f>HYPERLINK("http://walker.gosrich.com/files/researchstatement.pdf","Yes")</f>
        <v>Yes</v>
      </c>
      <c r="G130" s="15" t="str">
        <f>HYPERLINK("http://walker.gosrich.com/files/personalstatement.pdf","Yes")</f>
        <v>Yes</v>
      </c>
      <c r="H130" s="2" t="s">
        <v>16</v>
      </c>
      <c r="I130" s="15" t="str">
        <f>HYPERLINK("http://walker.gosrich.com/files/nsfreviews.pdf","Yes")</f>
        <v>Yes</v>
      </c>
      <c r="J130" s="2" t="s">
        <v>245</v>
      </c>
      <c r="K130" s="2"/>
      <c r="L130" s="9"/>
      <c r="M130" s="9"/>
      <c r="N130" s="9"/>
      <c r="O130" s="9"/>
      <c r="P130" s="9"/>
      <c r="Q130" s="9"/>
      <c r="R130" s="9"/>
      <c r="S130" s="9"/>
      <c r="T130" s="9"/>
      <c r="U130" s="9"/>
      <c r="V130" s="9"/>
      <c r="W130" s="9"/>
      <c r="X130" s="9"/>
      <c r="Y130" s="9"/>
      <c r="Z130" s="9"/>
    </row>
    <row r="131" spans="1:26" ht="13" x14ac:dyDescent="0.15">
      <c r="A131" s="2" t="s">
        <v>246</v>
      </c>
      <c r="B131" s="3">
        <v>2018</v>
      </c>
      <c r="C131" s="2" t="s">
        <v>32</v>
      </c>
      <c r="D131" s="2" t="s">
        <v>27</v>
      </c>
      <c r="E131" s="2" t="s">
        <v>14</v>
      </c>
      <c r="F131" s="8" t="str">
        <f>HYPERLINK("https://drive.google.com/file/d/1jDocCs3SkDOxoVPnz3MHD3l5RGgN9A_n/view?usp=sharing","Yes")</f>
        <v>Yes</v>
      </c>
      <c r="G131" s="8" t="str">
        <f>HYPERLINK("https://drive.google.com/file/d/1vfPkbtFKzA_kBJFV49oNz9FeuzGGJAa9/view?usp=sharing","Yes")</f>
        <v>Yes</v>
      </c>
      <c r="H131" s="2" t="s">
        <v>16</v>
      </c>
      <c r="I131" s="8" t="str">
        <f>HYPERLINK("https://drive.google.com/file/d/1Rhr3aUWjqn5GnWN_dxYoqZ02-fi-QzWc/view?usp=sharing","Yes")</f>
        <v>Yes</v>
      </c>
      <c r="J131" s="5" t="str">
        <f t="shared" ref="J131:J133" si="10">HYPERLINK("http://www.alexhunterlang.com/nsf-fellowship","Alex Lang")</f>
        <v>Alex Lang</v>
      </c>
      <c r="K131" s="9"/>
      <c r="L131" s="9"/>
      <c r="M131" s="9"/>
      <c r="N131" s="9"/>
      <c r="O131" s="9"/>
      <c r="P131" s="9"/>
      <c r="Q131" s="9"/>
      <c r="R131" s="9"/>
      <c r="S131" s="9"/>
      <c r="T131" s="9"/>
      <c r="U131" s="9"/>
      <c r="V131" s="9"/>
      <c r="W131" s="9"/>
      <c r="X131" s="9"/>
      <c r="Y131" s="9"/>
      <c r="Z131" s="9"/>
    </row>
    <row r="132" spans="1:26" ht="13" x14ac:dyDescent="0.15">
      <c r="A132" s="2" t="s">
        <v>247</v>
      </c>
      <c r="B132" s="3">
        <v>2018</v>
      </c>
      <c r="C132" s="2" t="s">
        <v>248</v>
      </c>
      <c r="D132" s="2" t="s">
        <v>27</v>
      </c>
      <c r="E132" s="2" t="s">
        <v>14</v>
      </c>
      <c r="F132" s="15" t="str">
        <f>HYPERLINK("https://drive.google.com/file/d/1MD4Alaezz9jgapduoYtUdPhO7m-4-SOX/view?usp=sharing","Yes")</f>
        <v>Yes</v>
      </c>
      <c r="G132" s="15" t="str">
        <f>HYPERLINK("https://drive.google.com/file/d/1zZ-G3b2QYTXuUAmWWpcLkse3RLYXCkJT/view?usp=sharing","Yes")</f>
        <v>Yes</v>
      </c>
      <c r="H132" s="2" t="s">
        <v>16</v>
      </c>
      <c r="I132" s="2" t="s">
        <v>24</v>
      </c>
      <c r="J132" s="15" t="str">
        <f t="shared" si="10"/>
        <v>Alex Lang</v>
      </c>
      <c r="K132" s="2"/>
      <c r="L132" s="20"/>
      <c r="M132" s="20"/>
      <c r="N132" s="20"/>
      <c r="O132" s="20"/>
      <c r="P132" s="20"/>
      <c r="Q132" s="20"/>
      <c r="R132" s="20"/>
      <c r="S132" s="20"/>
      <c r="T132" s="20"/>
      <c r="U132" s="20"/>
      <c r="V132" s="20"/>
      <c r="W132" s="20"/>
      <c r="X132" s="20"/>
      <c r="Y132" s="20"/>
      <c r="Z132" s="20"/>
    </row>
    <row r="133" spans="1:26" ht="13" x14ac:dyDescent="0.15">
      <c r="A133" s="2" t="s">
        <v>249</v>
      </c>
      <c r="B133" s="3">
        <v>2018</v>
      </c>
      <c r="C133" s="2" t="s">
        <v>250</v>
      </c>
      <c r="D133" s="2" t="s">
        <v>20</v>
      </c>
      <c r="E133" s="2" t="s">
        <v>14</v>
      </c>
      <c r="F133" s="15" t="str">
        <f>HYPERLINK("https://drive.google.com/file/d/1JzqV4_I97EBje2nfcKIfNX1UhSByNBh9/view?usp=sharing","Yes")</f>
        <v>Yes</v>
      </c>
      <c r="G133" s="15" t="str">
        <f>HYPERLINK("https://drive.google.com/file/d/1w8loGEVUGEyGqYYnL7b18B42URG5AX41/view?usp=sharing","Yes")</f>
        <v>Yes</v>
      </c>
      <c r="H133" s="2" t="s">
        <v>16</v>
      </c>
      <c r="I133" s="15" t="str">
        <f>HYPERLINK("https://drive.google.com/file/d/1-5iVY8Lz--hPS6Lh6iasuImrQ6U6sHdK/view?usp=sharing","Yes")</f>
        <v>Yes</v>
      </c>
      <c r="J133" s="15" t="str">
        <f t="shared" si="10"/>
        <v>Alex Lang</v>
      </c>
      <c r="K133" s="2"/>
      <c r="L133" s="9"/>
      <c r="M133" s="9"/>
      <c r="N133" s="9"/>
      <c r="O133" s="9"/>
      <c r="P133" s="9"/>
      <c r="Q133" s="9"/>
      <c r="R133" s="9"/>
      <c r="S133" s="9"/>
      <c r="T133" s="9"/>
      <c r="U133" s="9"/>
      <c r="V133" s="9"/>
      <c r="W133" s="9"/>
      <c r="X133" s="9"/>
      <c r="Y133" s="9"/>
      <c r="Z133" s="9"/>
    </row>
    <row r="134" spans="1:26" ht="13" x14ac:dyDescent="0.15">
      <c r="A134" s="2" t="s">
        <v>251</v>
      </c>
      <c r="B134" s="3">
        <v>2018</v>
      </c>
      <c r="C134" s="2" t="s">
        <v>170</v>
      </c>
      <c r="D134" s="2" t="s">
        <v>20</v>
      </c>
      <c r="E134" s="2" t="s">
        <v>14</v>
      </c>
      <c r="F134" s="4" t="s">
        <v>15</v>
      </c>
      <c r="G134" s="4" t="s">
        <v>15</v>
      </c>
      <c r="H134" s="2" t="s">
        <v>16</v>
      </c>
      <c r="I134" s="4" t="s">
        <v>15</v>
      </c>
      <c r="J134" s="2" t="s">
        <v>251</v>
      </c>
      <c r="K134" s="2"/>
      <c r="L134" s="20"/>
      <c r="M134" s="20"/>
      <c r="N134" s="20"/>
      <c r="O134" s="20"/>
      <c r="P134" s="20"/>
      <c r="Q134" s="20"/>
      <c r="R134" s="20"/>
      <c r="S134" s="20"/>
      <c r="T134" s="20"/>
      <c r="U134" s="20"/>
      <c r="V134" s="20"/>
      <c r="W134" s="20"/>
      <c r="X134" s="20"/>
      <c r="Y134" s="20"/>
      <c r="Z134" s="20"/>
    </row>
    <row r="135" spans="1:26" ht="13" x14ac:dyDescent="0.15">
      <c r="A135" s="2" t="s">
        <v>252</v>
      </c>
      <c r="B135" s="3">
        <v>2018</v>
      </c>
      <c r="C135" s="2" t="s">
        <v>253</v>
      </c>
      <c r="D135" s="2" t="s">
        <v>20</v>
      </c>
      <c r="E135" s="2" t="s">
        <v>14</v>
      </c>
      <c r="F135" s="4" t="s">
        <v>15</v>
      </c>
      <c r="G135" s="4" t="s">
        <v>15</v>
      </c>
      <c r="H135" s="2" t="s">
        <v>16</v>
      </c>
      <c r="I135" s="4" t="s">
        <v>15</v>
      </c>
      <c r="J135" s="2" t="s">
        <v>252</v>
      </c>
      <c r="K135" s="7" t="s">
        <v>15</v>
      </c>
      <c r="L135" s="9"/>
      <c r="M135" s="9"/>
      <c r="N135" s="9"/>
      <c r="O135" s="9"/>
      <c r="P135" s="9"/>
      <c r="Q135" s="9"/>
      <c r="R135" s="9"/>
      <c r="S135" s="9"/>
      <c r="T135" s="9"/>
      <c r="U135" s="9"/>
      <c r="V135" s="9"/>
      <c r="W135" s="9"/>
      <c r="X135" s="9"/>
      <c r="Y135" s="9"/>
      <c r="Z135" s="9"/>
    </row>
    <row r="136" spans="1:26" ht="13" x14ac:dyDescent="0.15">
      <c r="A136" s="2" t="s">
        <v>48</v>
      </c>
      <c r="B136" s="3">
        <v>2018</v>
      </c>
      <c r="C136" s="2" t="s">
        <v>199</v>
      </c>
      <c r="D136" s="2" t="s">
        <v>20</v>
      </c>
      <c r="E136" s="2" t="s">
        <v>14</v>
      </c>
      <c r="F136" s="2" t="s">
        <v>24</v>
      </c>
      <c r="G136" s="5" t="s">
        <v>15</v>
      </c>
      <c r="H136" s="2" t="s">
        <v>16</v>
      </c>
      <c r="I136" s="2" t="s">
        <v>24</v>
      </c>
      <c r="J136" s="5" t="s">
        <v>201</v>
      </c>
      <c r="K136" s="2"/>
      <c r="L136" s="20"/>
      <c r="M136" s="20"/>
      <c r="N136" s="20"/>
      <c r="O136" s="20"/>
      <c r="P136" s="20"/>
      <c r="Q136" s="20"/>
      <c r="R136" s="20"/>
      <c r="S136" s="20"/>
      <c r="T136" s="20"/>
      <c r="U136" s="20"/>
      <c r="V136" s="20"/>
      <c r="W136" s="20"/>
      <c r="X136" s="20"/>
      <c r="Y136" s="20"/>
      <c r="Z136" s="20"/>
    </row>
    <row r="137" spans="1:26" ht="13" x14ac:dyDescent="0.15">
      <c r="A137" s="2" t="s">
        <v>48</v>
      </c>
      <c r="B137" s="3">
        <v>2018</v>
      </c>
      <c r="C137" s="2" t="s">
        <v>149</v>
      </c>
      <c r="D137" s="2" t="s">
        <v>20</v>
      </c>
      <c r="E137" s="2" t="s">
        <v>14</v>
      </c>
      <c r="F137" s="5" t="s">
        <v>15</v>
      </c>
      <c r="G137" s="2" t="s">
        <v>24</v>
      </c>
      <c r="H137" s="2" t="s">
        <v>16</v>
      </c>
      <c r="I137" s="2" t="s">
        <v>24</v>
      </c>
      <c r="J137" s="5" t="s">
        <v>201</v>
      </c>
      <c r="K137" s="2"/>
      <c r="L137" s="2"/>
      <c r="M137" s="2"/>
      <c r="N137" s="2"/>
      <c r="O137" s="2"/>
      <c r="P137" s="2"/>
      <c r="Q137" s="2"/>
      <c r="R137" s="2"/>
      <c r="S137" s="2"/>
      <c r="T137" s="2"/>
      <c r="U137" s="2"/>
      <c r="V137" s="2"/>
      <c r="W137" s="2"/>
      <c r="X137" s="2"/>
      <c r="Y137" s="2"/>
      <c r="Z137" s="2"/>
    </row>
    <row r="138" spans="1:26" ht="13" x14ac:dyDescent="0.15">
      <c r="A138" s="2" t="s">
        <v>254</v>
      </c>
      <c r="B138" s="3">
        <v>2018</v>
      </c>
      <c r="C138" s="2" t="s">
        <v>26</v>
      </c>
      <c r="D138" s="2" t="s">
        <v>13</v>
      </c>
      <c r="E138" s="2" t="s">
        <v>14</v>
      </c>
      <c r="F138" s="4" t="s">
        <v>15</v>
      </c>
      <c r="G138" s="4" t="s">
        <v>15</v>
      </c>
      <c r="H138" s="2" t="s">
        <v>16</v>
      </c>
      <c r="I138" s="2" t="s">
        <v>24</v>
      </c>
      <c r="J138" s="5" t="str">
        <f t="shared" ref="J138:J147" si="11">HYPERLINK("http://www.alexhunterlang.com/nsf-fellowship","Alex Lang")</f>
        <v>Alex Lang</v>
      </c>
      <c r="K138" s="2"/>
      <c r="L138" s="9"/>
      <c r="M138" s="9"/>
      <c r="N138" s="9"/>
      <c r="O138" s="9"/>
      <c r="P138" s="9"/>
      <c r="Q138" s="9"/>
      <c r="R138" s="9"/>
      <c r="S138" s="9"/>
      <c r="T138" s="9"/>
      <c r="U138" s="9"/>
      <c r="V138" s="9"/>
      <c r="W138" s="9"/>
      <c r="X138" s="9"/>
      <c r="Y138" s="9"/>
      <c r="Z138" s="9"/>
    </row>
    <row r="139" spans="1:26" ht="13" x14ac:dyDescent="0.15">
      <c r="A139" s="2" t="s">
        <v>255</v>
      </c>
      <c r="B139" s="3">
        <v>2018</v>
      </c>
      <c r="C139" s="2" t="s">
        <v>221</v>
      </c>
      <c r="D139" s="2" t="s">
        <v>27</v>
      </c>
      <c r="E139" s="2" t="s">
        <v>14</v>
      </c>
      <c r="F139" s="4" t="s">
        <v>15</v>
      </c>
      <c r="G139" s="4" t="s">
        <v>15</v>
      </c>
      <c r="H139" s="2" t="s">
        <v>16</v>
      </c>
      <c r="I139" s="4" t="s">
        <v>15</v>
      </c>
      <c r="J139" s="5" t="str">
        <f t="shared" si="11"/>
        <v>Alex Lang</v>
      </c>
      <c r="K139" s="2"/>
      <c r="L139" s="2"/>
      <c r="M139" s="2"/>
      <c r="N139" s="2"/>
      <c r="O139" s="2"/>
      <c r="P139" s="2"/>
      <c r="Q139" s="2"/>
      <c r="R139" s="2"/>
      <c r="S139" s="2"/>
      <c r="T139" s="2"/>
      <c r="U139" s="2"/>
      <c r="V139" s="2"/>
      <c r="W139" s="2"/>
      <c r="X139" s="2"/>
      <c r="Y139" s="2"/>
      <c r="Z139" s="2"/>
    </row>
    <row r="140" spans="1:26" ht="13" x14ac:dyDescent="0.15">
      <c r="A140" s="2" t="s">
        <v>256</v>
      </c>
      <c r="B140" s="3">
        <v>2018</v>
      </c>
      <c r="C140" s="2" t="s">
        <v>253</v>
      </c>
      <c r="D140" s="2" t="s">
        <v>20</v>
      </c>
      <c r="E140" s="2" t="s">
        <v>14</v>
      </c>
      <c r="F140" s="4" t="s">
        <v>15</v>
      </c>
      <c r="G140" s="5" t="s">
        <v>15</v>
      </c>
      <c r="H140" s="2" t="s">
        <v>16</v>
      </c>
      <c r="I140" s="4" t="s">
        <v>15</v>
      </c>
      <c r="J140" s="5" t="str">
        <f t="shared" si="11"/>
        <v>Alex Lang</v>
      </c>
      <c r="K140" s="4" t="s">
        <v>15</v>
      </c>
      <c r="L140" s="20"/>
      <c r="M140" s="20"/>
      <c r="N140" s="20"/>
      <c r="O140" s="20"/>
      <c r="P140" s="20"/>
      <c r="Q140" s="20"/>
      <c r="R140" s="20"/>
      <c r="S140" s="20"/>
      <c r="T140" s="20"/>
      <c r="U140" s="20"/>
      <c r="V140" s="20"/>
      <c r="W140" s="20"/>
      <c r="X140" s="20"/>
      <c r="Y140" s="20"/>
      <c r="Z140" s="20"/>
    </row>
    <row r="141" spans="1:26" ht="13" x14ac:dyDescent="0.15">
      <c r="A141" s="2" t="s">
        <v>257</v>
      </c>
      <c r="B141" s="3">
        <v>2017</v>
      </c>
      <c r="C141" s="2" t="s">
        <v>170</v>
      </c>
      <c r="D141" s="2" t="s">
        <v>27</v>
      </c>
      <c r="E141" s="2" t="s">
        <v>14</v>
      </c>
      <c r="F141" s="21" t="str">
        <f>HYPERLINK("https://drive.google.com/file/d/0BxTJoMOw_GADSTQxY0NKWklXaFk/view?usp=sharing","Yes")</f>
        <v>Yes</v>
      </c>
      <c r="G141" s="21" t="str">
        <f>HYPERLINK("https://drive.google.com/file/d/0BxTJoMOw_GADdmN3cFR1azlqeDg/view?usp=sharing","Yes")</f>
        <v>Yes</v>
      </c>
      <c r="H141" s="2" t="s">
        <v>16</v>
      </c>
      <c r="I141" s="2" t="s">
        <v>24</v>
      </c>
      <c r="J141" s="15" t="str">
        <f t="shared" si="11"/>
        <v>Alex Lang</v>
      </c>
      <c r="K141" s="2"/>
      <c r="L141" s="2"/>
      <c r="M141" s="2"/>
      <c r="N141" s="2"/>
      <c r="O141" s="2"/>
      <c r="P141" s="2"/>
      <c r="Q141" s="2"/>
      <c r="R141" s="2"/>
      <c r="S141" s="2"/>
      <c r="T141" s="2"/>
      <c r="U141" s="2"/>
      <c r="V141" s="2"/>
      <c r="W141" s="2"/>
      <c r="X141" s="2"/>
      <c r="Y141" s="2"/>
      <c r="Z141" s="2"/>
    </row>
    <row r="142" spans="1:26" ht="13" x14ac:dyDescent="0.15">
      <c r="A142" s="2" t="s">
        <v>258</v>
      </c>
      <c r="B142" s="3">
        <v>2017</v>
      </c>
      <c r="C142" s="2" t="s">
        <v>34</v>
      </c>
      <c r="D142" s="2" t="s">
        <v>27</v>
      </c>
      <c r="E142" s="2" t="s">
        <v>14</v>
      </c>
      <c r="F142" s="22" t="str">
        <f>HYPERLINK("https://drive.google.com/file/d/0BxTJoMOw_GADc1pvbmotSTFVcFU/view?usp=sharing","Yes")</f>
        <v>Yes</v>
      </c>
      <c r="G142" s="23" t="str">
        <f>HYPERLINK("https://drive.google.com/file/d/0BxTJoMOw_GADcWRVNXJTeThhZ0k/view?usp=sharing","Yes")</f>
        <v>Yes</v>
      </c>
      <c r="H142" s="2" t="s">
        <v>16</v>
      </c>
      <c r="I142" s="23" t="str">
        <f>HYPERLINK("https://drive.google.com/file/d/0BxTJoMOw_GADNUdsRW9ETGhiN1U/view?usp=sharing","Yes")</f>
        <v>Yes</v>
      </c>
      <c r="J142" s="15" t="str">
        <f t="shared" si="11"/>
        <v>Alex Lang</v>
      </c>
      <c r="K142" s="2"/>
      <c r="L142" s="9"/>
      <c r="M142" s="9"/>
      <c r="N142" s="9"/>
      <c r="O142" s="9"/>
      <c r="P142" s="9"/>
      <c r="Q142" s="9"/>
      <c r="R142" s="9"/>
      <c r="S142" s="9"/>
      <c r="T142" s="9"/>
      <c r="U142" s="9"/>
      <c r="V142" s="9"/>
      <c r="W142" s="9"/>
      <c r="X142" s="9"/>
      <c r="Y142" s="9"/>
      <c r="Z142" s="9"/>
    </row>
    <row r="143" spans="1:26" ht="13" x14ac:dyDescent="0.15">
      <c r="A143" s="2" t="s">
        <v>259</v>
      </c>
      <c r="B143" s="3">
        <v>2017</v>
      </c>
      <c r="C143" s="2" t="s">
        <v>52</v>
      </c>
      <c r="D143" s="2" t="s">
        <v>27</v>
      </c>
      <c r="E143" s="2" t="s">
        <v>14</v>
      </c>
      <c r="F143" s="21" t="str">
        <f>HYPERLINK("https://drive.google.com/file/d/0BxTJoMOw_GADSVUwYjcyUXdqUXM/view?usp=sharing","Yes")</f>
        <v>Yes</v>
      </c>
      <c r="G143" s="21" t="str">
        <f>HYPERLINK("https://drive.google.com/file/d/0BxTJoMOw_GADa0FLNjFiWkNXckk/view?usp=sharing","Yes")</f>
        <v>Yes</v>
      </c>
      <c r="H143" s="2" t="s">
        <v>16</v>
      </c>
      <c r="I143" s="2" t="s">
        <v>24</v>
      </c>
      <c r="J143" s="15" t="str">
        <f t="shared" si="11"/>
        <v>Alex Lang</v>
      </c>
      <c r="K143" s="2"/>
      <c r="L143" s="2"/>
      <c r="M143" s="2"/>
      <c r="N143" s="2"/>
      <c r="O143" s="2"/>
      <c r="P143" s="2"/>
      <c r="Q143" s="2"/>
      <c r="R143" s="2"/>
      <c r="S143" s="2"/>
      <c r="T143" s="2"/>
      <c r="U143" s="2"/>
      <c r="V143" s="2"/>
      <c r="W143" s="2"/>
      <c r="X143" s="2"/>
      <c r="Y143" s="2"/>
      <c r="Z143" s="2"/>
    </row>
    <row r="144" spans="1:26" ht="13" x14ac:dyDescent="0.15">
      <c r="A144" s="6" t="s">
        <v>260</v>
      </c>
      <c r="B144" s="10">
        <v>2017</v>
      </c>
      <c r="C144" s="6" t="s">
        <v>83</v>
      </c>
      <c r="D144" s="2" t="s">
        <v>20</v>
      </c>
      <c r="E144" s="2" t="s">
        <v>14</v>
      </c>
      <c r="F144" s="22" t="str">
        <f>HYPERLINK("https://drive.google.com/open?id=0BxTJoMOw_GADVzZIVWFhWVo0RlE","Yes")</f>
        <v>Yes</v>
      </c>
      <c r="G144" s="24" t="str">
        <f>HYPERLINK("https://drive.google.com/open?id=0BxTJoMOw_GADODBzbG1pRWhjcjA","Yes")</f>
        <v>Yes</v>
      </c>
      <c r="H144" s="2" t="s">
        <v>16</v>
      </c>
      <c r="I144" s="24" t="str">
        <f>HYPERLINK("https://drive.google.com/open?id=0BxTJoMOw_GADVmJ6a05VT3F3UWc","Yes")</f>
        <v>Yes</v>
      </c>
      <c r="J144" s="25" t="str">
        <f t="shared" si="11"/>
        <v>Alex Lang</v>
      </c>
      <c r="K144" s="2"/>
      <c r="L144" s="2"/>
      <c r="M144" s="2"/>
      <c r="N144" s="2"/>
      <c r="O144" s="2"/>
      <c r="P144" s="2"/>
      <c r="Q144" s="2"/>
      <c r="R144" s="2"/>
      <c r="S144" s="2"/>
      <c r="T144" s="2"/>
      <c r="U144" s="2"/>
      <c r="V144" s="2"/>
      <c r="W144" s="2"/>
      <c r="X144" s="2"/>
      <c r="Y144" s="2"/>
      <c r="Z144" s="2"/>
    </row>
    <row r="145" spans="1:26" ht="13" x14ac:dyDescent="0.15">
      <c r="A145" s="2" t="s">
        <v>48</v>
      </c>
      <c r="B145" s="3">
        <v>2017</v>
      </c>
      <c r="C145" s="2" t="s">
        <v>261</v>
      </c>
      <c r="D145" s="2" t="s">
        <v>27</v>
      </c>
      <c r="E145" s="2" t="s">
        <v>14</v>
      </c>
      <c r="F145" s="26" t="str">
        <f>HYPERLINK("https://drive.google.com/open?id=0BxTJoMOw_GADZmZ4SHN3UGZ0aDQ","Yes")</f>
        <v>Yes</v>
      </c>
      <c r="G145" s="27" t="str">
        <f>HYPERLINK("https://drive.google.com/open?id=0BxTJoMOw_GADMC1XbGpQcXd6UHM","Yes")</f>
        <v>Yes</v>
      </c>
      <c r="H145" s="2" t="s">
        <v>16</v>
      </c>
      <c r="I145" s="27" t="str">
        <f>HYPERLINK("https://drive.google.com/open?id=0BxTJoMOw_GADV3hpNXV0bDJINzQ","Yes")</f>
        <v>Yes</v>
      </c>
      <c r="J145" s="25" t="str">
        <f t="shared" si="11"/>
        <v>Alex Lang</v>
      </c>
      <c r="K145" s="2"/>
      <c r="L145" s="2"/>
      <c r="M145" s="2"/>
      <c r="N145" s="2"/>
      <c r="O145" s="2"/>
      <c r="P145" s="2"/>
      <c r="Q145" s="2"/>
      <c r="R145" s="2"/>
      <c r="S145" s="2"/>
      <c r="T145" s="2"/>
      <c r="U145" s="2"/>
      <c r="V145" s="2"/>
      <c r="W145" s="2"/>
      <c r="X145" s="2"/>
      <c r="Y145" s="2"/>
      <c r="Z145" s="2"/>
    </row>
    <row r="146" spans="1:26" ht="13" x14ac:dyDescent="0.15">
      <c r="A146" s="2" t="s">
        <v>262</v>
      </c>
      <c r="B146" s="3">
        <v>2017</v>
      </c>
      <c r="C146" s="2" t="s">
        <v>233</v>
      </c>
      <c r="D146" s="2" t="s">
        <v>27</v>
      </c>
      <c r="E146" s="2" t="s">
        <v>14</v>
      </c>
      <c r="F146" s="22" t="str">
        <f>HYPERLINK("https://drive.google.com/file/d/0BxTJoMOw_GADYmktWEpUdXhXQm8/view?usp=sharing","Yes")</f>
        <v>Yes</v>
      </c>
      <c r="G146" s="21" t="str">
        <f>HYPERLINK("https://drive.google.com/file/d/0BxTJoMOw_GADRTJxVTRVd0FnLUk/view?usp=sharing","Yes")</f>
        <v>Yes</v>
      </c>
      <c r="H146" s="2" t="s">
        <v>16</v>
      </c>
      <c r="I146" s="24" t="str">
        <f>HYPERLINK("https://drive.google.com/drive/folders/0BxTJoMOw_GADZDk4OWRhNzItMDgwMC00NDg1LTk0YWItOWY5MTRiMjRjODM1","Yes")</f>
        <v>Yes</v>
      </c>
      <c r="J146" s="25" t="str">
        <f t="shared" si="11"/>
        <v>Alex Lang</v>
      </c>
      <c r="K146" s="2"/>
      <c r="L146" s="2"/>
      <c r="M146" s="2"/>
      <c r="N146" s="2"/>
      <c r="O146" s="2"/>
      <c r="P146" s="2"/>
      <c r="Q146" s="2"/>
      <c r="R146" s="2"/>
      <c r="S146" s="2"/>
      <c r="T146" s="2"/>
      <c r="U146" s="2"/>
      <c r="V146" s="2"/>
      <c r="W146" s="2"/>
      <c r="X146" s="2"/>
      <c r="Y146" s="2"/>
      <c r="Z146" s="2"/>
    </row>
    <row r="147" spans="1:26" ht="13" x14ac:dyDescent="0.15">
      <c r="A147" s="2" t="s">
        <v>263</v>
      </c>
      <c r="B147" s="3">
        <v>2017</v>
      </c>
      <c r="C147" s="2" t="s">
        <v>93</v>
      </c>
      <c r="D147" s="2" t="s">
        <v>13</v>
      </c>
      <c r="E147" s="2" t="s">
        <v>14</v>
      </c>
      <c r="F147" s="22" t="str">
        <f>HYPERLINK("https://drive.google.com/file/d/0BxTJoMOw_GADdXhCb0VOV0Vmemc/view?usp=sharing","Yes")</f>
        <v>Yes</v>
      </c>
      <c r="G147" s="23" t="str">
        <f>HYPERLINK("https://drive.google.com/file/d/0BxTJoMOw_GADR005TjBqYjFsbjA/view?usp=sharing","Yes")</f>
        <v>Yes</v>
      </c>
      <c r="H147" s="2" t="s">
        <v>16</v>
      </c>
      <c r="I147" s="2" t="s">
        <v>24</v>
      </c>
      <c r="J147" s="25" t="str">
        <f t="shared" si="11"/>
        <v>Alex Lang</v>
      </c>
      <c r="K147" s="2"/>
      <c r="L147" s="2"/>
      <c r="M147" s="2"/>
      <c r="N147" s="2"/>
      <c r="O147" s="2"/>
      <c r="P147" s="2"/>
      <c r="Q147" s="2"/>
      <c r="R147" s="2"/>
      <c r="S147" s="2"/>
      <c r="T147" s="2"/>
      <c r="U147" s="2"/>
      <c r="V147" s="2"/>
      <c r="W147" s="2"/>
      <c r="X147" s="2"/>
      <c r="Y147" s="2"/>
      <c r="Z147" s="2"/>
    </row>
    <row r="148" spans="1:26" ht="13" x14ac:dyDescent="0.15">
      <c r="A148" s="2" t="s">
        <v>264</v>
      </c>
      <c r="B148" s="3">
        <v>2017</v>
      </c>
      <c r="C148" s="2" t="s">
        <v>265</v>
      </c>
      <c r="D148" s="2" t="s">
        <v>20</v>
      </c>
      <c r="E148" s="2" t="s">
        <v>14</v>
      </c>
      <c r="F148" s="21" t="str">
        <f>HYPERLINK("https://drive.google.com/file/d/0BxTJoMOw_GADc01rWk5TZl9VcWM/view?usp=sharing","Yes")</f>
        <v>Yes</v>
      </c>
      <c r="G148" s="21" t="str">
        <f>HYPERLINK("https://drive.google.com/file/d/0BxTJoMOw_GADZFdmVWxSZjBZcEU/view?usp=sharing","Yes")</f>
        <v>Yes</v>
      </c>
      <c r="H148" s="2" t="s">
        <v>16</v>
      </c>
      <c r="I148" s="23" t="str">
        <f>HYPERLINK("https://drive.google.com/file/d/0BxTJoMOw_GADc0lCRU5oQTZKRnM/view?usp=sharing","Yes")</f>
        <v>Yes</v>
      </c>
      <c r="J148" s="28" t="str">
        <f>HYPERLINK("https://www.kvasquez.me/","Krystal Vasquez")</f>
        <v>Krystal Vasquez</v>
      </c>
      <c r="K148" s="15" t="str">
        <f>HYPERLINK("https://caffeinatedconfidence.com/2017/09/01/all-about-the-nsf-grfp/","Yes")</f>
        <v>Yes</v>
      </c>
      <c r="L148" s="2"/>
      <c r="M148" s="2"/>
      <c r="N148" s="2"/>
      <c r="O148" s="2"/>
      <c r="P148" s="2"/>
      <c r="Q148" s="2"/>
      <c r="R148" s="2"/>
      <c r="S148" s="2"/>
      <c r="T148" s="2"/>
      <c r="U148" s="2"/>
      <c r="V148" s="2"/>
      <c r="W148" s="2"/>
      <c r="X148" s="2"/>
      <c r="Y148" s="2"/>
      <c r="Z148" s="2"/>
    </row>
    <row r="149" spans="1:26" ht="13" x14ac:dyDescent="0.15">
      <c r="A149" s="2" t="s">
        <v>266</v>
      </c>
      <c r="B149" s="3">
        <v>2017</v>
      </c>
      <c r="C149" s="2" t="s">
        <v>267</v>
      </c>
      <c r="D149" s="2" t="s">
        <v>13</v>
      </c>
      <c r="E149" s="2" t="s">
        <v>14</v>
      </c>
      <c r="F149" s="8" t="str">
        <f>HYPERLINK("https://drive.google.com/file/d/1RC_Fs2nQ21mOy0p6l4BfyNOloxMW4Bh4/view?usp=sharing","Yes")</f>
        <v>Yes</v>
      </c>
      <c r="G149" s="8" t="str">
        <f>HYPERLINK("https://drive.google.com/file/d/1rY2WVAs3c4vkKnvjBwzYRAVwwiHCcSAF/view?usp=sharing","Yes")</f>
        <v>Yes</v>
      </c>
      <c r="H149" s="2" t="s">
        <v>16</v>
      </c>
      <c r="I149" s="8" t="str">
        <f>HYPERLINK("https://drive.google.com/file/d/1ySwXCAjiDKRR9m86nkmYAvngJIHeaFF9/view?usp=sharing","Yes")</f>
        <v>Yes</v>
      </c>
      <c r="J149" s="5" t="str">
        <f>HYPERLINK("http://www.alexhunterlang.com/nsf-fellowship","Alex Lang")</f>
        <v>Alex Lang</v>
      </c>
      <c r="K149" s="2"/>
      <c r="L149" s="2"/>
      <c r="M149" s="2"/>
      <c r="N149" s="2"/>
      <c r="O149" s="2"/>
      <c r="P149" s="2"/>
      <c r="Q149" s="2"/>
      <c r="R149" s="2"/>
      <c r="S149" s="2"/>
      <c r="T149" s="2"/>
      <c r="U149" s="2"/>
      <c r="V149" s="2"/>
      <c r="W149" s="2"/>
      <c r="X149" s="2"/>
      <c r="Y149" s="2"/>
      <c r="Z149" s="2"/>
    </row>
    <row r="150" spans="1:26" ht="13" x14ac:dyDescent="0.15">
      <c r="A150" s="2" t="s">
        <v>268</v>
      </c>
      <c r="B150" s="3">
        <v>2017</v>
      </c>
      <c r="C150" s="2" t="s">
        <v>269</v>
      </c>
      <c r="D150" s="2" t="s">
        <v>20</v>
      </c>
      <c r="E150" s="2" t="s">
        <v>14</v>
      </c>
      <c r="F150" s="22" t="str">
        <f t="shared" ref="F150:G150" si="12">HYPERLINK("https://www.dropbox.com/sh/nu03c0ctxfczgxy/AACUE5FM9fla5UI45mnLFrN1a?dl=0","Yes")</f>
        <v>Yes</v>
      </c>
      <c r="G150" s="23" t="str">
        <f t="shared" si="12"/>
        <v>Yes</v>
      </c>
      <c r="H150" s="2" t="s">
        <v>16</v>
      </c>
      <c r="I150" s="2" t="s">
        <v>24</v>
      </c>
      <c r="J150" s="2" t="s">
        <v>268</v>
      </c>
      <c r="K150" s="2"/>
      <c r="L150" s="2"/>
      <c r="M150" s="2"/>
      <c r="N150" s="2"/>
      <c r="O150" s="2"/>
      <c r="P150" s="2"/>
      <c r="Q150" s="2"/>
      <c r="R150" s="2"/>
      <c r="S150" s="2"/>
      <c r="T150" s="2"/>
      <c r="U150" s="2"/>
      <c r="V150" s="2"/>
      <c r="W150" s="2"/>
      <c r="X150" s="2"/>
      <c r="Y150" s="2"/>
      <c r="Z150" s="2"/>
    </row>
    <row r="151" spans="1:26" ht="13" x14ac:dyDescent="0.15">
      <c r="A151" s="2" t="s">
        <v>48</v>
      </c>
      <c r="B151" s="3">
        <v>2017</v>
      </c>
      <c r="C151" s="2" t="s">
        <v>29</v>
      </c>
      <c r="D151" s="2" t="s">
        <v>27</v>
      </c>
      <c r="E151" s="2" t="s">
        <v>14</v>
      </c>
      <c r="F151" s="27" t="str">
        <f>HYPERLINK("https://drive.google.com/open?id=0BxTJoMOw_GADOXJ0bjU4LURFVFE","Yes")</f>
        <v>Yes</v>
      </c>
      <c r="G151" s="27" t="str">
        <f>HYPERLINK("https://drive.google.com/open?id=0BxTJoMOw_GADLTJ2OHg4MnVFNFk","Yes")</f>
        <v>Yes</v>
      </c>
      <c r="H151" s="2" t="s">
        <v>16</v>
      </c>
      <c r="I151" s="27" t="str">
        <f>HYPERLINK("https://drive.google.com/open?id=0BxTJoMOw_GADX0FWT1ROcTVDVm8","Yes")</f>
        <v>Yes</v>
      </c>
      <c r="J151" s="25" t="str">
        <f t="shared" ref="J151:J152" si="13">HYPERLINK("http://www.alexhunterlang.com/nsf-fellowship","Alex Lang")</f>
        <v>Alex Lang</v>
      </c>
      <c r="K151" s="2"/>
      <c r="L151" s="2"/>
      <c r="M151" s="2"/>
      <c r="N151" s="2"/>
      <c r="O151" s="2"/>
      <c r="P151" s="2"/>
      <c r="Q151" s="2"/>
      <c r="R151" s="2"/>
      <c r="S151" s="2"/>
      <c r="T151" s="2"/>
      <c r="U151" s="2"/>
      <c r="V151" s="2"/>
      <c r="W151" s="2"/>
      <c r="X151" s="2"/>
      <c r="Y151" s="2"/>
      <c r="Z151" s="2"/>
    </row>
    <row r="152" spans="1:26" ht="13" x14ac:dyDescent="0.15">
      <c r="A152" s="2" t="s">
        <v>270</v>
      </c>
      <c r="B152" s="3">
        <v>2017</v>
      </c>
      <c r="C152" s="2" t="s">
        <v>271</v>
      </c>
      <c r="D152" s="2" t="s">
        <v>20</v>
      </c>
      <c r="E152" s="2" t="s">
        <v>78</v>
      </c>
      <c r="F152" s="8" t="str">
        <f>HYPERLINK("https://drive.google.com/file/d/1gVWeHCuKdq_G_qsuniBhr3jXFAnJGYMJ/view?usp=sharing","Yes")</f>
        <v>Yes</v>
      </c>
      <c r="G152" s="8" t="str">
        <f>HYPERLINK("https://drive.google.com/file/d/1OS1DEBgNDp4aWfwwLmQGNd2T1sY2dzsn/view?usp=sharing","Yes")</f>
        <v>Yes</v>
      </c>
      <c r="H152" s="2" t="s">
        <v>16</v>
      </c>
      <c r="I152" s="8" t="str">
        <f>HYPERLINK("https://drive.google.com/file/d/1yDCDcusJv-3eQRoaKGxuQMtTK3JIK5Cs/view?usp=sharing","Yes")</f>
        <v>Yes</v>
      </c>
      <c r="J152" s="5" t="str">
        <f t="shared" si="13"/>
        <v>Alex Lang</v>
      </c>
      <c r="K152" s="9"/>
      <c r="L152" s="2"/>
      <c r="M152" s="2"/>
      <c r="N152" s="2"/>
      <c r="O152" s="2"/>
      <c r="P152" s="2"/>
      <c r="Q152" s="2"/>
      <c r="R152" s="2"/>
      <c r="S152" s="2"/>
      <c r="T152" s="2"/>
      <c r="U152" s="2"/>
      <c r="V152" s="2"/>
      <c r="W152" s="2"/>
      <c r="X152" s="2"/>
      <c r="Y152" s="2"/>
      <c r="Z152" s="2"/>
    </row>
    <row r="153" spans="1:26" ht="13" x14ac:dyDescent="0.15">
      <c r="A153" s="2" t="s">
        <v>272</v>
      </c>
      <c r="B153" s="3">
        <v>2017</v>
      </c>
      <c r="C153" s="2" t="s">
        <v>273</v>
      </c>
      <c r="D153" s="2" t="s">
        <v>13</v>
      </c>
      <c r="E153" s="2" t="s">
        <v>14</v>
      </c>
      <c r="F153" s="15" t="str">
        <f>HYPERLINK("https://www.dropbox.com/s/vvu3455dj4fme2w/ddahan_nsf_grfp_final_rs.pdf?dl=0","Yes")</f>
        <v>Yes</v>
      </c>
      <c r="G153" s="15" t="str">
        <f>HYPERLINK("https://www.dropbox.com/s/3wbksitzydyvrus/ddahan_nsf_grfp_final_ps.pdf?dl=0","Yes")</f>
        <v>Yes</v>
      </c>
      <c r="H153" s="2" t="s">
        <v>16</v>
      </c>
      <c r="I153" s="15" t="str">
        <f>HYPERLINK("https://www.dropbox.com/s/rgdw39j6fviy50m/ViewApplReview.do.pdf?dl=0","Yes")</f>
        <v>Yes</v>
      </c>
      <c r="J153" s="2" t="s">
        <v>272</v>
      </c>
      <c r="K153" s="2"/>
      <c r="L153" s="2"/>
      <c r="M153" s="2"/>
      <c r="N153" s="2"/>
      <c r="O153" s="2"/>
      <c r="P153" s="2"/>
      <c r="Q153" s="2"/>
      <c r="R153" s="2"/>
      <c r="S153" s="2"/>
      <c r="T153" s="2"/>
      <c r="U153" s="2"/>
      <c r="V153" s="2"/>
      <c r="W153" s="2"/>
      <c r="X153" s="2"/>
      <c r="Y153" s="2"/>
      <c r="Z153" s="2"/>
    </row>
    <row r="154" spans="1:26" ht="13" x14ac:dyDescent="0.15">
      <c r="A154" s="2" t="s">
        <v>274</v>
      </c>
      <c r="B154" s="3">
        <v>2017</v>
      </c>
      <c r="C154" s="2" t="s">
        <v>275</v>
      </c>
      <c r="D154" s="2" t="s">
        <v>27</v>
      </c>
      <c r="E154" s="2" t="s">
        <v>14</v>
      </c>
      <c r="F154" s="27" t="str">
        <f t="shared" ref="F154:G154" si="14">HYPERLINK("http://lillianhorin.com/nsf/","Yes")</f>
        <v>Yes</v>
      </c>
      <c r="G154" s="27" t="str">
        <f t="shared" si="14"/>
        <v>Yes</v>
      </c>
      <c r="H154" s="2" t="s">
        <v>16</v>
      </c>
      <c r="I154" s="2" t="s">
        <v>24</v>
      </c>
      <c r="J154" s="5" t="str">
        <f>HYPERLINK("http://lillianhorin.com/","Lillian Horin")</f>
        <v>Lillian Horin</v>
      </c>
      <c r="K154" s="2"/>
      <c r="L154" s="2"/>
      <c r="M154" s="2"/>
      <c r="N154" s="2"/>
      <c r="O154" s="2"/>
      <c r="P154" s="2"/>
      <c r="Q154" s="2"/>
      <c r="R154" s="2"/>
      <c r="S154" s="2"/>
      <c r="T154" s="2"/>
      <c r="U154" s="2"/>
      <c r="V154" s="2"/>
      <c r="W154" s="2"/>
      <c r="X154" s="2"/>
      <c r="Y154" s="2"/>
      <c r="Z154" s="2"/>
    </row>
    <row r="155" spans="1:26" ht="13" x14ac:dyDescent="0.15">
      <c r="A155" s="2" t="s">
        <v>276</v>
      </c>
      <c r="B155" s="3">
        <v>2017</v>
      </c>
      <c r="C155" s="2" t="s">
        <v>277</v>
      </c>
      <c r="D155" s="2" t="s">
        <v>27</v>
      </c>
      <c r="E155" s="2" t="s">
        <v>14</v>
      </c>
      <c r="F155" s="27" t="str">
        <f>HYPERLINK("https://drive.google.com/open?id=0BxTJoMOw_GADcU1tcTlsQTNpNGs","Yes")</f>
        <v>Yes</v>
      </c>
      <c r="G155" s="27" t="str">
        <f>HYPERLINK("https://drive.google.com/open?id=0BxTJoMOw_GADUUFQOHZZWVJjbDg","Yes")</f>
        <v>Yes</v>
      </c>
      <c r="H155" s="2" t="s">
        <v>16</v>
      </c>
      <c r="I155" s="27" t="str">
        <f>HYPERLINK("https://drive.google.com/open?id=0BxTJoMOw_GADek9Xdy1EQlpIUTA","Yes")</f>
        <v>Yes</v>
      </c>
      <c r="J155" s="25" t="str">
        <f t="shared" ref="J155:J159" si="15">HYPERLINK("http://www.alexhunterlang.com/nsf-fellowship","Alex Lang")</f>
        <v>Alex Lang</v>
      </c>
      <c r="K155" s="2"/>
      <c r="L155" s="2"/>
      <c r="M155" s="2"/>
      <c r="N155" s="2"/>
      <c r="O155" s="2"/>
      <c r="P155" s="2"/>
      <c r="Q155" s="2"/>
      <c r="R155" s="2"/>
      <c r="S155" s="2"/>
      <c r="T155" s="2"/>
      <c r="U155" s="2"/>
      <c r="V155" s="2"/>
      <c r="W155" s="2"/>
      <c r="X155" s="2"/>
      <c r="Y155" s="2"/>
      <c r="Z155" s="2"/>
    </row>
    <row r="156" spans="1:26" ht="13" x14ac:dyDescent="0.15">
      <c r="A156" s="2" t="s">
        <v>278</v>
      </c>
      <c r="B156" s="3">
        <v>2017</v>
      </c>
      <c r="C156" s="2" t="s">
        <v>279</v>
      </c>
      <c r="D156" s="2" t="s">
        <v>27</v>
      </c>
      <c r="E156" s="2" t="s">
        <v>78</v>
      </c>
      <c r="F156" s="27" t="str">
        <f>HYPERLINK("https://drive.google.com/open?id=0BxTJoMOw_GADUm9JZzNmUGhYWWc","Yes")</f>
        <v>Yes</v>
      </c>
      <c r="G156" s="27" t="str">
        <f>HYPERLINK("https://drive.google.com/open?id=0BxTJoMOw_GADQ3kyc1lzbWpwS0k","Yes")</f>
        <v>Yes</v>
      </c>
      <c r="H156" s="2" t="s">
        <v>16</v>
      </c>
      <c r="I156" s="2" t="s">
        <v>24</v>
      </c>
      <c r="J156" s="25" t="str">
        <f t="shared" si="15"/>
        <v>Alex Lang</v>
      </c>
      <c r="K156" s="2"/>
      <c r="L156" s="2"/>
      <c r="M156" s="2"/>
      <c r="N156" s="2"/>
      <c r="O156" s="2"/>
      <c r="P156" s="2"/>
      <c r="Q156" s="2"/>
      <c r="R156" s="2"/>
      <c r="S156" s="2"/>
      <c r="T156" s="2"/>
      <c r="U156" s="2"/>
      <c r="V156" s="2"/>
      <c r="W156" s="2"/>
      <c r="X156" s="2"/>
      <c r="Y156" s="2"/>
      <c r="Z156" s="2"/>
    </row>
    <row r="157" spans="1:26" ht="13" x14ac:dyDescent="0.15">
      <c r="A157" s="2" t="s">
        <v>280</v>
      </c>
      <c r="B157" s="3">
        <v>2017</v>
      </c>
      <c r="C157" s="2" t="s">
        <v>281</v>
      </c>
      <c r="D157" s="2" t="s">
        <v>20</v>
      </c>
      <c r="E157" s="2" t="s">
        <v>14</v>
      </c>
      <c r="F157" s="15" t="str">
        <f>HYPERLINK("https://drive.google.com/file/d/1sPwY3wfHXVkVzqFr-nLyAxsrqjdHH2bE/view?usp=sharing","Yes")</f>
        <v>Yes</v>
      </c>
      <c r="G157" s="15" t="str">
        <f>HYPERLINK("https://drive.google.com/file/d/1f1eW7p9tDdix9CDj6ocir37jXvgioYsC/view?usp=sharing","Yes")</f>
        <v>Yes</v>
      </c>
      <c r="H157" s="2" t="s">
        <v>16</v>
      </c>
      <c r="I157" s="2" t="s">
        <v>24</v>
      </c>
      <c r="J157" s="15" t="str">
        <f t="shared" si="15"/>
        <v>Alex Lang</v>
      </c>
      <c r="K157" s="2"/>
      <c r="L157" s="2"/>
      <c r="M157" s="2"/>
      <c r="N157" s="2"/>
      <c r="O157" s="2"/>
      <c r="P157" s="2"/>
      <c r="Q157" s="2"/>
      <c r="R157" s="2"/>
      <c r="S157" s="2"/>
      <c r="T157" s="2"/>
      <c r="U157" s="2"/>
      <c r="V157" s="2"/>
      <c r="W157" s="2"/>
      <c r="X157" s="2"/>
      <c r="Y157" s="2"/>
      <c r="Z157" s="2"/>
    </row>
    <row r="158" spans="1:26" ht="13" x14ac:dyDescent="0.15">
      <c r="A158" s="2" t="s">
        <v>282</v>
      </c>
      <c r="B158" s="10">
        <v>2017</v>
      </c>
      <c r="C158" s="2" t="s">
        <v>283</v>
      </c>
      <c r="D158" s="2" t="s">
        <v>13</v>
      </c>
      <c r="E158" s="2" t="s">
        <v>14</v>
      </c>
      <c r="F158" s="22" t="str">
        <f>HYPERLINK("https://drive.google.com/open?id=0BxTJoMOw_GADWFFSSUpkLXdaVjQ","Yes")</f>
        <v>Yes</v>
      </c>
      <c r="G158" s="24" t="str">
        <f>HYPERLINK("https://drive.google.com/open?id=0BxTJoMOw_GADRkpDSmpNNjVqOHM","Yes")</f>
        <v>Yes</v>
      </c>
      <c r="H158" s="2" t="s">
        <v>16</v>
      </c>
      <c r="I158" s="24" t="str">
        <f>HYPERLINK("https://drive.google.com/open?id=0BxTJoMOw_GADbk8tWVJoZi1nQnM","Yes")</f>
        <v>Yes</v>
      </c>
      <c r="J158" s="25" t="str">
        <f t="shared" si="15"/>
        <v>Alex Lang</v>
      </c>
      <c r="K158" s="2"/>
      <c r="L158" s="2"/>
      <c r="M158" s="2"/>
      <c r="N158" s="2"/>
      <c r="O158" s="2"/>
      <c r="P158" s="2"/>
      <c r="Q158" s="2"/>
      <c r="R158" s="2"/>
      <c r="S158" s="2"/>
      <c r="T158" s="2"/>
      <c r="U158" s="2"/>
      <c r="V158" s="2"/>
      <c r="W158" s="2"/>
      <c r="X158" s="2"/>
      <c r="Y158" s="2"/>
      <c r="Z158" s="2"/>
    </row>
    <row r="159" spans="1:26" ht="13" x14ac:dyDescent="0.15">
      <c r="A159" s="2" t="s">
        <v>48</v>
      </c>
      <c r="B159" s="3">
        <v>2017</v>
      </c>
      <c r="C159" s="2" t="s">
        <v>284</v>
      </c>
      <c r="D159" s="2" t="s">
        <v>27</v>
      </c>
      <c r="E159" s="2" t="s">
        <v>14</v>
      </c>
      <c r="F159" s="21" t="str">
        <f>HYPERLINK("https://drive.google.com/file/d/0BxTJoMOw_GADYlR4Ym42aWtQakk/view?usp=sharing","Yes")</f>
        <v>Yes</v>
      </c>
      <c r="G159" s="21" t="str">
        <f>HYPERLINK("https://drive.google.com/file/d/0BxTJoMOw_GADRGw2QXJQVkJzYkU/view?usp=sharing","Yes")</f>
        <v>Yes</v>
      </c>
      <c r="H159" s="2" t="s">
        <v>16</v>
      </c>
      <c r="I159" s="2" t="s">
        <v>24</v>
      </c>
      <c r="J159" s="15" t="str">
        <f t="shared" si="15"/>
        <v>Alex Lang</v>
      </c>
      <c r="K159" s="2"/>
      <c r="L159" s="2"/>
      <c r="M159" s="2"/>
      <c r="N159" s="2"/>
      <c r="O159" s="2"/>
      <c r="P159" s="2"/>
      <c r="Q159" s="2"/>
      <c r="R159" s="2"/>
      <c r="S159" s="2"/>
      <c r="T159" s="2"/>
      <c r="U159" s="2"/>
      <c r="V159" s="2"/>
      <c r="W159" s="2"/>
      <c r="X159" s="2"/>
      <c r="Y159" s="2"/>
      <c r="Z159" s="2"/>
    </row>
    <row r="160" spans="1:26" ht="13" x14ac:dyDescent="0.15">
      <c r="A160" s="2" t="s">
        <v>285</v>
      </c>
      <c r="B160" s="3">
        <v>2017</v>
      </c>
      <c r="C160" s="2" t="s">
        <v>286</v>
      </c>
      <c r="D160" s="2" t="s">
        <v>20</v>
      </c>
      <c r="E160" s="2" t="s">
        <v>14</v>
      </c>
      <c r="F160" s="4" t="s">
        <v>15</v>
      </c>
      <c r="G160" s="4" t="s">
        <v>15</v>
      </c>
      <c r="H160" s="2" t="s">
        <v>16</v>
      </c>
      <c r="I160" s="4" t="s">
        <v>15</v>
      </c>
      <c r="J160" s="2" t="s">
        <v>285</v>
      </c>
      <c r="K160" s="2"/>
      <c r="L160" s="2"/>
      <c r="M160" s="2"/>
      <c r="N160" s="2"/>
      <c r="O160" s="2"/>
      <c r="P160" s="2"/>
      <c r="Q160" s="2"/>
      <c r="R160" s="2"/>
      <c r="S160" s="2"/>
      <c r="T160" s="2"/>
      <c r="U160" s="2"/>
      <c r="V160" s="2"/>
      <c r="W160" s="2"/>
      <c r="X160" s="2"/>
      <c r="Y160" s="2"/>
      <c r="Z160" s="2"/>
    </row>
    <row r="161" spans="1:26" ht="13" x14ac:dyDescent="0.15">
      <c r="A161" s="2" t="s">
        <v>48</v>
      </c>
      <c r="B161" s="3">
        <v>2017</v>
      </c>
      <c r="C161" s="2" t="s">
        <v>199</v>
      </c>
      <c r="D161" s="2" t="s">
        <v>200</v>
      </c>
      <c r="E161" s="2" t="s">
        <v>14</v>
      </c>
      <c r="F161" s="2" t="s">
        <v>24</v>
      </c>
      <c r="G161" s="5" t="s">
        <v>15</v>
      </c>
      <c r="H161" s="2" t="s">
        <v>16</v>
      </c>
      <c r="I161" s="2" t="s">
        <v>24</v>
      </c>
      <c r="J161" s="5" t="s">
        <v>201</v>
      </c>
      <c r="K161" s="2"/>
      <c r="L161" s="2"/>
      <c r="M161" s="2"/>
      <c r="N161" s="2"/>
      <c r="O161" s="2"/>
      <c r="P161" s="2"/>
      <c r="Q161" s="2"/>
      <c r="R161" s="2"/>
      <c r="S161" s="2"/>
      <c r="T161" s="2"/>
      <c r="U161" s="2"/>
      <c r="V161" s="2"/>
      <c r="W161" s="2"/>
      <c r="X161" s="2"/>
      <c r="Y161" s="2"/>
      <c r="Z161" s="2"/>
    </row>
    <row r="162" spans="1:26" ht="13" x14ac:dyDescent="0.15">
      <c r="A162" s="2" t="s">
        <v>48</v>
      </c>
      <c r="B162" s="3">
        <v>2017</v>
      </c>
      <c r="C162" s="2" t="s">
        <v>287</v>
      </c>
      <c r="D162" s="2" t="s">
        <v>13</v>
      </c>
      <c r="E162" s="2" t="s">
        <v>14</v>
      </c>
      <c r="F162" s="2" t="s">
        <v>24</v>
      </c>
      <c r="G162" s="5" t="s">
        <v>15</v>
      </c>
      <c r="H162" s="2" t="s">
        <v>16</v>
      </c>
      <c r="I162" s="2" t="s">
        <v>24</v>
      </c>
      <c r="J162" s="5" t="s">
        <v>201</v>
      </c>
      <c r="K162" s="2"/>
      <c r="L162" s="2"/>
      <c r="M162" s="2"/>
      <c r="N162" s="2"/>
      <c r="O162" s="2"/>
      <c r="P162" s="2"/>
      <c r="Q162" s="2"/>
      <c r="R162" s="2"/>
      <c r="S162" s="2"/>
      <c r="T162" s="2"/>
      <c r="U162" s="2"/>
      <c r="V162" s="2"/>
      <c r="W162" s="2"/>
      <c r="X162" s="2"/>
      <c r="Y162" s="2"/>
      <c r="Z162" s="2"/>
    </row>
    <row r="163" spans="1:26" ht="13" x14ac:dyDescent="0.15">
      <c r="A163" s="2" t="s">
        <v>48</v>
      </c>
      <c r="B163" s="3">
        <v>2017</v>
      </c>
      <c r="C163" s="2" t="s">
        <v>202</v>
      </c>
      <c r="D163" s="2" t="s">
        <v>200</v>
      </c>
      <c r="E163" s="2" t="s">
        <v>14</v>
      </c>
      <c r="F163" s="5" t="s">
        <v>15</v>
      </c>
      <c r="G163" s="2" t="s">
        <v>24</v>
      </c>
      <c r="H163" s="2" t="s">
        <v>16</v>
      </c>
      <c r="I163" s="2" t="s">
        <v>24</v>
      </c>
      <c r="J163" s="5" t="s">
        <v>201</v>
      </c>
      <c r="K163" s="2"/>
      <c r="L163" s="2"/>
      <c r="M163" s="2"/>
      <c r="N163" s="2"/>
      <c r="O163" s="2"/>
      <c r="P163" s="2"/>
      <c r="Q163" s="2"/>
      <c r="R163" s="2"/>
      <c r="S163" s="2"/>
      <c r="T163" s="2"/>
      <c r="U163" s="2"/>
      <c r="V163" s="2"/>
      <c r="W163" s="2"/>
      <c r="X163" s="2"/>
      <c r="Y163" s="2"/>
      <c r="Z163" s="2"/>
    </row>
    <row r="164" spans="1:26" ht="13" x14ac:dyDescent="0.15">
      <c r="A164" s="2" t="s">
        <v>48</v>
      </c>
      <c r="B164" s="3">
        <v>2017</v>
      </c>
      <c r="C164" s="2" t="s">
        <v>288</v>
      </c>
      <c r="D164" s="2" t="s">
        <v>200</v>
      </c>
      <c r="E164" s="2" t="s">
        <v>14</v>
      </c>
      <c r="F164" s="5" t="s">
        <v>15</v>
      </c>
      <c r="G164" s="2" t="s">
        <v>24</v>
      </c>
      <c r="H164" s="2" t="s">
        <v>16</v>
      </c>
      <c r="I164" s="2" t="s">
        <v>24</v>
      </c>
      <c r="J164" s="5" t="s">
        <v>201</v>
      </c>
      <c r="K164" s="2"/>
      <c r="L164" s="2"/>
      <c r="M164" s="2"/>
      <c r="N164" s="2"/>
      <c r="O164" s="2"/>
      <c r="P164" s="2"/>
      <c r="Q164" s="2"/>
      <c r="R164" s="2"/>
      <c r="S164" s="2"/>
      <c r="T164" s="2"/>
      <c r="U164" s="2"/>
      <c r="V164" s="2"/>
      <c r="W164" s="2"/>
      <c r="X164" s="2"/>
      <c r="Y164" s="2"/>
      <c r="Z164" s="2"/>
    </row>
    <row r="165" spans="1:26" ht="13" x14ac:dyDescent="0.15">
      <c r="A165" s="2" t="s">
        <v>48</v>
      </c>
      <c r="B165" s="3">
        <v>2017</v>
      </c>
      <c r="C165" s="2" t="s">
        <v>289</v>
      </c>
      <c r="D165" s="2" t="s">
        <v>200</v>
      </c>
      <c r="E165" s="2" t="s">
        <v>14</v>
      </c>
      <c r="F165" s="5" t="s">
        <v>15</v>
      </c>
      <c r="G165" s="2" t="s">
        <v>24</v>
      </c>
      <c r="H165" s="2" t="s">
        <v>16</v>
      </c>
      <c r="I165" s="2" t="s">
        <v>24</v>
      </c>
      <c r="J165" s="5" t="s">
        <v>201</v>
      </c>
      <c r="K165" s="2"/>
      <c r="L165" s="2"/>
      <c r="M165" s="2"/>
      <c r="N165" s="2"/>
      <c r="O165" s="2"/>
      <c r="P165" s="2"/>
      <c r="Q165" s="2"/>
      <c r="R165" s="2"/>
      <c r="S165" s="2"/>
      <c r="T165" s="2"/>
      <c r="U165" s="2"/>
      <c r="V165" s="2"/>
      <c r="W165" s="2"/>
      <c r="X165" s="2"/>
      <c r="Y165" s="2"/>
      <c r="Z165" s="2"/>
    </row>
    <row r="166" spans="1:26" ht="13" x14ac:dyDescent="0.15">
      <c r="A166" s="2" t="s">
        <v>48</v>
      </c>
      <c r="B166" s="3">
        <v>2017</v>
      </c>
      <c r="C166" s="2" t="s">
        <v>287</v>
      </c>
      <c r="D166" s="2" t="s">
        <v>13</v>
      </c>
      <c r="E166" s="2" t="s">
        <v>14</v>
      </c>
      <c r="F166" s="5" t="s">
        <v>15</v>
      </c>
      <c r="G166" s="2" t="s">
        <v>24</v>
      </c>
      <c r="H166" s="2" t="s">
        <v>16</v>
      </c>
      <c r="I166" s="2" t="s">
        <v>24</v>
      </c>
      <c r="J166" s="5" t="s">
        <v>201</v>
      </c>
      <c r="K166" s="2"/>
      <c r="L166" s="2"/>
      <c r="M166" s="2"/>
      <c r="N166" s="2"/>
      <c r="O166" s="2"/>
      <c r="P166" s="2"/>
      <c r="Q166" s="2"/>
      <c r="R166" s="2"/>
      <c r="S166" s="2"/>
      <c r="T166" s="2"/>
      <c r="U166" s="2"/>
      <c r="V166" s="2"/>
      <c r="W166" s="2"/>
      <c r="X166" s="2"/>
      <c r="Y166" s="2"/>
      <c r="Z166" s="2"/>
    </row>
    <row r="167" spans="1:26" ht="13" x14ac:dyDescent="0.15">
      <c r="A167" s="2" t="s">
        <v>290</v>
      </c>
      <c r="B167" s="3">
        <v>2017</v>
      </c>
      <c r="C167" s="2" t="s">
        <v>291</v>
      </c>
      <c r="D167" s="2" t="s">
        <v>13</v>
      </c>
      <c r="E167" s="2" t="s">
        <v>14</v>
      </c>
      <c r="F167" s="29" t="s">
        <v>15</v>
      </c>
      <c r="G167" s="29" t="s">
        <v>15</v>
      </c>
      <c r="H167" s="2" t="s">
        <v>16</v>
      </c>
      <c r="I167" s="29" t="s">
        <v>15</v>
      </c>
      <c r="J167" s="5" t="s">
        <v>292</v>
      </c>
      <c r="K167" s="2"/>
      <c r="L167" s="2"/>
      <c r="M167" s="2"/>
      <c r="N167" s="2"/>
      <c r="O167" s="2"/>
      <c r="P167" s="2"/>
      <c r="Q167" s="2"/>
      <c r="R167" s="2"/>
      <c r="S167" s="2"/>
      <c r="T167" s="2"/>
      <c r="U167" s="2"/>
      <c r="V167" s="2"/>
      <c r="W167" s="2"/>
      <c r="X167" s="2"/>
      <c r="Y167" s="2"/>
      <c r="Z167" s="2"/>
    </row>
    <row r="168" spans="1:26" ht="13" x14ac:dyDescent="0.15">
      <c r="A168" s="2" t="s">
        <v>293</v>
      </c>
      <c r="B168" s="3">
        <v>2017</v>
      </c>
      <c r="C168" s="2" t="s">
        <v>294</v>
      </c>
      <c r="D168" s="2" t="s">
        <v>13</v>
      </c>
      <c r="E168" s="2" t="s">
        <v>14</v>
      </c>
      <c r="F168" s="29" t="s">
        <v>15</v>
      </c>
      <c r="G168" s="29" t="s">
        <v>15</v>
      </c>
      <c r="H168" s="2" t="s">
        <v>16</v>
      </c>
      <c r="I168" s="29" t="s">
        <v>15</v>
      </c>
      <c r="J168" s="5" t="s">
        <v>292</v>
      </c>
      <c r="K168" s="2"/>
      <c r="L168" s="2"/>
      <c r="M168" s="2"/>
      <c r="N168" s="2"/>
      <c r="O168" s="2"/>
      <c r="P168" s="2"/>
      <c r="Q168" s="2"/>
      <c r="R168" s="2"/>
      <c r="S168" s="2"/>
      <c r="T168" s="2"/>
      <c r="U168" s="2"/>
      <c r="V168" s="2"/>
      <c r="W168" s="2"/>
      <c r="X168" s="2"/>
      <c r="Y168" s="2"/>
      <c r="Z168" s="2"/>
    </row>
    <row r="169" spans="1:26" ht="13" x14ac:dyDescent="0.15">
      <c r="A169" s="2" t="s">
        <v>295</v>
      </c>
      <c r="B169" s="3">
        <v>2017</v>
      </c>
      <c r="C169" s="2" t="s">
        <v>32</v>
      </c>
      <c r="D169" s="2" t="s">
        <v>13</v>
      </c>
      <c r="E169" s="2" t="s">
        <v>14</v>
      </c>
      <c r="F169" s="4" t="s">
        <v>15</v>
      </c>
      <c r="G169" s="4" t="s">
        <v>15</v>
      </c>
      <c r="H169" s="2" t="s">
        <v>16</v>
      </c>
      <c r="I169" s="4" t="s">
        <v>15</v>
      </c>
      <c r="J169" s="5" t="str">
        <f>HYPERLINK("http://www.alexhunterlang.com/nsf-fellowship","Alex Lang")</f>
        <v>Alex Lang</v>
      </c>
      <c r="K169" s="2"/>
      <c r="L169" s="2"/>
      <c r="M169" s="2"/>
      <c r="N169" s="2"/>
      <c r="O169" s="2"/>
      <c r="P169" s="2"/>
      <c r="Q169" s="2"/>
      <c r="R169" s="2"/>
      <c r="S169" s="2"/>
      <c r="T169" s="2"/>
      <c r="U169" s="2"/>
      <c r="V169" s="2"/>
      <c r="W169" s="2"/>
      <c r="X169" s="2"/>
      <c r="Y169" s="2"/>
      <c r="Z169" s="2"/>
    </row>
    <row r="170" spans="1:26" ht="13" x14ac:dyDescent="0.15">
      <c r="A170" s="2" t="s">
        <v>296</v>
      </c>
      <c r="B170" s="3">
        <v>2016</v>
      </c>
      <c r="C170" s="2" t="s">
        <v>170</v>
      </c>
      <c r="D170" s="2" t="s">
        <v>27</v>
      </c>
      <c r="E170" s="2" t="s">
        <v>14</v>
      </c>
      <c r="F170" s="22" t="str">
        <f>HYPERLINK("https://carlnotsagan.github.io/fellowships/nsf_grfp/carl_fields_research_statement_nsf_grfp_2016.pdf","Yes")</f>
        <v>Yes</v>
      </c>
      <c r="G170" s="22" t="str">
        <f>HYPERLINK("https://carlnotsagan.github.io/fellowships/nsf_grfp/carl_fields_personal_statement_nsf_grfp_2016.pdf","Yes")</f>
        <v>Yes</v>
      </c>
      <c r="H170" s="6" t="s">
        <v>16</v>
      </c>
      <c r="I170" s="22" t="str">
        <f>HYPERLINK("https://carlnotsagan.github.io/fellowships/nsf_grfp/carl_fields_application_results.pdf","Yes")</f>
        <v>Yes</v>
      </c>
      <c r="J170" s="22" t="str">
        <f>HYPERLINK("https://carlnotsagan.github.io/resources/","Carl Fields")</f>
        <v>Carl Fields</v>
      </c>
      <c r="K170" s="18" t="str">
        <f>HYPERLINK("https://carlnotsagan.github.io/resources/","Yes")</f>
        <v>Yes</v>
      </c>
      <c r="L170" s="2"/>
      <c r="M170" s="2"/>
      <c r="N170" s="2"/>
      <c r="O170" s="2"/>
      <c r="P170" s="2"/>
      <c r="Q170" s="2"/>
      <c r="R170" s="2"/>
      <c r="S170" s="2"/>
      <c r="T170" s="2"/>
      <c r="U170" s="2"/>
      <c r="V170" s="2"/>
      <c r="W170" s="2"/>
      <c r="X170" s="2"/>
      <c r="Y170" s="2"/>
      <c r="Z170" s="2"/>
    </row>
    <row r="171" spans="1:26" ht="13" x14ac:dyDescent="0.15">
      <c r="A171" s="2" t="s">
        <v>297</v>
      </c>
      <c r="B171" s="3">
        <v>2016</v>
      </c>
      <c r="C171" s="2" t="s">
        <v>298</v>
      </c>
      <c r="D171" s="2" t="s">
        <v>200</v>
      </c>
      <c r="E171" s="2" t="s">
        <v>14</v>
      </c>
      <c r="F171" s="28" t="str">
        <f>HYPERLINK("https://drive.google.com/open?id=0BxTJoMOw_GADQ2JFYmdtaWQtY3c","Yes")</f>
        <v>Yes</v>
      </c>
      <c r="G171" s="28" t="str">
        <f>HYPERLINK("https://drive.google.com/open?id=0BxTJoMOw_GADM3Y2NGM2dGc3OEk","Yes")</f>
        <v>Yes</v>
      </c>
      <c r="H171" s="9" t="s">
        <v>16</v>
      </c>
      <c r="I171" s="30" t="str">
        <f>HYPERLINK("https://drive.google.com/open?id=0BxTJoMOw_GADUXk3ZUxfaUpYNFU","Yes")</f>
        <v>Yes</v>
      </c>
      <c r="J171" s="31" t="str">
        <f>HYPERLINK("http://www.alexhunterlang.com/nsf-fellowship","Alex Lang")</f>
        <v>Alex Lang</v>
      </c>
      <c r="K171" s="18" t="str">
        <f>HYPERLINK("http://theskyisnotthelimit.org/professional-student/2016/07/20/applying-to-the-nsf-grfp","Yes")</f>
        <v>Yes</v>
      </c>
      <c r="L171" s="2"/>
      <c r="M171" s="2"/>
      <c r="N171" s="2"/>
      <c r="O171" s="2"/>
      <c r="P171" s="2"/>
      <c r="Q171" s="2"/>
      <c r="R171" s="2"/>
      <c r="S171" s="2"/>
      <c r="T171" s="2"/>
      <c r="U171" s="2"/>
      <c r="V171" s="2"/>
      <c r="W171" s="2"/>
      <c r="X171" s="2"/>
      <c r="Y171" s="2"/>
      <c r="Z171" s="2"/>
    </row>
    <row r="172" spans="1:26" ht="13" x14ac:dyDescent="0.15">
      <c r="A172" s="2" t="s">
        <v>299</v>
      </c>
      <c r="B172" s="3">
        <v>2016</v>
      </c>
      <c r="C172" s="2" t="s">
        <v>83</v>
      </c>
      <c r="D172" s="2" t="s">
        <v>27</v>
      </c>
      <c r="E172" s="2" t="s">
        <v>14</v>
      </c>
      <c r="F172" s="32" t="s">
        <v>15</v>
      </c>
      <c r="G172" s="22" t="str">
        <f>HYPERLINK("https://drive.google.com/file/d/0BwVf4t7iUMeHTElFNW1oZURwemM/view","Yes")</f>
        <v>Yes</v>
      </c>
      <c r="H172" s="6" t="s">
        <v>16</v>
      </c>
      <c r="I172" s="6" t="s">
        <v>24</v>
      </c>
      <c r="J172" s="2" t="s">
        <v>299</v>
      </c>
      <c r="L172" s="2"/>
      <c r="M172" s="2"/>
      <c r="N172" s="2"/>
      <c r="O172" s="2"/>
      <c r="P172" s="2"/>
      <c r="Q172" s="2"/>
      <c r="R172" s="2"/>
      <c r="S172" s="2"/>
      <c r="T172" s="2"/>
      <c r="U172" s="2"/>
      <c r="V172" s="2"/>
      <c r="W172" s="2"/>
      <c r="X172" s="2"/>
      <c r="Y172" s="2"/>
      <c r="Z172" s="2"/>
    </row>
    <row r="173" spans="1:26" ht="13" x14ac:dyDescent="0.15">
      <c r="A173" s="2" t="s">
        <v>300</v>
      </c>
      <c r="B173" s="9">
        <v>2016</v>
      </c>
      <c r="C173" s="2" t="s">
        <v>301</v>
      </c>
      <c r="D173" s="2" t="s">
        <v>13</v>
      </c>
      <c r="E173" s="9" t="s">
        <v>14</v>
      </c>
      <c r="F173" s="33" t="str">
        <f>HYPERLINK("https://drive.google.com/file/d/0BxTJoMOw_GADQU1idFJNWjhORTg/view?usp=sharing","Yes")</f>
        <v>Yes</v>
      </c>
      <c r="G173" s="33" t="str">
        <f>HYPERLINK("https://drive.google.com/file/d/0BxTJoMOw_GADdExkc0JKT2dBYk0/view?usp=sharing","Yes")</f>
        <v>Yes</v>
      </c>
      <c r="H173" s="9" t="s">
        <v>16</v>
      </c>
      <c r="I173" s="9" t="s">
        <v>24</v>
      </c>
      <c r="J173" s="31" t="str">
        <f t="shared" ref="J173:J178" si="16">HYPERLINK("http://www.alexhunterlang.com/nsf-fellowship","Alex Lang")</f>
        <v>Alex Lang</v>
      </c>
      <c r="K173" s="9"/>
      <c r="L173" s="2"/>
      <c r="M173" s="2"/>
      <c r="N173" s="2"/>
      <c r="O173" s="2"/>
      <c r="P173" s="2"/>
      <c r="Q173" s="2"/>
      <c r="R173" s="2"/>
      <c r="S173" s="2"/>
      <c r="T173" s="2"/>
      <c r="U173" s="2"/>
      <c r="V173" s="2"/>
      <c r="W173" s="2"/>
      <c r="X173" s="2"/>
      <c r="Y173" s="2"/>
      <c r="Z173" s="2"/>
    </row>
    <row r="174" spans="1:26" ht="13" x14ac:dyDescent="0.15">
      <c r="A174" s="6" t="s">
        <v>302</v>
      </c>
      <c r="B174" s="9">
        <v>2016</v>
      </c>
      <c r="C174" s="6" t="s">
        <v>303</v>
      </c>
      <c r="D174" s="9" t="s">
        <v>27</v>
      </c>
      <c r="E174" s="9" t="s">
        <v>14</v>
      </c>
      <c r="F174" s="33" t="str">
        <f>HYPERLINK("https://drive.google.com/file/d/0BxTJoMOw_GADVWlhVmtDMXV1ZTA/view?usp=sharing","Yes")</f>
        <v>Yes</v>
      </c>
      <c r="G174" s="33" t="str">
        <f>HYPERLINK("https://drive.google.com/file/d/0BxTJoMOw_GADVWhPWWFTaHRSVk0/view?usp=sharing","Yes")</f>
        <v>Yes</v>
      </c>
      <c r="H174" s="9" t="s">
        <v>16</v>
      </c>
      <c r="I174" s="30" t="str">
        <f>HYPERLINK("https://drive.google.com/file/d/0BxTJoMOw_GADaFFmNnhkdUhTWUU/view?usp=sharing","Yes")</f>
        <v>Yes</v>
      </c>
      <c r="J174" s="31" t="str">
        <f t="shared" si="16"/>
        <v>Alex Lang</v>
      </c>
      <c r="K174" s="9"/>
      <c r="L174" s="2"/>
      <c r="M174" s="2"/>
      <c r="N174" s="2"/>
      <c r="O174" s="2"/>
      <c r="P174" s="2"/>
      <c r="Q174" s="2"/>
      <c r="R174" s="2"/>
      <c r="S174" s="2"/>
      <c r="T174" s="2"/>
      <c r="U174" s="2"/>
      <c r="V174" s="2"/>
      <c r="W174" s="2"/>
      <c r="X174" s="2"/>
      <c r="Y174" s="2"/>
      <c r="Z174" s="2"/>
    </row>
    <row r="175" spans="1:26" ht="13" x14ac:dyDescent="0.15">
      <c r="A175" s="2" t="s">
        <v>304</v>
      </c>
      <c r="B175" s="3">
        <v>2016</v>
      </c>
      <c r="C175" s="2" t="s">
        <v>93</v>
      </c>
      <c r="D175" s="2" t="s">
        <v>13</v>
      </c>
      <c r="E175" s="2" t="s">
        <v>14</v>
      </c>
      <c r="F175" s="28" t="str">
        <f>HYPERLINK("https://drive.google.com/open?id=0BxTJoMOw_GADSmlRa2hVUmhib2s","Yes")</f>
        <v>Yes</v>
      </c>
      <c r="G175" s="28" t="str">
        <f>HYPERLINK("https://drive.google.com/file/d/0BxTJoMOw_GADTFRZMVd6SThORW8/view?usp=sharing","Yes")</f>
        <v>Yes</v>
      </c>
      <c r="H175" s="9" t="s">
        <v>16</v>
      </c>
      <c r="I175" s="30" t="str">
        <f>HYPERLINK("https://drive.google.com/file/d/0BxTJoMOw_GADVEhCUXRLRjNqMVE/view?usp=sharing","Yes")</f>
        <v>Yes</v>
      </c>
      <c r="J175" s="31" t="str">
        <f t="shared" si="16"/>
        <v>Alex Lang</v>
      </c>
      <c r="K175" s="18" t="str">
        <f>HYPERLINK("https://gradlifegarcia.wordpress.com/2016/08/05/nsf-grfp-helpful-hints/","Yes")</f>
        <v>Yes</v>
      </c>
      <c r="L175" s="2"/>
      <c r="M175" s="2"/>
      <c r="N175" s="2"/>
      <c r="O175" s="2"/>
      <c r="P175" s="2"/>
      <c r="Q175" s="2"/>
      <c r="R175" s="2"/>
      <c r="S175" s="2"/>
      <c r="T175" s="2"/>
      <c r="U175" s="2"/>
      <c r="V175" s="2"/>
      <c r="W175" s="2"/>
      <c r="X175" s="2"/>
      <c r="Y175" s="2"/>
      <c r="Z175" s="2"/>
    </row>
    <row r="176" spans="1:26" ht="13" x14ac:dyDescent="0.15">
      <c r="A176" s="2" t="s">
        <v>305</v>
      </c>
      <c r="B176" s="9">
        <v>2016</v>
      </c>
      <c r="C176" s="2" t="s">
        <v>306</v>
      </c>
      <c r="D176" s="2" t="s">
        <v>27</v>
      </c>
      <c r="E176" s="9" t="s">
        <v>14</v>
      </c>
      <c r="F176" s="33" t="str">
        <f>HYPERLINK("https://drive.google.com/file/d/0BxTJoMOw_GADZXI3aGltalBYdW8/view?usp=sharing","Yes")</f>
        <v>Yes</v>
      </c>
      <c r="G176" s="33" t="str">
        <f>HYPERLINK("https://drive.google.com/file/d/0BxTJoMOw_GADY1FZcTV6VWs2aEk/view?usp=sharing","Yes")</f>
        <v>Yes</v>
      </c>
      <c r="H176" s="9" t="s">
        <v>16</v>
      </c>
      <c r="I176" s="9" t="s">
        <v>24</v>
      </c>
      <c r="J176" s="31" t="str">
        <f t="shared" si="16"/>
        <v>Alex Lang</v>
      </c>
      <c r="L176" s="2"/>
      <c r="M176" s="2"/>
      <c r="N176" s="2"/>
      <c r="O176" s="2"/>
      <c r="P176" s="2"/>
      <c r="Q176" s="2"/>
      <c r="R176" s="2"/>
      <c r="S176" s="2"/>
      <c r="T176" s="2"/>
      <c r="U176" s="2"/>
      <c r="V176" s="2"/>
      <c r="W176" s="2"/>
      <c r="X176" s="2"/>
      <c r="Y176" s="2"/>
      <c r="Z176" s="2"/>
    </row>
    <row r="177" spans="1:26" ht="13" x14ac:dyDescent="0.15">
      <c r="A177" s="2" t="s">
        <v>307</v>
      </c>
      <c r="B177" s="3">
        <v>2016</v>
      </c>
      <c r="C177" s="2" t="s">
        <v>308</v>
      </c>
      <c r="D177" s="2" t="s">
        <v>27</v>
      </c>
      <c r="E177" s="2" t="s">
        <v>14</v>
      </c>
      <c r="F177" s="15" t="str">
        <f>HYPERLINK("https://drive.google.com/file/d/14m3hfUluZlk_bGgPveEmoWEMGbcVWz6M/view?usp=sharing","Yes")</f>
        <v>Yes</v>
      </c>
      <c r="G177" s="15" t="str">
        <f>HYPERLINK("https://drive.google.com/file/d/1JNqw3zp-ToWc6Lljvj4DinCtuW-3X-eM/view?usp=sharing","Yes")</f>
        <v>Yes</v>
      </c>
      <c r="H177" s="2" t="s">
        <v>16</v>
      </c>
      <c r="I177" s="2" t="s">
        <v>24</v>
      </c>
      <c r="J177" s="15" t="str">
        <f t="shared" si="16"/>
        <v>Alex Lang</v>
      </c>
      <c r="K177" s="2"/>
      <c r="L177" s="2"/>
      <c r="M177" s="2"/>
      <c r="N177" s="2"/>
      <c r="O177" s="2"/>
      <c r="P177" s="2"/>
      <c r="Q177" s="2"/>
      <c r="R177" s="2"/>
      <c r="S177" s="2"/>
      <c r="T177" s="2"/>
      <c r="U177" s="2"/>
      <c r="V177" s="2"/>
      <c r="W177" s="2"/>
      <c r="X177" s="2"/>
      <c r="Y177" s="2"/>
      <c r="Z177" s="2"/>
    </row>
    <row r="178" spans="1:26" ht="13" x14ac:dyDescent="0.15">
      <c r="A178" s="2" t="s">
        <v>270</v>
      </c>
      <c r="B178" s="3">
        <v>2016</v>
      </c>
      <c r="C178" s="2" t="s">
        <v>271</v>
      </c>
      <c r="D178" s="2" t="s">
        <v>13</v>
      </c>
      <c r="E178" s="2" t="s">
        <v>78</v>
      </c>
      <c r="F178" s="8" t="str">
        <f>HYPERLINK("https://drive.google.com/file/d/1r5GEDCJOkxADNRPWIeQDn1BzKBIly5zr/view?usp=sharing","Yes")</f>
        <v>Yes</v>
      </c>
      <c r="G178" s="8" t="str">
        <f>HYPERLINK("https://drive.google.com/file/d/1L6lV7fGf99V0W2VqomdZm4Aw5G41QOmA/view?usp=sharing","Yes")</f>
        <v>Yes</v>
      </c>
      <c r="H178" s="2" t="s">
        <v>16</v>
      </c>
      <c r="I178" s="2" t="s">
        <v>24</v>
      </c>
      <c r="J178" s="5" t="str">
        <f t="shared" si="16"/>
        <v>Alex Lang</v>
      </c>
      <c r="K178" s="9"/>
      <c r="L178" s="2"/>
      <c r="M178" s="2"/>
      <c r="N178" s="2"/>
      <c r="O178" s="2"/>
      <c r="P178" s="2"/>
      <c r="Q178" s="2"/>
      <c r="R178" s="2"/>
      <c r="S178" s="2"/>
      <c r="T178" s="2"/>
      <c r="U178" s="2"/>
      <c r="V178" s="2"/>
      <c r="W178" s="2"/>
      <c r="X178" s="2"/>
      <c r="Y178" s="2"/>
      <c r="Z178" s="2"/>
    </row>
    <row r="179" spans="1:26" ht="13" x14ac:dyDescent="0.15">
      <c r="A179" s="2" t="s">
        <v>309</v>
      </c>
      <c r="B179" s="3">
        <v>2016</v>
      </c>
      <c r="C179" s="2" t="s">
        <v>65</v>
      </c>
      <c r="D179" s="2" t="s">
        <v>27</v>
      </c>
      <c r="E179" s="2" t="s">
        <v>14</v>
      </c>
      <c r="F179" s="28" t="str">
        <f>HYPERLINK("https://drive.google.com/file/d/0BwP0uLnXcb-YWDA3Y3d0clkzdWs/view","Yes")</f>
        <v>Yes</v>
      </c>
      <c r="G179" s="28" t="str">
        <f>HYPERLINK("https://drive.google.com/file/d/0BwP0uLnXcb-Yb1BwLTNJa045dXc/view","Yes")</f>
        <v>Yes</v>
      </c>
      <c r="H179" s="9" t="s">
        <v>16</v>
      </c>
      <c r="I179" s="30" t="str">
        <f>HYPERLINK("https://drive.google.com/file/d/0BwP0uLnXcb-Yc0lRVVA0QlNsMlU/view","Yes")</f>
        <v>Yes</v>
      </c>
      <c r="J179" s="34" t="str">
        <f>HYPERLINK("http://www.chriscaz.com/p/nsf-grfp.html","Christian Cazares")</f>
        <v>Christian Cazares</v>
      </c>
      <c r="K179" s="2"/>
      <c r="L179" s="2"/>
      <c r="M179" s="2"/>
      <c r="N179" s="2"/>
      <c r="O179" s="2"/>
      <c r="P179" s="2"/>
      <c r="Q179" s="2"/>
      <c r="R179" s="2"/>
      <c r="S179" s="2"/>
      <c r="T179" s="2"/>
      <c r="U179" s="2"/>
      <c r="V179" s="2"/>
      <c r="W179" s="2"/>
      <c r="X179" s="2"/>
      <c r="Y179" s="2"/>
      <c r="Z179" s="2"/>
    </row>
    <row r="180" spans="1:26" ht="13" x14ac:dyDescent="0.15">
      <c r="A180" s="2" t="s">
        <v>48</v>
      </c>
      <c r="B180" s="3">
        <v>2016</v>
      </c>
      <c r="C180" s="2" t="s">
        <v>310</v>
      </c>
      <c r="D180" s="2" t="s">
        <v>13</v>
      </c>
      <c r="E180" s="2" t="s">
        <v>14</v>
      </c>
      <c r="F180" s="15" t="str">
        <f>HYPERLINK("https://drive.google.com/file/d/1sILiA6wliAIrVIibsCIGYXIKuna3e7vB/view?usp=sharing","Yes")</f>
        <v>Yes</v>
      </c>
      <c r="G180" s="15" t="str">
        <f>HYPERLINK("https://drive.google.com/file/d/1mL7Ojfv5WxFXs7ygVurhBM_77rOfxxrM/view?usp=sharing","Yes")</f>
        <v>Yes</v>
      </c>
      <c r="H180" s="2" t="s">
        <v>16</v>
      </c>
      <c r="I180" s="2" t="s">
        <v>24</v>
      </c>
      <c r="J180" s="15" t="str">
        <f t="shared" ref="J180:J183" si="17">HYPERLINK("http://www.alexhunterlang.com/nsf-fellowship","Alex Lang")</f>
        <v>Alex Lang</v>
      </c>
      <c r="K180" s="2"/>
      <c r="L180" s="2"/>
      <c r="M180" s="2"/>
      <c r="N180" s="2"/>
      <c r="O180" s="2"/>
      <c r="P180" s="2"/>
      <c r="Q180" s="2"/>
      <c r="R180" s="2"/>
      <c r="S180" s="2"/>
      <c r="T180" s="2"/>
      <c r="U180" s="2"/>
      <c r="V180" s="2"/>
      <c r="W180" s="2"/>
      <c r="X180" s="2"/>
      <c r="Y180" s="2"/>
      <c r="Z180" s="2"/>
    </row>
    <row r="181" spans="1:26" ht="13" x14ac:dyDescent="0.15">
      <c r="A181" s="2" t="s">
        <v>311</v>
      </c>
      <c r="B181" s="3">
        <v>2016</v>
      </c>
      <c r="C181" s="2" t="s">
        <v>312</v>
      </c>
      <c r="D181" s="2" t="s">
        <v>27</v>
      </c>
      <c r="E181" s="2" t="s">
        <v>14</v>
      </c>
      <c r="F181" s="22" t="str">
        <f>HYPERLINK("https://drive.google.com/file/d/0BxTJoMOw_GADYWpqX0F1ckJNQ28/view?usp=sharing","Yes")</f>
        <v>Yes</v>
      </c>
      <c r="G181" s="22" t="str">
        <f>HYPERLINK("https://drive.google.com/file/d/0BxTJoMOw_GADWlpvTkFJbVQ4aVk/view?usp=sharing","Yes")</f>
        <v>Yes</v>
      </c>
      <c r="H181" s="6" t="s">
        <v>16</v>
      </c>
      <c r="I181" s="6" t="s">
        <v>24</v>
      </c>
      <c r="J181" s="31" t="str">
        <f t="shared" si="17"/>
        <v>Alex Lang</v>
      </c>
      <c r="L181" s="2"/>
      <c r="M181" s="2"/>
      <c r="N181" s="2"/>
      <c r="O181" s="2"/>
      <c r="P181" s="2"/>
      <c r="Q181" s="2"/>
      <c r="R181" s="2"/>
      <c r="S181" s="2"/>
      <c r="T181" s="2"/>
      <c r="U181" s="2"/>
      <c r="V181" s="2"/>
      <c r="W181" s="2"/>
      <c r="X181" s="2"/>
      <c r="Y181" s="2"/>
      <c r="Z181" s="2"/>
    </row>
    <row r="182" spans="1:26" ht="13" x14ac:dyDescent="0.15">
      <c r="A182" s="2" t="s">
        <v>313</v>
      </c>
      <c r="B182" s="3">
        <v>2016</v>
      </c>
      <c r="C182" s="2" t="s">
        <v>314</v>
      </c>
      <c r="D182" s="2" t="s">
        <v>200</v>
      </c>
      <c r="E182" s="2" t="s">
        <v>14</v>
      </c>
      <c r="F182" s="21" t="str">
        <f>HYPERLINK("https://drive.google.com/file/d/0BxTJoMOw_GADeWM2NDVtMU10ejQ/view?usp=sharing","Yes")</f>
        <v>Yes</v>
      </c>
      <c r="G182" s="21" t="str">
        <f>HYPERLINK("https://drive.google.com/file/d/0BxTJoMOw_GADZ3ZEZVJ0WDRaXzA/view?usp=sharing","Yes")</f>
        <v>Yes</v>
      </c>
      <c r="H182" s="2" t="s">
        <v>16</v>
      </c>
      <c r="I182" s="21" t="str">
        <f>HYPERLINK("https://drive.google.com/file/d/0BxTJoMOw_GADdDhGc0VMRGE5WW8/view?usp=sharing","Yes")</f>
        <v>Yes</v>
      </c>
      <c r="J182" s="15" t="str">
        <f t="shared" si="17"/>
        <v>Alex Lang</v>
      </c>
      <c r="K182" s="15" t="str">
        <f>HYPERLINK("http://opencuny.org/scardenas/nsf-grfp-resources/","Yes")</f>
        <v>Yes</v>
      </c>
      <c r="L182" s="2"/>
      <c r="M182" s="2"/>
      <c r="N182" s="2"/>
      <c r="O182" s="2"/>
      <c r="P182" s="2"/>
      <c r="Q182" s="2"/>
      <c r="R182" s="2"/>
      <c r="S182" s="2"/>
      <c r="T182" s="2"/>
      <c r="U182" s="2"/>
      <c r="V182" s="2"/>
      <c r="W182" s="2"/>
      <c r="X182" s="2"/>
      <c r="Y182" s="2"/>
      <c r="Z182" s="2"/>
    </row>
    <row r="183" spans="1:26" ht="13" x14ac:dyDescent="0.15">
      <c r="A183" s="2" t="s">
        <v>315</v>
      </c>
      <c r="B183" s="3">
        <v>2016</v>
      </c>
      <c r="C183" s="2" t="s">
        <v>195</v>
      </c>
      <c r="D183" s="2" t="s">
        <v>27</v>
      </c>
      <c r="E183" s="9" t="s">
        <v>14</v>
      </c>
      <c r="F183" s="33" t="str">
        <f>HYPERLINK("https://drive.google.com/file/d/0BxTJoMOw_GADdGJLQU1aRHNDVEk/view?usp=sharing","Yes")</f>
        <v>Yes</v>
      </c>
      <c r="G183" s="33" t="str">
        <f>HYPERLINK("https://drive.google.com/file/d/0BxTJoMOw_GADVUVac0lmc3ZZQjg/view?usp=sharing","Yes")</f>
        <v>Yes</v>
      </c>
      <c r="H183" s="9" t="s">
        <v>16</v>
      </c>
      <c r="I183" s="9" t="s">
        <v>24</v>
      </c>
      <c r="J183" s="31" t="str">
        <f t="shared" si="17"/>
        <v>Alex Lang</v>
      </c>
      <c r="K183" s="35" t="str">
        <f>HYPERLINK("https://geodesick.wordpress.com/","Yes")</f>
        <v>Yes</v>
      </c>
      <c r="L183" s="2"/>
      <c r="M183" s="2"/>
      <c r="N183" s="2"/>
      <c r="O183" s="2"/>
      <c r="P183" s="2"/>
      <c r="Q183" s="2"/>
      <c r="R183" s="2"/>
      <c r="S183" s="2"/>
      <c r="T183" s="2"/>
      <c r="U183" s="2"/>
      <c r="V183" s="2"/>
      <c r="W183" s="2"/>
      <c r="X183" s="2"/>
      <c r="Y183" s="2"/>
      <c r="Z183" s="2"/>
    </row>
    <row r="184" spans="1:26" ht="13" x14ac:dyDescent="0.15">
      <c r="A184" s="2" t="s">
        <v>48</v>
      </c>
      <c r="B184" s="3">
        <v>2016</v>
      </c>
      <c r="C184" s="2" t="s">
        <v>199</v>
      </c>
      <c r="D184" s="2" t="s">
        <v>200</v>
      </c>
      <c r="E184" s="2" t="s">
        <v>14</v>
      </c>
      <c r="F184" s="5" t="s">
        <v>15</v>
      </c>
      <c r="G184" s="5" t="s">
        <v>15</v>
      </c>
      <c r="H184" s="2" t="s">
        <v>16</v>
      </c>
      <c r="I184" s="2" t="s">
        <v>24</v>
      </c>
      <c r="J184" s="5" t="s">
        <v>316</v>
      </c>
      <c r="K184" s="2"/>
      <c r="L184" s="2"/>
      <c r="M184" s="2"/>
      <c r="N184" s="2"/>
      <c r="O184" s="2"/>
      <c r="P184" s="2"/>
      <c r="Q184" s="2"/>
      <c r="R184" s="2"/>
      <c r="S184" s="2"/>
      <c r="T184" s="2"/>
      <c r="U184" s="2"/>
      <c r="V184" s="2"/>
      <c r="W184" s="2"/>
      <c r="X184" s="2"/>
      <c r="Y184" s="2"/>
      <c r="Z184" s="2"/>
    </row>
    <row r="185" spans="1:26" ht="13" x14ac:dyDescent="0.15">
      <c r="A185" s="2" t="s">
        <v>317</v>
      </c>
      <c r="B185" s="3">
        <v>2016</v>
      </c>
      <c r="C185" s="2" t="s">
        <v>318</v>
      </c>
      <c r="D185" s="2" t="s">
        <v>13</v>
      </c>
      <c r="E185" s="2" t="s">
        <v>14</v>
      </c>
      <c r="F185" s="29" t="s">
        <v>15</v>
      </c>
      <c r="G185" s="29" t="s">
        <v>15</v>
      </c>
      <c r="H185" s="2" t="s">
        <v>16</v>
      </c>
      <c r="I185" s="2" t="s">
        <v>24</v>
      </c>
      <c r="J185" s="5" t="s">
        <v>292</v>
      </c>
      <c r="K185" s="2"/>
      <c r="L185" s="2"/>
      <c r="M185" s="2"/>
      <c r="N185" s="2"/>
      <c r="O185" s="2"/>
      <c r="P185" s="2"/>
      <c r="Q185" s="2"/>
      <c r="R185" s="2"/>
      <c r="S185" s="2"/>
      <c r="T185" s="2"/>
      <c r="U185" s="2"/>
      <c r="V185" s="2"/>
      <c r="W185" s="2"/>
      <c r="X185" s="2"/>
      <c r="Y185" s="2"/>
      <c r="Z185" s="2"/>
    </row>
    <row r="186" spans="1:26" ht="13" x14ac:dyDescent="0.15">
      <c r="A186" s="2" t="s">
        <v>319</v>
      </c>
      <c r="B186" s="3">
        <v>2016</v>
      </c>
      <c r="C186" s="2" t="s">
        <v>320</v>
      </c>
      <c r="D186" s="2" t="s">
        <v>200</v>
      </c>
      <c r="E186" s="2" t="s">
        <v>14</v>
      </c>
      <c r="F186" s="29" t="s">
        <v>15</v>
      </c>
      <c r="G186" s="29" t="s">
        <v>15</v>
      </c>
      <c r="H186" s="2" t="s">
        <v>16</v>
      </c>
      <c r="I186" s="29" t="s">
        <v>15</v>
      </c>
      <c r="J186" s="5" t="s">
        <v>292</v>
      </c>
      <c r="K186" s="2"/>
      <c r="L186" s="2"/>
      <c r="M186" s="2"/>
      <c r="N186" s="2"/>
      <c r="O186" s="2"/>
      <c r="P186" s="2"/>
      <c r="Q186" s="2"/>
      <c r="R186" s="2"/>
      <c r="S186" s="2"/>
      <c r="T186" s="2"/>
      <c r="U186" s="2"/>
      <c r="V186" s="2"/>
      <c r="W186" s="2"/>
      <c r="X186" s="2"/>
      <c r="Y186" s="2"/>
      <c r="Z186" s="2"/>
    </row>
    <row r="187" spans="1:26" ht="13" x14ac:dyDescent="0.15">
      <c r="A187" s="2" t="s">
        <v>321</v>
      </c>
      <c r="B187" s="3">
        <v>2016</v>
      </c>
      <c r="C187" s="2" t="s">
        <v>322</v>
      </c>
      <c r="D187" s="2" t="s">
        <v>200</v>
      </c>
      <c r="E187" s="2" t="s">
        <v>14</v>
      </c>
      <c r="F187" s="29" t="s">
        <v>15</v>
      </c>
      <c r="G187" s="29" t="s">
        <v>15</v>
      </c>
      <c r="H187" s="2" t="s">
        <v>16</v>
      </c>
      <c r="I187" s="2" t="s">
        <v>24</v>
      </c>
      <c r="J187" s="5" t="s">
        <v>292</v>
      </c>
      <c r="K187" s="2"/>
      <c r="L187" s="2"/>
      <c r="M187" s="2"/>
      <c r="N187" s="2"/>
      <c r="O187" s="2"/>
      <c r="P187" s="2"/>
      <c r="Q187" s="2"/>
      <c r="R187" s="2"/>
      <c r="S187" s="2"/>
      <c r="T187" s="2"/>
      <c r="U187" s="2"/>
      <c r="V187" s="2"/>
      <c r="W187" s="2"/>
      <c r="X187" s="2"/>
      <c r="Y187" s="2"/>
      <c r="Z187" s="2"/>
    </row>
    <row r="188" spans="1:26" ht="13" x14ac:dyDescent="0.15">
      <c r="A188" s="2" t="s">
        <v>323</v>
      </c>
      <c r="B188" s="3">
        <v>2016</v>
      </c>
      <c r="C188" s="2" t="s">
        <v>242</v>
      </c>
      <c r="D188" s="2" t="s">
        <v>13</v>
      </c>
      <c r="E188" s="2" t="s">
        <v>14</v>
      </c>
      <c r="F188" s="4" t="s">
        <v>15</v>
      </c>
      <c r="G188" s="4" t="s">
        <v>15</v>
      </c>
      <c r="H188" s="2" t="s">
        <v>16</v>
      </c>
      <c r="I188" s="4" t="s">
        <v>15</v>
      </c>
      <c r="J188" s="5" t="str">
        <f t="shared" ref="J188:J193" si="18">HYPERLINK("http://www.alexhunterlang.com/nsf-fellowship","Alex Lang")</f>
        <v>Alex Lang</v>
      </c>
      <c r="K188" s="2"/>
      <c r="L188" s="2"/>
      <c r="M188" s="2"/>
      <c r="N188" s="2"/>
      <c r="O188" s="2"/>
      <c r="P188" s="2"/>
      <c r="Q188" s="2"/>
      <c r="R188" s="2"/>
      <c r="S188" s="2"/>
      <c r="T188" s="2"/>
      <c r="U188" s="2"/>
      <c r="V188" s="2"/>
      <c r="W188" s="2"/>
      <c r="X188" s="2"/>
      <c r="Y188" s="2"/>
      <c r="Z188" s="2"/>
    </row>
    <row r="189" spans="1:26" ht="13" x14ac:dyDescent="0.15">
      <c r="A189" s="2" t="s">
        <v>324</v>
      </c>
      <c r="B189" s="3">
        <v>2016</v>
      </c>
      <c r="C189" s="2" t="s">
        <v>314</v>
      </c>
      <c r="D189" s="2" t="s">
        <v>13</v>
      </c>
      <c r="E189" s="2" t="s">
        <v>14</v>
      </c>
      <c r="F189" s="4" t="s">
        <v>15</v>
      </c>
      <c r="G189" s="4" t="s">
        <v>15</v>
      </c>
      <c r="H189" s="2" t="s">
        <v>16</v>
      </c>
      <c r="I189" s="4" t="s">
        <v>15</v>
      </c>
      <c r="J189" s="5" t="str">
        <f t="shared" si="18"/>
        <v>Alex Lang</v>
      </c>
      <c r="K189" s="2"/>
      <c r="L189" s="2"/>
      <c r="M189" s="2"/>
      <c r="N189" s="2"/>
      <c r="O189" s="2"/>
      <c r="P189" s="2"/>
      <c r="Q189" s="2"/>
      <c r="R189" s="2"/>
      <c r="S189" s="2"/>
      <c r="T189" s="2"/>
      <c r="U189" s="2"/>
      <c r="V189" s="2"/>
      <c r="W189" s="2"/>
      <c r="X189" s="2"/>
      <c r="Y189" s="2"/>
      <c r="Z189" s="2"/>
    </row>
    <row r="190" spans="1:26" ht="13" x14ac:dyDescent="0.15">
      <c r="A190" s="20" t="s">
        <v>325</v>
      </c>
      <c r="B190" s="9">
        <v>2015</v>
      </c>
      <c r="C190" s="20" t="s">
        <v>143</v>
      </c>
      <c r="D190" s="20" t="s">
        <v>27</v>
      </c>
      <c r="E190" s="20" t="s">
        <v>14</v>
      </c>
      <c r="F190" s="36" t="s">
        <v>15</v>
      </c>
      <c r="G190" s="36" t="s">
        <v>15</v>
      </c>
      <c r="H190" s="20" t="s">
        <v>16</v>
      </c>
      <c r="I190" s="37" t="str">
        <f>HYPERLINK("https://drive.google.com/file/d/0BxTJoMOw_GADb0JSZ3NiWHBnalk/view?usp=sharing","Yes")</f>
        <v>Yes</v>
      </c>
      <c r="J190" s="31" t="str">
        <f t="shared" si="18"/>
        <v>Alex Lang</v>
      </c>
      <c r="K190" s="20"/>
      <c r="L190" s="2"/>
      <c r="M190" s="2"/>
      <c r="N190" s="2"/>
      <c r="O190" s="2"/>
      <c r="P190" s="2"/>
      <c r="Q190" s="2"/>
      <c r="R190" s="2"/>
      <c r="S190" s="2"/>
      <c r="T190" s="2"/>
      <c r="U190" s="2"/>
      <c r="V190" s="2"/>
      <c r="W190" s="2"/>
      <c r="X190" s="2"/>
      <c r="Y190" s="2"/>
      <c r="Z190" s="2"/>
    </row>
    <row r="191" spans="1:26" ht="13" x14ac:dyDescent="0.15">
      <c r="A191" s="2" t="s">
        <v>326</v>
      </c>
      <c r="B191" s="3">
        <v>2015</v>
      </c>
      <c r="C191" s="2" t="s">
        <v>327</v>
      </c>
      <c r="D191" s="2" t="s">
        <v>13</v>
      </c>
      <c r="E191" s="2" t="s">
        <v>14</v>
      </c>
      <c r="F191" s="28" t="str">
        <f>HYPERLINK("https://drive.google.com/open?id=0BxTJoMOw_GADOHlnYUJiaHNMTVk","Yes")</f>
        <v>Yes</v>
      </c>
      <c r="G191" s="28" t="str">
        <f>HYPERLINK("https://drive.google.com/open?id=0BxTJoMOw_GADaWdYQjdCUFJiSFk","Yes")</f>
        <v>Yes</v>
      </c>
      <c r="H191" s="9" t="s">
        <v>16</v>
      </c>
      <c r="I191" s="9" t="s">
        <v>24</v>
      </c>
      <c r="J191" s="31" t="str">
        <f t="shared" si="18"/>
        <v>Alex Lang</v>
      </c>
      <c r="K191" s="2"/>
      <c r="L191" s="2"/>
      <c r="M191" s="2"/>
      <c r="N191" s="2"/>
      <c r="O191" s="2"/>
      <c r="P191" s="2"/>
      <c r="Q191" s="2"/>
      <c r="R191" s="2"/>
      <c r="S191" s="2"/>
      <c r="T191" s="2"/>
      <c r="U191" s="2"/>
      <c r="V191" s="2"/>
      <c r="W191" s="2"/>
      <c r="X191" s="2"/>
      <c r="Y191" s="2"/>
      <c r="Z191" s="2"/>
    </row>
    <row r="192" spans="1:26" ht="13" x14ac:dyDescent="0.15">
      <c r="A192" s="9" t="s">
        <v>328</v>
      </c>
      <c r="B192" s="9">
        <v>2015</v>
      </c>
      <c r="C192" s="6" t="s">
        <v>329</v>
      </c>
      <c r="D192" s="2" t="s">
        <v>200</v>
      </c>
      <c r="E192" s="9" t="s">
        <v>14</v>
      </c>
      <c r="F192" s="35" t="str">
        <f>HYPERLINK("https://drive.google.com/file/d/0BxTJoMOw_GADeVhkalBiQWpwb3M","Yes")</f>
        <v>Yes</v>
      </c>
      <c r="G192" s="35" t="str">
        <f>HYPERLINK("https://drive.google.com/file/d/0BxTJoMOw_GADM3NyZ1E3UlZteFU","Yes")</f>
        <v>Yes</v>
      </c>
      <c r="H192" s="9" t="s">
        <v>16</v>
      </c>
      <c r="I192" s="35" t="str">
        <f>HYPERLINK("https://drive.google.com/file/d/0BxTJoMOw_GADRWtvYldBZC1naVE","Yes")</f>
        <v>Yes</v>
      </c>
      <c r="J192" s="31" t="str">
        <f t="shared" si="18"/>
        <v>Alex Lang</v>
      </c>
      <c r="K192" s="20"/>
      <c r="L192" s="2"/>
      <c r="M192" s="2"/>
      <c r="N192" s="2"/>
      <c r="O192" s="2"/>
      <c r="P192" s="2"/>
      <c r="Q192" s="2"/>
      <c r="R192" s="2"/>
      <c r="S192" s="2"/>
      <c r="T192" s="2"/>
      <c r="U192" s="2"/>
      <c r="V192" s="2"/>
      <c r="W192" s="2"/>
      <c r="X192" s="2"/>
      <c r="Y192" s="2"/>
      <c r="Z192" s="2"/>
    </row>
    <row r="193" spans="1:26" ht="13" x14ac:dyDescent="0.15">
      <c r="A193" s="38" t="s">
        <v>330</v>
      </c>
      <c r="B193" s="9">
        <v>2015</v>
      </c>
      <c r="C193" s="6" t="s">
        <v>331</v>
      </c>
      <c r="D193" s="9" t="s">
        <v>332</v>
      </c>
      <c r="E193" s="9" t="s">
        <v>14</v>
      </c>
      <c r="F193" s="35" t="str">
        <f>HYPERLINK("https://drive.google.com/file/d/0BxTJoMOw_GADY3RQdVJ6aTRNSGc","Yes")</f>
        <v>Yes</v>
      </c>
      <c r="G193" s="39" t="str">
        <f>HYPERLINK("https://drive.google.com/file/d/0BxTJoMOw_GADdm1VN0xGaHpNNkU","Yes")</f>
        <v>Yes</v>
      </c>
      <c r="H193" s="9" t="s">
        <v>16</v>
      </c>
      <c r="I193" s="35" t="str">
        <f>HYPERLINK("https://drive.google.com/file/d/0BxTJoMOw_GADWXRLMWktdmExVDA","Yes")</f>
        <v>Yes</v>
      </c>
      <c r="J193" s="31" t="str">
        <f t="shared" si="18"/>
        <v>Alex Lang</v>
      </c>
      <c r="K193" s="20"/>
      <c r="L193" s="2"/>
      <c r="M193" s="2"/>
      <c r="N193" s="2"/>
      <c r="O193" s="2"/>
      <c r="P193" s="2"/>
      <c r="Q193" s="2"/>
      <c r="R193" s="2"/>
      <c r="S193" s="2"/>
      <c r="T193" s="2"/>
      <c r="U193" s="2"/>
      <c r="V193" s="2"/>
      <c r="W193" s="2"/>
      <c r="X193" s="2"/>
      <c r="Y193" s="2"/>
      <c r="Z193" s="2"/>
    </row>
    <row r="194" spans="1:26" ht="13" x14ac:dyDescent="0.15">
      <c r="A194" s="9" t="s">
        <v>333</v>
      </c>
      <c r="B194" s="9">
        <v>2015</v>
      </c>
      <c r="C194" s="40" t="s">
        <v>334</v>
      </c>
      <c r="D194" s="9" t="s">
        <v>332</v>
      </c>
      <c r="E194" s="9" t="s">
        <v>14</v>
      </c>
      <c r="F194" s="35" t="str">
        <f>HYPERLINK("https://drive.google.com/file/d/0B_MzzqoAuHw7MGpIc25pSmlVem8","Yes")</f>
        <v>Yes</v>
      </c>
      <c r="G194" s="35" t="str">
        <f>HYPERLINK("https://drive.google.com/file/d/0B_MzzqoAuHw7YURiUElGSUdrR1U","Yes")</f>
        <v>Yes</v>
      </c>
      <c r="H194" s="9" t="s">
        <v>16</v>
      </c>
      <c r="I194" s="35" t="str">
        <f>HYPERLINK("https://drive.google.com/file/d/0B_MzzqoAuHw7YUNZT2IzMjhaV1k","Yes")</f>
        <v>Yes</v>
      </c>
      <c r="J194" s="35" t="str">
        <f>HYPERLINK("http://mcfernandes.com/","Matheus Fernandes")</f>
        <v>Matheus Fernandes</v>
      </c>
      <c r="K194" s="20"/>
      <c r="L194" s="2"/>
      <c r="M194" s="2"/>
      <c r="N194" s="2"/>
      <c r="O194" s="2"/>
      <c r="P194" s="2"/>
      <c r="Q194" s="2"/>
      <c r="R194" s="2"/>
      <c r="S194" s="2"/>
      <c r="T194" s="2"/>
      <c r="U194" s="2"/>
      <c r="V194" s="2"/>
      <c r="W194" s="2"/>
      <c r="X194" s="2"/>
      <c r="Y194" s="2"/>
      <c r="Z194" s="2"/>
    </row>
    <row r="195" spans="1:26" ht="13" x14ac:dyDescent="0.15">
      <c r="A195" s="41" t="s">
        <v>335</v>
      </c>
      <c r="B195" s="9">
        <v>2015</v>
      </c>
      <c r="C195" s="6" t="s">
        <v>51</v>
      </c>
      <c r="D195" s="2" t="s">
        <v>200</v>
      </c>
      <c r="E195" s="9" t="s">
        <v>14</v>
      </c>
      <c r="F195" s="35" t="str">
        <f>HYPERLINK("https://drive.google.com/file/d/0BxTJoMOw_GADak8xUUdRc1JtMDA","Yes")</f>
        <v>Yes</v>
      </c>
      <c r="G195" s="35" t="str">
        <f>HYPERLINK("https://drive.google.com/file/d/0BxTJoMOw_GADZmUyYnEtbUdqcEE","Yes")</f>
        <v>Yes</v>
      </c>
      <c r="H195" s="9" t="s">
        <v>16</v>
      </c>
      <c r="I195" s="35" t="str">
        <f>HYPERLINK("https://drive.google.com/file/d/0BxTJoMOw_GADQk5aMzhXeGJNODg","Yes")</f>
        <v>Yes</v>
      </c>
      <c r="J195" s="31" t="str">
        <f t="shared" ref="J195:J196" si="19">HYPERLINK("http://www.alexhunterlang.com/nsf-fellowship","Alex Lang")</f>
        <v>Alex Lang</v>
      </c>
      <c r="K195" s="20"/>
      <c r="L195" s="2"/>
      <c r="M195" s="2"/>
      <c r="N195" s="2"/>
      <c r="O195" s="2"/>
      <c r="P195" s="2"/>
      <c r="Q195" s="2"/>
      <c r="R195" s="2"/>
      <c r="S195" s="2"/>
      <c r="T195" s="2"/>
      <c r="U195" s="2"/>
      <c r="V195" s="2"/>
      <c r="W195" s="2"/>
      <c r="X195" s="2"/>
      <c r="Y195" s="2"/>
      <c r="Z195" s="2"/>
    </row>
    <row r="196" spans="1:26" ht="13" x14ac:dyDescent="0.15">
      <c r="A196" s="2" t="s">
        <v>336</v>
      </c>
      <c r="B196" s="3">
        <v>2015</v>
      </c>
      <c r="C196" s="2" t="s">
        <v>337</v>
      </c>
      <c r="D196" s="2" t="s">
        <v>13</v>
      </c>
      <c r="E196" s="2" t="s">
        <v>14</v>
      </c>
      <c r="F196" s="15" t="str">
        <f>HYPERLINK("https://drive.google.com/file/d/1iymIJ98nm41w1k5-dWsZ_CrXd5Y3MysE/view?usp=sharing","Yes")</f>
        <v>Yes</v>
      </c>
      <c r="G196" s="15" t="str">
        <f>HYPERLINK("https://drive.google.com/file/d/1jV9p3wqAzoRLCJgCbr2Pr7eCSWcaqtjg/view?usp=sharing","Yes")</f>
        <v>Yes</v>
      </c>
      <c r="H196" s="2" t="s">
        <v>16</v>
      </c>
      <c r="I196" s="15" t="str">
        <f>HYPERLINK("https://drive.google.com/file/d/1lUTODiwN_icKLty1E6r4qeD1dADsKaw0/view?usp=sharing","Yes")</f>
        <v>Yes</v>
      </c>
      <c r="J196" s="15" t="str">
        <f t="shared" si="19"/>
        <v>Alex Lang</v>
      </c>
      <c r="K196" s="15" t="str">
        <f>HYPERLINK("https://drive.google.com/file/d/1el9l_6rmZob4dNvbIgV48ro97e9FWa5g/view?usp=sharing","Yes")</f>
        <v>Yes</v>
      </c>
      <c r="L196" s="2"/>
      <c r="M196" s="2"/>
      <c r="N196" s="2"/>
      <c r="O196" s="2"/>
      <c r="P196" s="2"/>
      <c r="Q196" s="2"/>
      <c r="R196" s="2"/>
      <c r="S196" s="2"/>
      <c r="T196" s="2"/>
      <c r="U196" s="2"/>
      <c r="V196" s="2"/>
      <c r="W196" s="2"/>
      <c r="X196" s="2"/>
      <c r="Y196" s="2"/>
      <c r="Z196" s="2"/>
    </row>
    <row r="197" spans="1:26" ht="13" x14ac:dyDescent="0.15">
      <c r="A197" s="2" t="s">
        <v>338</v>
      </c>
      <c r="B197" s="3">
        <v>2015</v>
      </c>
      <c r="C197" s="2" t="s">
        <v>339</v>
      </c>
      <c r="D197" s="2" t="s">
        <v>13</v>
      </c>
      <c r="E197" s="2" t="s">
        <v>14</v>
      </c>
      <c r="F197" s="2" t="s">
        <v>24</v>
      </c>
      <c r="G197" s="15" t="str">
        <f>HYPERLINK("https://ideaspermatheca.com/2016/08/15/personal-statement/","Yes")</f>
        <v>Yes</v>
      </c>
      <c r="H197" s="2" t="s">
        <v>16</v>
      </c>
      <c r="I197" s="2" t="s">
        <v>24</v>
      </c>
      <c r="J197" s="15" t="str">
        <f>HYPERLINK("https://ideaspermatheca.com","Caitlin McDonough")</f>
        <v>Caitlin McDonough</v>
      </c>
      <c r="K197" s="15" t="str">
        <f>HYPERLINK("https://ideaspermatheca.com/2016/08/15/personal-statement/","Yes")</f>
        <v>Yes</v>
      </c>
      <c r="L197" s="2"/>
      <c r="M197" s="2"/>
      <c r="N197" s="2"/>
      <c r="O197" s="2"/>
      <c r="P197" s="2"/>
      <c r="Q197" s="2"/>
      <c r="R197" s="2"/>
      <c r="S197" s="2"/>
      <c r="T197" s="2"/>
      <c r="U197" s="2"/>
      <c r="V197" s="2"/>
      <c r="W197" s="2"/>
      <c r="X197" s="2"/>
      <c r="Y197" s="2"/>
      <c r="Z197" s="2"/>
    </row>
    <row r="198" spans="1:26" ht="13" x14ac:dyDescent="0.15">
      <c r="A198" s="2" t="s">
        <v>270</v>
      </c>
      <c r="B198" s="3">
        <v>2015</v>
      </c>
      <c r="C198" s="2" t="s">
        <v>271</v>
      </c>
      <c r="D198" s="2" t="s">
        <v>27</v>
      </c>
      <c r="E198" s="2" t="s">
        <v>78</v>
      </c>
      <c r="F198" s="5" t="str">
        <f>HYPERLINK("https://drive.google.com/file/d/1lAgdzlLCuKY9ewea_ZLbFXoT1lv1dZrs/view?usp=sharing","Yes")</f>
        <v>Yes</v>
      </c>
      <c r="G198" s="5" t="str">
        <f>HYPERLINK("https://drive.google.com/file/d/1HO0BejztW4OKOmpxlDafOQfm2h7HdeQr/view?usp=sharing","Yes")</f>
        <v>Yes</v>
      </c>
      <c r="H198" s="2" t="s">
        <v>16</v>
      </c>
      <c r="I198" s="2" t="s">
        <v>24</v>
      </c>
      <c r="J198" s="5" t="str">
        <f>HYPERLINK("http://www.alexhunterlang.com/nsf-fellowship","Alex Lang")</f>
        <v>Alex Lang</v>
      </c>
      <c r="K198" s="9"/>
      <c r="L198" s="2"/>
      <c r="M198" s="2"/>
      <c r="N198" s="2"/>
      <c r="O198" s="2"/>
      <c r="P198" s="2"/>
      <c r="Q198" s="2"/>
      <c r="R198" s="2"/>
      <c r="S198" s="2"/>
      <c r="T198" s="2"/>
      <c r="U198" s="2"/>
      <c r="V198" s="2"/>
      <c r="W198" s="2"/>
      <c r="X198" s="2"/>
      <c r="Y198" s="2"/>
      <c r="Z198" s="2"/>
    </row>
    <row r="199" spans="1:26" ht="13" x14ac:dyDescent="0.15">
      <c r="A199" s="9" t="s">
        <v>340</v>
      </c>
      <c r="B199" s="9">
        <v>2015</v>
      </c>
      <c r="C199" s="9" t="s">
        <v>341</v>
      </c>
      <c r="D199" s="2" t="s">
        <v>200</v>
      </c>
      <c r="E199" s="9" t="s">
        <v>14</v>
      </c>
      <c r="F199" s="35" t="str">
        <f>HYPERLINK("http://media.wix.com/ugd/d8b90a_ff0308f468a7435d9a12b809fa02bd51.pdf","Yes")</f>
        <v>Yes</v>
      </c>
      <c r="G199" s="35" t="str">
        <f>HYPERLINK("http://media.wix.com/ugd/d8b90a_bb18003445bd490d9bf052206d839073.pdf","Yes")</f>
        <v>Yes</v>
      </c>
      <c r="H199" s="9" t="s">
        <v>16</v>
      </c>
      <c r="I199" s="35" t="str">
        <f>HYPERLINK("http://media.wix.com/ugd/d8b90a_9161bd25ffd3493c81483087084f7222.pdf","Yes")</f>
        <v>Yes</v>
      </c>
      <c r="J199" s="35" t="str">
        <f>HYPERLINK("http://www.smasongarrison.com/","Mason Garrison")</f>
        <v>Mason Garrison</v>
      </c>
      <c r="K199" s="20"/>
      <c r="L199" s="2"/>
      <c r="M199" s="2"/>
      <c r="N199" s="2"/>
      <c r="O199" s="2"/>
      <c r="P199" s="2"/>
      <c r="Q199" s="2"/>
      <c r="R199" s="2"/>
      <c r="S199" s="2"/>
      <c r="T199" s="2"/>
      <c r="U199" s="2"/>
      <c r="V199" s="2"/>
      <c r="W199" s="2"/>
      <c r="X199" s="2"/>
      <c r="Y199" s="2"/>
      <c r="Z199" s="2"/>
    </row>
    <row r="200" spans="1:26" ht="13" x14ac:dyDescent="0.15">
      <c r="A200" s="2" t="s">
        <v>342</v>
      </c>
      <c r="B200" s="3">
        <v>2015</v>
      </c>
      <c r="C200" s="2" t="s">
        <v>233</v>
      </c>
      <c r="D200" s="2" t="s">
        <v>20</v>
      </c>
      <c r="E200" s="2" t="s">
        <v>14</v>
      </c>
      <c r="F200" s="4" t="s">
        <v>15</v>
      </c>
      <c r="G200" s="4" t="s">
        <v>15</v>
      </c>
      <c r="H200" s="2" t="s">
        <v>16</v>
      </c>
      <c r="I200" s="2" t="s">
        <v>24</v>
      </c>
      <c r="J200" s="2" t="s">
        <v>342</v>
      </c>
      <c r="K200" s="2"/>
      <c r="L200" s="2"/>
      <c r="M200" s="2"/>
      <c r="N200" s="2"/>
      <c r="O200" s="2"/>
      <c r="P200" s="2"/>
      <c r="Q200" s="2"/>
      <c r="R200" s="2"/>
      <c r="S200" s="2"/>
      <c r="T200" s="2"/>
      <c r="U200" s="2"/>
      <c r="V200" s="2"/>
      <c r="W200" s="2"/>
      <c r="X200" s="2"/>
      <c r="Y200" s="2"/>
      <c r="Z200" s="2"/>
    </row>
    <row r="201" spans="1:26" ht="13" x14ac:dyDescent="0.15">
      <c r="A201" s="2" t="s">
        <v>48</v>
      </c>
      <c r="B201" s="3">
        <v>2015</v>
      </c>
      <c r="C201" s="2" t="s">
        <v>199</v>
      </c>
      <c r="D201" s="2" t="s">
        <v>200</v>
      </c>
      <c r="E201" s="2" t="s">
        <v>14</v>
      </c>
      <c r="F201" s="2" t="s">
        <v>24</v>
      </c>
      <c r="G201" s="5" t="s">
        <v>15</v>
      </c>
      <c r="H201" s="2" t="s">
        <v>16</v>
      </c>
      <c r="I201" s="2" t="s">
        <v>24</v>
      </c>
      <c r="J201" s="5" t="s">
        <v>201</v>
      </c>
      <c r="K201" s="2"/>
      <c r="L201" s="2"/>
      <c r="M201" s="2"/>
      <c r="N201" s="2"/>
      <c r="O201" s="2"/>
      <c r="P201" s="2"/>
      <c r="Q201" s="2"/>
      <c r="R201" s="2"/>
      <c r="S201" s="2"/>
      <c r="T201" s="2"/>
      <c r="U201" s="2"/>
      <c r="V201" s="2"/>
      <c r="W201" s="2"/>
      <c r="X201" s="2"/>
      <c r="Y201" s="2"/>
      <c r="Z201" s="2"/>
    </row>
    <row r="202" spans="1:26" ht="13" x14ac:dyDescent="0.15">
      <c r="A202" s="2" t="s">
        <v>48</v>
      </c>
      <c r="B202" s="3">
        <v>2015</v>
      </c>
      <c r="C202" s="2" t="s">
        <v>149</v>
      </c>
      <c r="D202" s="2" t="s">
        <v>200</v>
      </c>
      <c r="E202" s="2" t="s">
        <v>14</v>
      </c>
      <c r="F202" s="2" t="s">
        <v>24</v>
      </c>
      <c r="G202" s="5" t="s">
        <v>15</v>
      </c>
      <c r="H202" s="2" t="s">
        <v>16</v>
      </c>
      <c r="I202" s="2" t="s">
        <v>24</v>
      </c>
      <c r="J202" s="5" t="s">
        <v>201</v>
      </c>
      <c r="K202" s="2"/>
      <c r="L202" s="2"/>
      <c r="M202" s="2"/>
      <c r="N202" s="2"/>
      <c r="O202" s="2"/>
      <c r="P202" s="2"/>
      <c r="Q202" s="2"/>
      <c r="R202" s="2"/>
      <c r="S202" s="2"/>
      <c r="T202" s="2"/>
      <c r="U202" s="2"/>
      <c r="V202" s="2"/>
      <c r="W202" s="2"/>
      <c r="X202" s="2"/>
      <c r="Y202" s="2"/>
      <c r="Z202" s="2"/>
    </row>
    <row r="203" spans="1:26" ht="13" x14ac:dyDescent="0.15">
      <c r="A203" s="2" t="s">
        <v>48</v>
      </c>
      <c r="B203" s="3">
        <v>2015</v>
      </c>
      <c r="C203" s="2" t="s">
        <v>343</v>
      </c>
      <c r="D203" s="2" t="s">
        <v>200</v>
      </c>
      <c r="E203" s="2" t="s">
        <v>14</v>
      </c>
      <c r="F203" s="5" t="s">
        <v>15</v>
      </c>
      <c r="G203" s="2" t="s">
        <v>24</v>
      </c>
      <c r="H203" s="2" t="s">
        <v>16</v>
      </c>
      <c r="I203" s="2" t="s">
        <v>24</v>
      </c>
      <c r="J203" s="5" t="s">
        <v>201</v>
      </c>
      <c r="K203" s="2"/>
      <c r="L203" s="2"/>
      <c r="M203" s="2"/>
      <c r="N203" s="2"/>
      <c r="O203" s="2"/>
      <c r="P203" s="2"/>
      <c r="Q203" s="2"/>
      <c r="R203" s="2"/>
      <c r="S203" s="2"/>
      <c r="T203" s="2"/>
      <c r="U203" s="2"/>
      <c r="V203" s="2"/>
      <c r="W203" s="2"/>
      <c r="X203" s="2"/>
      <c r="Y203" s="2"/>
      <c r="Z203" s="2"/>
    </row>
    <row r="204" spans="1:26" ht="13" x14ac:dyDescent="0.15">
      <c r="A204" s="2" t="s">
        <v>48</v>
      </c>
      <c r="B204" s="3">
        <v>2015</v>
      </c>
      <c r="C204" s="2" t="s">
        <v>199</v>
      </c>
      <c r="D204" s="2" t="s">
        <v>200</v>
      </c>
      <c r="E204" s="2" t="s">
        <v>14</v>
      </c>
      <c r="F204" s="5" t="s">
        <v>15</v>
      </c>
      <c r="G204" s="5" t="s">
        <v>15</v>
      </c>
      <c r="H204" s="2" t="s">
        <v>16</v>
      </c>
      <c r="I204" s="5" t="s">
        <v>15</v>
      </c>
      <c r="J204" s="5" t="s">
        <v>316</v>
      </c>
      <c r="K204" s="2"/>
      <c r="L204" s="2"/>
      <c r="M204" s="2"/>
      <c r="N204" s="2"/>
      <c r="O204" s="2"/>
      <c r="P204" s="2"/>
      <c r="Q204" s="2"/>
      <c r="R204" s="2"/>
      <c r="S204" s="2"/>
      <c r="T204" s="2"/>
      <c r="U204" s="2"/>
      <c r="V204" s="2"/>
      <c r="W204" s="2"/>
      <c r="X204" s="2"/>
      <c r="Y204" s="2"/>
      <c r="Z204" s="2"/>
    </row>
    <row r="205" spans="1:26" ht="13" x14ac:dyDescent="0.15">
      <c r="A205" s="2" t="s">
        <v>48</v>
      </c>
      <c r="B205" s="3">
        <v>2015</v>
      </c>
      <c r="C205" s="2" t="s">
        <v>199</v>
      </c>
      <c r="D205" s="2" t="s">
        <v>200</v>
      </c>
      <c r="E205" s="2" t="s">
        <v>14</v>
      </c>
      <c r="F205" s="5" t="s">
        <v>15</v>
      </c>
      <c r="G205" s="5" t="s">
        <v>15</v>
      </c>
      <c r="H205" s="2" t="s">
        <v>16</v>
      </c>
      <c r="I205" s="5" t="s">
        <v>15</v>
      </c>
      <c r="J205" s="5" t="s">
        <v>316</v>
      </c>
      <c r="K205" s="2"/>
      <c r="L205" s="2"/>
      <c r="M205" s="2"/>
      <c r="N205" s="2"/>
      <c r="O205" s="2"/>
      <c r="P205" s="2"/>
      <c r="Q205" s="2"/>
      <c r="R205" s="2"/>
      <c r="S205" s="2"/>
      <c r="T205" s="2"/>
      <c r="U205" s="2"/>
      <c r="V205" s="2"/>
      <c r="W205" s="2"/>
      <c r="X205" s="2"/>
      <c r="Y205" s="2"/>
      <c r="Z205" s="2"/>
    </row>
    <row r="206" spans="1:26" ht="13" x14ac:dyDescent="0.15">
      <c r="A206" s="2" t="s">
        <v>344</v>
      </c>
      <c r="B206" s="3">
        <v>2015</v>
      </c>
      <c r="C206" s="2" t="s">
        <v>345</v>
      </c>
      <c r="D206" s="2" t="s">
        <v>200</v>
      </c>
      <c r="E206" s="2" t="s">
        <v>14</v>
      </c>
      <c r="F206" s="29" t="s">
        <v>15</v>
      </c>
      <c r="G206" s="29" t="s">
        <v>15</v>
      </c>
      <c r="H206" s="2" t="s">
        <v>16</v>
      </c>
      <c r="I206" s="2" t="s">
        <v>24</v>
      </c>
      <c r="J206" s="5" t="s">
        <v>292</v>
      </c>
      <c r="K206" s="2"/>
      <c r="L206" s="2"/>
      <c r="M206" s="2"/>
      <c r="N206" s="2"/>
      <c r="O206" s="2"/>
      <c r="P206" s="2"/>
      <c r="Q206" s="2"/>
      <c r="R206" s="2"/>
      <c r="S206" s="2"/>
      <c r="T206" s="2"/>
      <c r="U206" s="2"/>
      <c r="V206" s="2"/>
      <c r="W206" s="2"/>
      <c r="X206" s="2"/>
      <c r="Y206" s="2"/>
      <c r="Z206" s="2"/>
    </row>
    <row r="207" spans="1:26" ht="13" x14ac:dyDescent="0.15">
      <c r="A207" s="2" t="s">
        <v>346</v>
      </c>
      <c r="B207" s="3">
        <v>2015</v>
      </c>
      <c r="C207" s="2" t="s">
        <v>347</v>
      </c>
      <c r="D207" s="2" t="s">
        <v>200</v>
      </c>
      <c r="E207" s="2" t="s">
        <v>14</v>
      </c>
      <c r="F207" s="29" t="s">
        <v>15</v>
      </c>
      <c r="G207" s="29" t="s">
        <v>15</v>
      </c>
      <c r="H207" s="2" t="s">
        <v>16</v>
      </c>
      <c r="I207" s="2" t="s">
        <v>24</v>
      </c>
      <c r="J207" s="5" t="s">
        <v>292</v>
      </c>
      <c r="K207" s="2"/>
      <c r="L207" s="2"/>
      <c r="M207" s="2"/>
      <c r="N207" s="2"/>
      <c r="O207" s="2"/>
      <c r="P207" s="2"/>
      <c r="Q207" s="2"/>
      <c r="R207" s="2"/>
      <c r="S207" s="2"/>
      <c r="T207" s="2"/>
      <c r="U207" s="2"/>
      <c r="V207" s="2"/>
      <c r="W207" s="2"/>
      <c r="X207" s="2"/>
      <c r="Y207" s="2"/>
      <c r="Z207" s="2"/>
    </row>
    <row r="208" spans="1:26" ht="13" x14ac:dyDescent="0.15">
      <c r="A208" s="2" t="s">
        <v>348</v>
      </c>
      <c r="B208" s="3">
        <v>2015</v>
      </c>
      <c r="C208" s="2" t="s">
        <v>349</v>
      </c>
      <c r="D208" s="2" t="s">
        <v>200</v>
      </c>
      <c r="E208" s="2" t="s">
        <v>14</v>
      </c>
      <c r="F208" s="29" t="s">
        <v>15</v>
      </c>
      <c r="G208" s="29" t="s">
        <v>15</v>
      </c>
      <c r="H208" s="2" t="s">
        <v>16</v>
      </c>
      <c r="I208" s="2" t="s">
        <v>24</v>
      </c>
      <c r="J208" s="5" t="s">
        <v>292</v>
      </c>
      <c r="K208" s="2"/>
      <c r="L208" s="2"/>
      <c r="M208" s="2"/>
      <c r="N208" s="2"/>
      <c r="O208" s="2"/>
      <c r="P208" s="2"/>
      <c r="Q208" s="2"/>
      <c r="R208" s="2"/>
      <c r="S208" s="2"/>
      <c r="T208" s="2"/>
      <c r="U208" s="2"/>
      <c r="V208" s="2"/>
      <c r="W208" s="2"/>
      <c r="X208" s="2"/>
      <c r="Y208" s="2"/>
      <c r="Z208" s="2"/>
    </row>
    <row r="209" spans="1:26" ht="13" x14ac:dyDescent="0.15">
      <c r="A209" s="2" t="s">
        <v>350</v>
      </c>
      <c r="B209" s="3">
        <v>2015</v>
      </c>
      <c r="C209" s="2" t="s">
        <v>26</v>
      </c>
      <c r="D209" s="2" t="s">
        <v>200</v>
      </c>
      <c r="E209" s="2" t="s">
        <v>14</v>
      </c>
      <c r="F209" s="29" t="s">
        <v>15</v>
      </c>
      <c r="G209" s="29" t="s">
        <v>15</v>
      </c>
      <c r="H209" s="2" t="s">
        <v>16</v>
      </c>
      <c r="I209" s="29" t="s">
        <v>15</v>
      </c>
      <c r="J209" s="5" t="s">
        <v>292</v>
      </c>
      <c r="K209" s="2"/>
      <c r="L209" s="2"/>
      <c r="M209" s="2"/>
      <c r="N209" s="2"/>
      <c r="O209" s="2"/>
      <c r="P209" s="2"/>
      <c r="Q209" s="2"/>
      <c r="R209" s="2"/>
      <c r="S209" s="2"/>
      <c r="T209" s="2"/>
      <c r="U209" s="2"/>
      <c r="V209" s="2"/>
      <c r="W209" s="2"/>
      <c r="X209" s="2"/>
      <c r="Y209" s="2"/>
      <c r="Z209" s="2"/>
    </row>
    <row r="210" spans="1:26" ht="13" x14ac:dyDescent="0.15">
      <c r="A210" s="2" t="s">
        <v>351</v>
      </c>
      <c r="B210" s="3">
        <v>2015</v>
      </c>
      <c r="C210" s="2" t="s">
        <v>39</v>
      </c>
      <c r="D210" s="2" t="s">
        <v>27</v>
      </c>
      <c r="E210" s="2" t="s">
        <v>14</v>
      </c>
      <c r="F210" s="4" t="s">
        <v>15</v>
      </c>
      <c r="G210" s="4" t="s">
        <v>15</v>
      </c>
      <c r="H210" s="2" t="s">
        <v>16</v>
      </c>
      <c r="I210" s="4" t="s">
        <v>15</v>
      </c>
      <c r="J210" s="5" t="str">
        <f>HYPERLINK("http://www.alexhunterlang.com/nsf-fellowship","Alex Lang")</f>
        <v>Alex Lang</v>
      </c>
      <c r="K210" s="2"/>
      <c r="L210" s="2"/>
      <c r="M210" s="2"/>
      <c r="N210" s="2"/>
      <c r="O210" s="2"/>
      <c r="P210" s="2"/>
      <c r="Q210" s="2"/>
      <c r="R210" s="2"/>
      <c r="S210" s="2"/>
      <c r="T210" s="2"/>
      <c r="U210" s="2"/>
      <c r="V210" s="2"/>
      <c r="W210" s="2"/>
      <c r="X210" s="2"/>
      <c r="Y210" s="2"/>
      <c r="Z210" s="2"/>
    </row>
    <row r="211" spans="1:26" ht="13" x14ac:dyDescent="0.15">
      <c r="A211" s="9" t="s">
        <v>48</v>
      </c>
      <c r="B211" s="9">
        <v>2014</v>
      </c>
      <c r="C211" s="9" t="s">
        <v>343</v>
      </c>
      <c r="D211" s="9" t="s">
        <v>13</v>
      </c>
      <c r="E211" s="9" t="s">
        <v>14</v>
      </c>
      <c r="F211" s="31" t="str">
        <f>HYPERLINK("http://www.malloryladd.com/uploads/2/3/6/0/23606636/nsf_grfproposal_example_anonymous.pdf","Yes")</f>
        <v>Yes</v>
      </c>
      <c r="G211" s="31" t="str">
        <f>HYPERLINK("http://www.malloryladd.com/uploads/2/3/6/0/23606636/personal_statement_example_anonymous.pdf","Yes")</f>
        <v>Yes</v>
      </c>
      <c r="H211" s="9" t="s">
        <v>16</v>
      </c>
      <c r="I211" s="9" t="s">
        <v>24</v>
      </c>
      <c r="J211" s="42" t="str">
        <f t="shared" ref="J211:J212" si="20">HYPERLINK("http://www.malloryladd.com/nsf-grfp-advice.html","Mallory Ladd")</f>
        <v>Mallory Ladd</v>
      </c>
      <c r="K211" s="20"/>
      <c r="L211" s="2"/>
      <c r="M211" s="2"/>
      <c r="N211" s="2"/>
      <c r="O211" s="2"/>
      <c r="P211" s="2"/>
      <c r="Q211" s="2"/>
      <c r="R211" s="2"/>
      <c r="S211" s="2"/>
      <c r="T211" s="2"/>
      <c r="U211" s="2"/>
      <c r="V211" s="2"/>
      <c r="W211" s="2"/>
      <c r="X211" s="2"/>
      <c r="Y211" s="2"/>
      <c r="Z211" s="2"/>
    </row>
    <row r="212" spans="1:26" ht="13" x14ac:dyDescent="0.15">
      <c r="A212" s="9" t="s">
        <v>48</v>
      </c>
      <c r="B212" s="9">
        <v>2014</v>
      </c>
      <c r="C212" s="9" t="s">
        <v>352</v>
      </c>
      <c r="D212" s="9" t="s">
        <v>27</v>
      </c>
      <c r="E212" s="9" t="s">
        <v>14</v>
      </c>
      <c r="F212" s="31" t="str">
        <f>HYPERLINK("http://www.malloryladd.com/uploads/2/3/6/0/23606636/proposal_anonymous.pdf","Yes")</f>
        <v>Yes</v>
      </c>
      <c r="G212" s="31" t="str">
        <f>HYPERLINK("http://www.malloryladd.com/uploads/2/3/6/0/23606636/personal_statement-anonymous.pdf","Yes")</f>
        <v>Yes</v>
      </c>
      <c r="H212" s="9" t="s">
        <v>16</v>
      </c>
      <c r="I212" s="31" t="str">
        <f>HYPERLINK("http://www.malloryladd.com/uploads/2/3/6/0/23606636/reviewer_comments_anonymous.pdf","Yes")</f>
        <v>Yes</v>
      </c>
      <c r="J212" s="42" t="str">
        <f t="shared" si="20"/>
        <v>Mallory Ladd</v>
      </c>
      <c r="K212" s="20"/>
      <c r="L212" s="2"/>
      <c r="M212" s="2"/>
      <c r="N212" s="2"/>
      <c r="O212" s="2"/>
      <c r="P212" s="2"/>
      <c r="Q212" s="2"/>
      <c r="R212" s="2"/>
      <c r="S212" s="2"/>
      <c r="T212" s="2"/>
      <c r="U212" s="2"/>
      <c r="V212" s="2"/>
      <c r="W212" s="2"/>
      <c r="X212" s="2"/>
      <c r="Y212" s="2"/>
      <c r="Z212" s="2"/>
    </row>
    <row r="213" spans="1:26" ht="13" x14ac:dyDescent="0.15">
      <c r="A213" s="2" t="s">
        <v>353</v>
      </c>
      <c r="B213" s="3">
        <v>2014</v>
      </c>
      <c r="C213" s="2" t="s">
        <v>354</v>
      </c>
      <c r="D213" s="2" t="s">
        <v>20</v>
      </c>
      <c r="E213" s="2" t="s">
        <v>14</v>
      </c>
      <c r="F213" s="27" t="str">
        <f>HYPERLINK("https://drive.google.com/open?id=0BxTJoMOw_GADVnI5ZzF5RGFNRzA","Yes")</f>
        <v>Yes</v>
      </c>
      <c r="G213" s="27" t="str">
        <f>HYPERLINK("https://drive.google.com/open?id=0BxTJoMOw_GADaVRjOXFJbC1JR1k","Yes")</f>
        <v>Yes</v>
      </c>
      <c r="H213" s="2" t="s">
        <v>16</v>
      </c>
      <c r="I213" s="27" t="str">
        <f>HYPERLINK("https://drive.google.com/open?id=0BxTJoMOw_GADYjkwNElZc1pkVEU","Yes")</f>
        <v>Yes</v>
      </c>
      <c r="J213" s="25" t="str">
        <f t="shared" ref="J213:J214" si="21">HYPERLINK("http://www.alexhunterlang.com/nsf-fellowship","Alex Lang")</f>
        <v>Alex Lang</v>
      </c>
      <c r="K213" s="2"/>
      <c r="L213" s="2"/>
      <c r="M213" s="2"/>
      <c r="N213" s="2"/>
      <c r="O213" s="2"/>
      <c r="P213" s="2"/>
      <c r="Q213" s="2"/>
      <c r="R213" s="2"/>
      <c r="S213" s="2"/>
      <c r="T213" s="2"/>
      <c r="U213" s="2"/>
      <c r="V213" s="2"/>
      <c r="W213" s="2"/>
      <c r="X213" s="2"/>
      <c r="Y213" s="2"/>
      <c r="Z213" s="2"/>
    </row>
    <row r="214" spans="1:26" ht="13" x14ac:dyDescent="0.15">
      <c r="A214" s="2" t="s">
        <v>353</v>
      </c>
      <c r="B214" s="3">
        <v>2014</v>
      </c>
      <c r="C214" s="2" t="s">
        <v>354</v>
      </c>
      <c r="D214" s="2" t="s">
        <v>20</v>
      </c>
      <c r="E214" s="2" t="s">
        <v>14</v>
      </c>
      <c r="F214" s="22" t="str">
        <f>HYPERLINK("https://drive.google.com/file/d/0BxTJoMOw_GADVnI5ZzF5RGFNRzA/view?usp=sharing","Yes")</f>
        <v>Yes</v>
      </c>
      <c r="G214" s="22" t="str">
        <f>HYPERLINK("https://drive.google.com/file/d/0BxTJoMOw_GADaVRjOXFJbC1JR1k/view?usp=sharing","Yes")</f>
        <v>Yes</v>
      </c>
      <c r="H214" s="6" t="s">
        <v>16</v>
      </c>
      <c r="I214" s="22" t="str">
        <f>HYPERLINK("https://drive.google.com/file/d/0BxTJoMOw_GADYjkwNElZc1pkVEU/view?usp=sharing","Yes")</f>
        <v>Yes</v>
      </c>
      <c r="J214" s="31" t="str">
        <f t="shared" si="21"/>
        <v>Alex Lang</v>
      </c>
      <c r="L214" s="2"/>
      <c r="M214" s="2"/>
      <c r="N214" s="2"/>
      <c r="O214" s="2"/>
      <c r="P214" s="2"/>
      <c r="Q214" s="2"/>
      <c r="R214" s="2"/>
      <c r="S214" s="2"/>
      <c r="T214" s="2"/>
      <c r="U214" s="2"/>
      <c r="V214" s="2"/>
      <c r="W214" s="2"/>
      <c r="X214" s="2"/>
      <c r="Y214" s="2"/>
      <c r="Z214" s="2"/>
    </row>
    <row r="215" spans="1:26" ht="13" x14ac:dyDescent="0.15">
      <c r="A215" s="9" t="s">
        <v>355</v>
      </c>
      <c r="B215" s="9">
        <v>2014</v>
      </c>
      <c r="C215" s="6" t="s">
        <v>308</v>
      </c>
      <c r="D215" s="9" t="s">
        <v>13</v>
      </c>
      <c r="E215" s="9" t="s">
        <v>14</v>
      </c>
      <c r="F215" s="31" t="str">
        <f>HYPERLINK("http://www.malloryladd.com/uploads/2/3/6/0/23606636/ladd_graduate_research_statement.pdf","Yes")</f>
        <v>Yes</v>
      </c>
      <c r="G215" s="31" t="str">
        <f>HYPERLINK("http://www.malloryladd.com/uploads/2/3/6/0/23606636/ladd_personal_statement_1.pdf","Yes")</f>
        <v>Yes</v>
      </c>
      <c r="H215" s="9" t="s">
        <v>16</v>
      </c>
      <c r="I215" s="31" t="str">
        <f>HYPERLINK("http://www.malloryladd.com/uploads/2/3/6/0/23606636/grfp_reviews_2014.pdf","Yes")</f>
        <v>Yes</v>
      </c>
      <c r="J215" s="42" t="str">
        <f>HYPERLINK("http://www.malloryladd.com/nsf-grfp-advice.html","Mallory Ladd")</f>
        <v>Mallory Ladd</v>
      </c>
      <c r="K215" s="31" t="str">
        <f>HYPERLINK("http://www.malloryladd.com/nsf-grfp-advice.html","Yes")</f>
        <v>Yes</v>
      </c>
      <c r="L215" s="2"/>
      <c r="M215" s="2"/>
      <c r="N215" s="2"/>
      <c r="O215" s="2"/>
      <c r="P215" s="2"/>
      <c r="Q215" s="2"/>
      <c r="R215" s="2"/>
      <c r="S215" s="2"/>
      <c r="T215" s="2"/>
      <c r="U215" s="2"/>
      <c r="V215" s="2"/>
      <c r="W215" s="2"/>
      <c r="X215" s="2"/>
      <c r="Y215" s="2"/>
      <c r="Z215" s="2"/>
    </row>
    <row r="216" spans="1:26" ht="13" x14ac:dyDescent="0.15">
      <c r="A216" s="9" t="s">
        <v>356</v>
      </c>
      <c r="B216" s="9">
        <v>2014</v>
      </c>
      <c r="C216" s="9" t="s">
        <v>357</v>
      </c>
      <c r="D216" s="9" t="s">
        <v>27</v>
      </c>
      <c r="E216" s="9" t="s">
        <v>14</v>
      </c>
      <c r="F216" s="31" t="str">
        <f>HYPERLINK("https://drive.google.com/file/d/0BxTJoMOw_GADeTNkS3dxdmE4QWM/","Yes")</f>
        <v>Yes</v>
      </c>
      <c r="G216" s="31" t="str">
        <f>HYPERLINK("https://drive.google.com/file/d/0BxTJoMOw_GADNXhwREVuN1pmN1U/","Yes")</f>
        <v>Yes</v>
      </c>
      <c r="H216" s="9" t="s">
        <v>16</v>
      </c>
      <c r="I216" s="31" t="str">
        <f>HYPERLINK("https://drive.google.com/file/d/0BxTJoMOw_GADb3A2cmhJTDExOGM/","Yes")</f>
        <v>Yes</v>
      </c>
      <c r="J216" s="31" t="str">
        <f t="shared" ref="J216:J218" si="22">HYPERLINK("http://www.alexhunterlang.com/nsf-fellowship","Alex Lang")</f>
        <v>Alex Lang</v>
      </c>
      <c r="K216" s="20"/>
      <c r="L216" s="2"/>
      <c r="M216" s="2"/>
      <c r="N216" s="2"/>
      <c r="O216" s="2"/>
      <c r="P216" s="2"/>
      <c r="Q216" s="2"/>
      <c r="R216" s="2"/>
      <c r="S216" s="2"/>
      <c r="T216" s="2"/>
      <c r="U216" s="2"/>
      <c r="V216" s="2"/>
      <c r="W216" s="2"/>
      <c r="X216" s="2"/>
      <c r="Y216" s="2"/>
      <c r="Z216" s="2"/>
    </row>
    <row r="217" spans="1:26" ht="13" x14ac:dyDescent="0.15">
      <c r="A217" s="9" t="s">
        <v>358</v>
      </c>
      <c r="B217" s="9">
        <v>2014</v>
      </c>
      <c r="C217" s="6" t="s">
        <v>151</v>
      </c>
      <c r="D217" s="9" t="s">
        <v>332</v>
      </c>
      <c r="E217" s="9" t="s">
        <v>14</v>
      </c>
      <c r="F217" s="31" t="str">
        <f>HYPERLINK("https://drive.google.com/file/d/0BxTJoMOw_GADVV92Umo3dmJBN2M/edit?usp=sharing","Yes")</f>
        <v>Yes</v>
      </c>
      <c r="G217" s="31" t="str">
        <f>HYPERLINK("https://drive.google.com/file/d/0BxTJoMOw_GADTGpiU0wyTHM2MjQ/edit?usp=sharing","Yes")</f>
        <v>Yes</v>
      </c>
      <c r="H217" s="9" t="s">
        <v>16</v>
      </c>
      <c r="I217" s="31" t="str">
        <f>HYPERLINK("https://drive.google.com/file/d/0BxTJoMOw_GADaTRwRUVFLWpNRzQ/edit?usp=sharing","Yes")</f>
        <v>Yes</v>
      </c>
      <c r="J217" s="31" t="str">
        <f t="shared" si="22"/>
        <v>Alex Lang</v>
      </c>
      <c r="K217" s="20"/>
      <c r="L217" s="2"/>
      <c r="M217" s="2"/>
      <c r="N217" s="2"/>
      <c r="O217" s="2"/>
      <c r="P217" s="2"/>
      <c r="Q217" s="2"/>
      <c r="R217" s="2"/>
      <c r="S217" s="2"/>
      <c r="T217" s="2"/>
      <c r="U217" s="2"/>
      <c r="V217" s="2"/>
      <c r="W217" s="2"/>
      <c r="X217" s="2"/>
      <c r="Y217" s="2"/>
      <c r="Z217" s="2"/>
    </row>
    <row r="218" spans="1:26" ht="13" x14ac:dyDescent="0.15">
      <c r="A218" s="2" t="s">
        <v>359</v>
      </c>
      <c r="B218" s="3">
        <v>2014</v>
      </c>
      <c r="C218" s="2" t="s">
        <v>360</v>
      </c>
      <c r="D218" s="2" t="s">
        <v>20</v>
      </c>
      <c r="E218" s="2" t="s">
        <v>14</v>
      </c>
      <c r="F218" s="15" t="str">
        <f>HYPERLINK("https://drive.google.com/file/d/1EBFmtCzLBwUI3opC2BjKUt4TMw-z0511/view?usp=sharing","Yes")</f>
        <v>Yes</v>
      </c>
      <c r="G218" s="15" t="str">
        <f>HYPERLINK("https://drive.google.com/file/d/1Rl8iO0EHaGjh-gh2Oi0rxpYjjB61NC2t/view?usp=sharing","Yes")</f>
        <v>Yes</v>
      </c>
      <c r="H218" s="2" t="s">
        <v>24</v>
      </c>
      <c r="I218" s="2" t="s">
        <v>24</v>
      </c>
      <c r="J218" s="15" t="str">
        <f t="shared" si="22"/>
        <v>Alex Lang</v>
      </c>
      <c r="K218" s="15" t="str">
        <f>HYPERLINK("https://katiewedemeyer.files.wordpress.com/2018/08/nsf-grfp-funds-you-a-note-from-kws.pdf","Yes")</f>
        <v>Yes</v>
      </c>
      <c r="L218" s="2"/>
      <c r="M218" s="2"/>
      <c r="N218" s="2"/>
      <c r="O218" s="2"/>
      <c r="P218" s="2"/>
      <c r="Q218" s="2"/>
      <c r="R218" s="2"/>
      <c r="S218" s="2"/>
      <c r="T218" s="2"/>
      <c r="U218" s="2"/>
      <c r="V218" s="2"/>
      <c r="W218" s="2"/>
      <c r="X218" s="2"/>
      <c r="Y218" s="2"/>
      <c r="Z218" s="2"/>
    </row>
    <row r="219" spans="1:26" ht="13" x14ac:dyDescent="0.15">
      <c r="A219" s="38" t="s">
        <v>361</v>
      </c>
      <c r="B219" s="9">
        <v>2014</v>
      </c>
      <c r="C219" s="6" t="s">
        <v>138</v>
      </c>
      <c r="D219" s="2" t="s">
        <v>200</v>
      </c>
      <c r="E219" s="9" t="s">
        <v>14</v>
      </c>
      <c r="F219" s="35" t="str">
        <f>HYPERLINK("https://drive.google.com/file/d/0BxEq_5jCISzrY1Fsb3BRazNNZ00/view","Yes")</f>
        <v>Yes</v>
      </c>
      <c r="G219" s="35" t="str">
        <f>HYPERLINK("https://drive.google.com/file/d/0BxEq_5jCISzrMk1OOHJnNlFUb1E/view?usp=sharing","Yes")</f>
        <v>Yes</v>
      </c>
      <c r="H219" s="9" t="s">
        <v>16</v>
      </c>
      <c r="I219" s="9" t="s">
        <v>24</v>
      </c>
      <c r="J219" s="35" t="str">
        <f>HYPERLINK("http://shamelesslies.blogspot.com/2014/10/the-nsf-fellowship.html","Ashley Villar")</f>
        <v>Ashley Villar</v>
      </c>
      <c r="K219" s="35" t="str">
        <f>HYPERLINK("http://shamelesslies.blogspot.com/2014/10/the-nsf-fellowship.html","Yes")</f>
        <v>Yes</v>
      </c>
      <c r="L219" s="2"/>
      <c r="M219" s="2"/>
      <c r="N219" s="2"/>
      <c r="O219" s="2"/>
      <c r="P219" s="2"/>
      <c r="Q219" s="2"/>
      <c r="R219" s="2"/>
      <c r="S219" s="2"/>
      <c r="T219" s="2"/>
      <c r="U219" s="2"/>
      <c r="V219" s="2"/>
      <c r="W219" s="2"/>
      <c r="X219" s="2"/>
      <c r="Y219" s="2"/>
      <c r="Z219" s="2"/>
    </row>
    <row r="220" spans="1:26" ht="13" x14ac:dyDescent="0.15">
      <c r="A220" s="9" t="s">
        <v>362</v>
      </c>
      <c r="B220" s="9">
        <v>2014</v>
      </c>
      <c r="C220" s="6" t="s">
        <v>363</v>
      </c>
      <c r="D220" s="9" t="s">
        <v>20</v>
      </c>
      <c r="E220" s="9" t="s">
        <v>14</v>
      </c>
      <c r="F220" s="31" t="str">
        <f>HYPERLINK("https://docs.google.com/file/d/0BxTJoMOw_GADeE1xRDIyTGVvZFk/","Yes")</f>
        <v>Yes</v>
      </c>
      <c r="G220" s="31" t="str">
        <f>HYPERLINK("https://drive.google.com/file/d/0BxTJoMOw_GADM1daeEhtSFZjRUk/","Yes")</f>
        <v>Yes</v>
      </c>
      <c r="H220" s="9" t="s">
        <v>16</v>
      </c>
      <c r="I220" s="9" t="s">
        <v>24</v>
      </c>
      <c r="J220" s="31" t="str">
        <f>HYPERLINK("http://www.alexhunterlang.com/nsf-fellowship","Alex Lang")</f>
        <v>Alex Lang</v>
      </c>
      <c r="K220" s="20"/>
      <c r="L220" s="2"/>
      <c r="M220" s="2"/>
      <c r="N220" s="2"/>
      <c r="O220" s="2"/>
      <c r="P220" s="2"/>
      <c r="Q220" s="2"/>
      <c r="R220" s="2"/>
      <c r="S220" s="2"/>
      <c r="T220" s="2"/>
      <c r="U220" s="2"/>
      <c r="V220" s="2"/>
      <c r="W220" s="2"/>
      <c r="X220" s="2"/>
      <c r="Y220" s="2"/>
      <c r="Z220" s="2"/>
    </row>
    <row r="221" spans="1:26" ht="13" x14ac:dyDescent="0.15">
      <c r="A221" s="2" t="s">
        <v>48</v>
      </c>
      <c r="B221" s="3">
        <v>2014</v>
      </c>
      <c r="C221" s="2" t="s">
        <v>149</v>
      </c>
      <c r="D221" s="2" t="s">
        <v>200</v>
      </c>
      <c r="E221" s="2" t="s">
        <v>14</v>
      </c>
      <c r="F221" s="2" t="s">
        <v>24</v>
      </c>
      <c r="G221" s="5" t="s">
        <v>15</v>
      </c>
      <c r="H221" s="2" t="s">
        <v>16</v>
      </c>
      <c r="I221" s="2" t="s">
        <v>24</v>
      </c>
      <c r="J221" s="5" t="s">
        <v>201</v>
      </c>
      <c r="K221" s="2"/>
      <c r="L221" s="2"/>
      <c r="M221" s="2"/>
      <c r="N221" s="2"/>
      <c r="O221" s="2"/>
      <c r="P221" s="2"/>
      <c r="Q221" s="2"/>
      <c r="R221" s="2"/>
      <c r="S221" s="2"/>
      <c r="T221" s="2"/>
      <c r="U221" s="2"/>
      <c r="V221" s="2"/>
      <c r="W221" s="2"/>
      <c r="X221" s="2"/>
      <c r="Y221" s="2"/>
      <c r="Z221" s="2"/>
    </row>
    <row r="222" spans="1:26" ht="13" x14ac:dyDescent="0.15">
      <c r="A222" s="2" t="s">
        <v>48</v>
      </c>
      <c r="B222" s="3">
        <v>2014</v>
      </c>
      <c r="C222" s="2" t="s">
        <v>93</v>
      </c>
      <c r="D222" s="2" t="s">
        <v>27</v>
      </c>
      <c r="E222" s="2" t="s">
        <v>14</v>
      </c>
      <c r="F222" s="2" t="s">
        <v>24</v>
      </c>
      <c r="G222" s="5" t="s">
        <v>15</v>
      </c>
      <c r="H222" s="2" t="s">
        <v>16</v>
      </c>
      <c r="I222" s="5" t="s">
        <v>15</v>
      </c>
      <c r="J222" s="5" t="s">
        <v>201</v>
      </c>
      <c r="K222" s="2"/>
      <c r="L222" s="2"/>
      <c r="M222" s="2"/>
      <c r="N222" s="2"/>
      <c r="O222" s="2"/>
      <c r="P222" s="2"/>
      <c r="Q222" s="2"/>
      <c r="R222" s="2"/>
      <c r="S222" s="2"/>
      <c r="T222" s="2"/>
      <c r="U222" s="2"/>
      <c r="V222" s="2"/>
      <c r="W222" s="2"/>
      <c r="X222" s="2"/>
      <c r="Y222" s="2"/>
      <c r="Z222" s="2"/>
    </row>
    <row r="223" spans="1:26" ht="13" x14ac:dyDescent="0.15">
      <c r="A223" s="2" t="s">
        <v>48</v>
      </c>
      <c r="B223" s="3">
        <v>2014</v>
      </c>
      <c r="C223" s="2" t="s">
        <v>202</v>
      </c>
      <c r="D223" s="2" t="s">
        <v>200</v>
      </c>
      <c r="E223" s="2" t="s">
        <v>14</v>
      </c>
      <c r="F223" s="5" t="s">
        <v>15</v>
      </c>
      <c r="G223" s="2" t="s">
        <v>24</v>
      </c>
      <c r="H223" s="2" t="s">
        <v>16</v>
      </c>
      <c r="I223" s="2" t="s">
        <v>24</v>
      </c>
      <c r="J223" s="5" t="s">
        <v>201</v>
      </c>
      <c r="K223" s="2"/>
      <c r="L223" s="2"/>
      <c r="M223" s="2"/>
      <c r="N223" s="2"/>
      <c r="O223" s="2"/>
      <c r="P223" s="2"/>
      <c r="Q223" s="2"/>
      <c r="R223" s="2"/>
      <c r="S223" s="2"/>
      <c r="T223" s="2"/>
      <c r="U223" s="2"/>
      <c r="V223" s="2"/>
      <c r="W223" s="2"/>
      <c r="X223" s="2"/>
      <c r="Y223" s="2"/>
      <c r="Z223" s="2"/>
    </row>
    <row r="224" spans="1:26" ht="13" x14ac:dyDescent="0.15">
      <c r="A224" s="2" t="s">
        <v>48</v>
      </c>
      <c r="B224" s="3">
        <v>2014</v>
      </c>
      <c r="C224" s="2" t="s">
        <v>364</v>
      </c>
      <c r="D224" s="2" t="s">
        <v>200</v>
      </c>
      <c r="E224" s="2" t="s">
        <v>14</v>
      </c>
      <c r="F224" s="5" t="s">
        <v>15</v>
      </c>
      <c r="G224" s="2" t="s">
        <v>24</v>
      </c>
      <c r="H224" s="2" t="s">
        <v>16</v>
      </c>
      <c r="I224" s="2" t="s">
        <v>24</v>
      </c>
      <c r="J224" s="5" t="s">
        <v>201</v>
      </c>
      <c r="K224" s="2"/>
      <c r="L224" s="2"/>
      <c r="M224" s="2"/>
      <c r="N224" s="2"/>
      <c r="O224" s="2"/>
      <c r="P224" s="2"/>
      <c r="Q224" s="2"/>
      <c r="R224" s="2"/>
      <c r="S224" s="2"/>
      <c r="T224" s="2"/>
      <c r="U224" s="2"/>
      <c r="V224" s="2"/>
      <c r="W224" s="2"/>
      <c r="X224" s="2"/>
      <c r="Y224" s="2"/>
      <c r="Z224" s="2"/>
    </row>
    <row r="225" spans="1:26" ht="13" x14ac:dyDescent="0.15">
      <c r="A225" s="2" t="s">
        <v>48</v>
      </c>
      <c r="B225" s="3">
        <v>2014</v>
      </c>
      <c r="C225" s="2" t="s">
        <v>93</v>
      </c>
      <c r="D225" s="2" t="s">
        <v>27</v>
      </c>
      <c r="E225" s="2" t="s">
        <v>14</v>
      </c>
      <c r="F225" s="5" t="s">
        <v>15</v>
      </c>
      <c r="G225" s="2" t="s">
        <v>24</v>
      </c>
      <c r="H225" s="2" t="s">
        <v>16</v>
      </c>
      <c r="I225" s="5" t="s">
        <v>15</v>
      </c>
      <c r="J225" s="5" t="s">
        <v>201</v>
      </c>
      <c r="K225" s="2"/>
      <c r="L225" s="2"/>
      <c r="M225" s="2"/>
      <c r="N225" s="2"/>
      <c r="O225" s="2"/>
      <c r="P225" s="2"/>
      <c r="Q225" s="2"/>
      <c r="R225" s="2"/>
      <c r="S225" s="2"/>
      <c r="T225" s="2"/>
      <c r="U225" s="2"/>
      <c r="V225" s="2"/>
      <c r="W225" s="2"/>
      <c r="X225" s="2"/>
      <c r="Y225" s="2"/>
      <c r="Z225" s="2"/>
    </row>
    <row r="226" spans="1:26" ht="13" x14ac:dyDescent="0.15">
      <c r="A226" s="2" t="s">
        <v>48</v>
      </c>
      <c r="B226" s="3">
        <v>2014</v>
      </c>
      <c r="C226" s="2" t="s">
        <v>149</v>
      </c>
      <c r="D226" s="2" t="s">
        <v>200</v>
      </c>
      <c r="E226" s="2" t="s">
        <v>14</v>
      </c>
      <c r="F226" s="5" t="s">
        <v>15</v>
      </c>
      <c r="G226" s="2" t="s">
        <v>24</v>
      </c>
      <c r="H226" s="2" t="s">
        <v>16</v>
      </c>
      <c r="I226" s="2" t="s">
        <v>24</v>
      </c>
      <c r="J226" s="5" t="s">
        <v>201</v>
      </c>
      <c r="K226" s="2"/>
      <c r="L226" s="2"/>
      <c r="M226" s="2"/>
      <c r="N226" s="2"/>
      <c r="O226" s="2"/>
      <c r="P226" s="2"/>
      <c r="Q226" s="2"/>
      <c r="R226" s="2"/>
      <c r="S226" s="2"/>
      <c r="T226" s="2"/>
      <c r="U226" s="2"/>
      <c r="V226" s="2"/>
      <c r="W226" s="2"/>
      <c r="X226" s="2"/>
      <c r="Y226" s="2"/>
      <c r="Z226" s="2"/>
    </row>
    <row r="227" spans="1:26" ht="13" x14ac:dyDescent="0.15">
      <c r="A227" s="2" t="s">
        <v>365</v>
      </c>
      <c r="B227" s="3">
        <v>2014</v>
      </c>
      <c r="C227" s="2" t="s">
        <v>366</v>
      </c>
      <c r="D227" s="2" t="s">
        <v>13</v>
      </c>
      <c r="E227" s="2" t="s">
        <v>14</v>
      </c>
      <c r="F227" s="29" t="s">
        <v>15</v>
      </c>
      <c r="G227" s="43" t="s">
        <v>24</v>
      </c>
      <c r="H227" s="2" t="s">
        <v>16</v>
      </c>
      <c r="I227" s="2" t="s">
        <v>24</v>
      </c>
      <c r="J227" s="5" t="s">
        <v>292</v>
      </c>
      <c r="K227" s="2"/>
      <c r="L227" s="2"/>
      <c r="M227" s="2"/>
      <c r="N227" s="2"/>
      <c r="O227" s="2"/>
      <c r="P227" s="2"/>
      <c r="Q227" s="2"/>
      <c r="R227" s="2"/>
      <c r="S227" s="2"/>
      <c r="T227" s="2"/>
      <c r="U227" s="2"/>
      <c r="V227" s="2"/>
      <c r="W227" s="2"/>
      <c r="X227" s="2"/>
      <c r="Y227" s="2"/>
      <c r="Z227" s="2"/>
    </row>
    <row r="228" spans="1:26" ht="13" x14ac:dyDescent="0.15">
      <c r="A228" s="2" t="s">
        <v>367</v>
      </c>
      <c r="B228" s="3">
        <v>2014</v>
      </c>
      <c r="C228" s="2" t="s">
        <v>368</v>
      </c>
      <c r="D228" s="2" t="s">
        <v>27</v>
      </c>
      <c r="E228" s="2" t="s">
        <v>14</v>
      </c>
      <c r="F228" s="29" t="s">
        <v>15</v>
      </c>
      <c r="G228" s="29" t="s">
        <v>15</v>
      </c>
      <c r="H228" s="2" t="s">
        <v>16</v>
      </c>
      <c r="I228" s="2" t="s">
        <v>24</v>
      </c>
      <c r="J228" s="5" t="s">
        <v>292</v>
      </c>
      <c r="K228" s="2"/>
      <c r="L228" s="2"/>
      <c r="M228" s="2"/>
      <c r="N228" s="2"/>
      <c r="O228" s="2"/>
      <c r="P228" s="2"/>
      <c r="Q228" s="2"/>
      <c r="R228" s="2"/>
      <c r="S228" s="2"/>
      <c r="T228" s="2"/>
      <c r="U228" s="2"/>
      <c r="V228" s="2"/>
      <c r="W228" s="2"/>
      <c r="X228" s="2"/>
      <c r="Y228" s="2"/>
      <c r="Z228" s="2"/>
    </row>
    <row r="229" spans="1:26" ht="13" x14ac:dyDescent="0.15">
      <c r="A229" s="13" t="s">
        <v>369</v>
      </c>
      <c r="B229" s="13">
        <v>2013</v>
      </c>
      <c r="C229" s="6" t="s">
        <v>370</v>
      </c>
      <c r="D229" s="2" t="s">
        <v>200</v>
      </c>
      <c r="E229" s="9" t="s">
        <v>14</v>
      </c>
      <c r="F229" s="35" t="str">
        <f>HYPERLINK("https://esmesh.files.wordpress.com/2013/04/mesh_erika_nsf_proposed_research.pdf","Yes")</f>
        <v>Yes</v>
      </c>
      <c r="G229" s="35" t="str">
        <f>HYPERLINK("https://esmesh.files.wordpress.com/2013/04/mesh_erika_nsf_personal_statement.pdf","Yes")</f>
        <v>Yes</v>
      </c>
      <c r="H229" s="35" t="str">
        <f>HYPERLINK("https://esmesh.files.wordpress.com/2013/04/mesh_erika_nsf_previous_research.pdf","Yes")</f>
        <v>Yes</v>
      </c>
      <c r="I229" s="35" t="str">
        <f>HYPERLINK("https://esmesh.files.wordpress.com/2013/04/emesh_reviews.pdf","Yes")</f>
        <v>Yes</v>
      </c>
      <c r="J229" s="39" t="str">
        <f>HYPERLINK("https://esmesh.wordpress.com/nsf-grfp/","Erika Mesh")</f>
        <v>Erika Mesh</v>
      </c>
      <c r="K229" s="35" t="str">
        <f>HYPERLINK("https://esmesh.wordpress.com/nsf-grfp/","Yes")</f>
        <v>Yes</v>
      </c>
      <c r="L229" s="2"/>
      <c r="M229" s="2"/>
      <c r="N229" s="2"/>
      <c r="O229" s="2"/>
      <c r="P229" s="2"/>
      <c r="Q229" s="2"/>
      <c r="R229" s="2"/>
      <c r="S229" s="2"/>
      <c r="T229" s="2"/>
      <c r="U229" s="2"/>
      <c r="V229" s="2"/>
      <c r="W229" s="2"/>
      <c r="X229" s="2"/>
      <c r="Y229" s="2"/>
      <c r="Z229" s="2"/>
    </row>
    <row r="230" spans="1:26" ht="13" x14ac:dyDescent="0.15">
      <c r="A230" s="9" t="s">
        <v>48</v>
      </c>
      <c r="B230" s="9">
        <v>2013</v>
      </c>
      <c r="C230" s="6" t="s">
        <v>329</v>
      </c>
      <c r="D230" s="2" t="s">
        <v>200</v>
      </c>
      <c r="E230" s="9" t="s">
        <v>14</v>
      </c>
      <c r="F230" s="35" t="str">
        <f t="shared" ref="F230:I230" si="23">HYPERLINK("http://static1.1.sqspcdn.com/static/f/700541/14767673/1319342741993/NSF_Sample_Essays-2.pdf?token=IeZe%2B9wvM5bsD5wb37v6wFHOjfc%3D","Yes")</f>
        <v>Yes</v>
      </c>
      <c r="G230" s="35" t="str">
        <f t="shared" si="23"/>
        <v>Yes</v>
      </c>
      <c r="H230" s="35" t="str">
        <f t="shared" si="23"/>
        <v>Yes</v>
      </c>
      <c r="I230" s="35" t="str">
        <f t="shared" si="23"/>
        <v>Yes</v>
      </c>
      <c r="J230" s="35" t="str">
        <f>HYPERLINK("http://www.graduate-mentor.com/nsf-graduate-fellowship/","Jan Allen")</f>
        <v>Jan Allen</v>
      </c>
      <c r="K230" s="35" t="str">
        <f>HYPERLINK("http://www.graduate-mentor.com/nsf-graduate-fellowship/","Yes")</f>
        <v>Yes</v>
      </c>
      <c r="L230" s="2"/>
      <c r="M230" s="2"/>
      <c r="N230" s="2"/>
      <c r="O230" s="2"/>
      <c r="P230" s="2"/>
      <c r="Q230" s="2"/>
      <c r="R230" s="2"/>
      <c r="S230" s="2"/>
      <c r="T230" s="2"/>
      <c r="U230" s="2"/>
      <c r="V230" s="2"/>
      <c r="W230" s="2"/>
      <c r="X230" s="2"/>
      <c r="Y230" s="2"/>
      <c r="Z230" s="2"/>
    </row>
    <row r="231" spans="1:26" ht="13" x14ac:dyDescent="0.15">
      <c r="A231" s="13" t="s">
        <v>371</v>
      </c>
      <c r="B231" s="13">
        <v>2013</v>
      </c>
      <c r="C231" s="6" t="s">
        <v>329</v>
      </c>
      <c r="D231" s="9" t="s">
        <v>27</v>
      </c>
      <c r="E231" s="9" t="s">
        <v>14</v>
      </c>
      <c r="F231" s="35" t="str">
        <f>HYPERLINK("http://jefworks.com/wp-content/uploads/2013/03/NSF-Proposed-Research.pdf","Yes")</f>
        <v>Yes</v>
      </c>
      <c r="G231" s="35" t="str">
        <f>HYPERLINK("http://jefworks.com/wp-content/uploads/2013/03/NSF-Personal-Statement.pdf","Yes")</f>
        <v>Yes</v>
      </c>
      <c r="H231" s="35" t="str">
        <f>HYPERLINK("http://jefworks.com/wp-content/uploads/2013/03/NSF-Previous-Research.pdf","Yes")</f>
        <v>Yes</v>
      </c>
      <c r="I231" s="35" t="str">
        <f>HYPERLINK("http://jefworks.com/wp-content/uploads/2013/03/ViewApplReview.pdf","Yes")</f>
        <v>Yes</v>
      </c>
      <c r="J231" s="35" t="str">
        <f>HYPERLINK("http://jefworks.com/portfolio/nsf-grfp-sample-essays-and-advice/","Jean Fan")</f>
        <v>Jean Fan</v>
      </c>
      <c r="K231" s="35" t="str">
        <f>HYPERLINK("http://jefworks.com/portfolio/nsf-grfp-sample-essays-and-advice/","Yes")</f>
        <v>Yes</v>
      </c>
      <c r="L231" s="2"/>
      <c r="M231" s="2"/>
      <c r="N231" s="2"/>
      <c r="O231" s="2"/>
      <c r="P231" s="2"/>
      <c r="Q231" s="2"/>
      <c r="R231" s="2"/>
      <c r="S231" s="2"/>
      <c r="T231" s="2"/>
      <c r="U231" s="2"/>
      <c r="V231" s="2"/>
      <c r="W231" s="2"/>
      <c r="X231" s="2"/>
      <c r="Y231" s="2"/>
      <c r="Z231" s="2"/>
    </row>
    <row r="232" spans="1:26" ht="13" x14ac:dyDescent="0.15">
      <c r="A232" s="9" t="s">
        <v>48</v>
      </c>
      <c r="B232" s="9">
        <v>2013</v>
      </c>
      <c r="C232" s="6" t="s">
        <v>372</v>
      </c>
      <c r="D232" s="2" t="s">
        <v>200</v>
      </c>
      <c r="E232" s="9" t="s">
        <v>14</v>
      </c>
      <c r="F232" s="9" t="s">
        <v>373</v>
      </c>
      <c r="G232" s="9" t="s">
        <v>373</v>
      </c>
      <c r="H232" s="9" t="s">
        <v>373</v>
      </c>
      <c r="I232" s="9" t="s">
        <v>24</v>
      </c>
      <c r="J232" s="39" t="str">
        <f>HYPERLINK("http://rachelcsmith.com/academics/nsf.htm","Rachel C Smith")</f>
        <v>Rachel C Smith</v>
      </c>
      <c r="K232" s="20"/>
      <c r="L232" s="2"/>
      <c r="M232" s="2"/>
      <c r="N232" s="2"/>
      <c r="O232" s="2"/>
      <c r="P232" s="2"/>
      <c r="Q232" s="2"/>
      <c r="R232" s="2"/>
      <c r="S232" s="2"/>
      <c r="T232" s="2"/>
      <c r="U232" s="2"/>
      <c r="V232" s="2"/>
      <c r="W232" s="2"/>
      <c r="X232" s="2"/>
      <c r="Y232" s="2"/>
      <c r="Z232" s="2"/>
    </row>
    <row r="233" spans="1:26" ht="13" x14ac:dyDescent="0.15">
      <c r="A233" s="9" t="s">
        <v>48</v>
      </c>
      <c r="B233" s="9">
        <v>2013</v>
      </c>
      <c r="C233" s="9" t="s">
        <v>374</v>
      </c>
      <c r="D233" s="9" t="s">
        <v>27</v>
      </c>
      <c r="E233" s="9" t="s">
        <v>78</v>
      </c>
      <c r="F233" s="31" t="str">
        <f>HYPERLINK("http://www.malloryladd.com/uploads/2/3/6/0/23606636/ladd_grfp_proposed_research.pdf","Yes")</f>
        <v>Yes</v>
      </c>
      <c r="G233" s="31" t="str">
        <f>HYPERLINK("http://www.malloryladd.com/uploads/2/3/6/0/23606636/ladd_grfp_personal_statement.pdf","Yes")</f>
        <v>Yes</v>
      </c>
      <c r="H233" s="31" t="str">
        <f>HYPERLINK("http://www.malloryladd.com/uploads/2/3/6/0/23606636/ladd_grfp_previous_research.pdf","Yes")</f>
        <v>Yes</v>
      </c>
      <c r="I233" s="31" t="str">
        <f>HYPERLINK("http://www.malloryladd.com/uploads/2/3/6/0/23606636/nsf_reviewer_comments.pdf","Yes")</f>
        <v>Yes</v>
      </c>
      <c r="J233" s="42" t="str">
        <f t="shared" ref="J233:J234" si="24">HYPERLINK("http://www.malloryladd.com/nsf-grfp-advice.html","Mallory Ladd")</f>
        <v>Mallory Ladd</v>
      </c>
      <c r="K233" s="20"/>
      <c r="L233" s="2"/>
      <c r="M233" s="2"/>
      <c r="N233" s="2"/>
      <c r="O233" s="2"/>
      <c r="P233" s="2"/>
      <c r="Q233" s="2"/>
      <c r="R233" s="2"/>
      <c r="S233" s="2"/>
      <c r="T233" s="2"/>
      <c r="U233" s="2"/>
      <c r="V233" s="2"/>
      <c r="W233" s="2"/>
      <c r="X233" s="2"/>
      <c r="Y233" s="2"/>
      <c r="Z233" s="2"/>
    </row>
    <row r="234" spans="1:26" ht="13" x14ac:dyDescent="0.15">
      <c r="A234" s="9" t="s">
        <v>48</v>
      </c>
      <c r="B234" s="9">
        <v>2013</v>
      </c>
      <c r="C234" s="6" t="s">
        <v>375</v>
      </c>
      <c r="D234" s="9" t="s">
        <v>27</v>
      </c>
      <c r="E234" s="9" t="s">
        <v>14</v>
      </c>
      <c r="F234" s="31" t="str">
        <f>HYPERLINK("http://www.malloryladd.com/uploads/2/3/6/0/23606636/nsf_research_essay_last_draft.pdf","Yes")</f>
        <v>Yes</v>
      </c>
      <c r="G234" s="31" t="str">
        <f>HYPERLINK("http://www.malloryladd.com/uploads/2/3/6/0/23606636/nsf_personal_statement-last_draft.pdf","Yes")</f>
        <v>Yes</v>
      </c>
      <c r="H234" s="31" t="str">
        <f>HYPERLINK("http://www.malloryladd.com/uploads/2/3/6/0/23606636/kempers_nsf_previous_research_essay.pdf","Yes")</f>
        <v>Yes</v>
      </c>
      <c r="I234" s="9" t="s">
        <v>24</v>
      </c>
      <c r="J234" s="42" t="str">
        <f t="shared" si="24"/>
        <v>Mallory Ladd</v>
      </c>
      <c r="K234" s="20"/>
      <c r="L234" s="2"/>
      <c r="M234" s="2"/>
      <c r="N234" s="2"/>
      <c r="O234" s="2"/>
      <c r="P234" s="2"/>
      <c r="Q234" s="2"/>
      <c r="R234" s="2"/>
      <c r="S234" s="2"/>
      <c r="T234" s="2"/>
      <c r="U234" s="2"/>
      <c r="V234" s="2"/>
      <c r="W234" s="2"/>
      <c r="X234" s="2"/>
      <c r="Y234" s="2"/>
      <c r="Z234" s="2"/>
    </row>
    <row r="235" spans="1:26" ht="13" x14ac:dyDescent="0.15">
      <c r="A235" s="9" t="s">
        <v>376</v>
      </c>
      <c r="B235" s="9">
        <v>2013</v>
      </c>
      <c r="C235" s="6" t="s">
        <v>207</v>
      </c>
      <c r="D235" s="2" t="s">
        <v>200</v>
      </c>
      <c r="E235" s="9" t="s">
        <v>14</v>
      </c>
      <c r="F235" s="35" t="str">
        <f>HYPERLINK("https://grad.uc.edu/content/dam/grad/docs/Events/NSF-Proposed-Research-Essay_2012%20_Makinson_11_17_12.pdf","Yes")</f>
        <v>Yes</v>
      </c>
      <c r="G235" s="35" t="str">
        <f>HYPERLINK("https://grad.uc.edu/content/dam/grad/docs/Events/Personal-Statement-for-NSF_2012%20_Ryan%20Makinson_11_17_12.pdf","Yes")</f>
        <v>Yes</v>
      </c>
      <c r="H235" s="35" t="str">
        <f>HYPERLINK("https://grad.uc.edu/content/dam/grad/docs/Events/Previous-Research-Essay_NSF_2012%20_Makinson_11_17_12.pdf","Yes")</f>
        <v>Yes</v>
      </c>
      <c r="I235" s="35" t="str">
        <f>HYPERLINK("https://grad.uc.edu/content/dam/grad/docs/Events/ViewApplReview_Makinson_GRFP.pdf","Yes")</f>
        <v>Yes</v>
      </c>
      <c r="J235" s="39" t="str">
        <f>HYPERLINK("https://grad.uc.edu/student-life/awards/grfp.html","Univ of Cincinnati")</f>
        <v>Univ of Cincinnati</v>
      </c>
      <c r="K235" s="35" t="str">
        <f>HYPERLINK("https://grad.uc.edu/student-life/awards/grfp.html","Yes")</f>
        <v>Yes</v>
      </c>
      <c r="L235" s="2"/>
      <c r="M235" s="2"/>
      <c r="N235" s="2"/>
      <c r="O235" s="2"/>
      <c r="P235" s="2"/>
      <c r="Q235" s="2"/>
      <c r="R235" s="2"/>
      <c r="S235" s="2"/>
      <c r="T235" s="2"/>
      <c r="U235" s="2"/>
      <c r="V235" s="2"/>
      <c r="W235" s="2"/>
      <c r="X235" s="2"/>
      <c r="Y235" s="2"/>
      <c r="Z235" s="2"/>
    </row>
    <row r="236" spans="1:26" ht="13" x14ac:dyDescent="0.15">
      <c r="A236" s="2" t="s">
        <v>377</v>
      </c>
      <c r="B236" s="3">
        <v>2013</v>
      </c>
      <c r="C236" s="2" t="s">
        <v>378</v>
      </c>
      <c r="D236" s="2" t="s">
        <v>13</v>
      </c>
      <c r="E236" s="2" t="s">
        <v>14</v>
      </c>
      <c r="F236" s="29" t="s">
        <v>15</v>
      </c>
      <c r="G236" s="29" t="s">
        <v>15</v>
      </c>
      <c r="H236" s="2" t="s">
        <v>379</v>
      </c>
      <c r="I236" s="2" t="s">
        <v>24</v>
      </c>
      <c r="J236" s="5" t="s">
        <v>292</v>
      </c>
      <c r="K236" s="2"/>
      <c r="L236" s="2"/>
      <c r="M236" s="2"/>
      <c r="N236" s="2"/>
      <c r="O236" s="2"/>
      <c r="P236" s="2"/>
      <c r="Q236" s="2"/>
      <c r="R236" s="2"/>
      <c r="S236" s="2"/>
      <c r="T236" s="2"/>
      <c r="U236" s="2"/>
      <c r="V236" s="2"/>
      <c r="W236" s="2"/>
      <c r="X236" s="2"/>
      <c r="Y236" s="2"/>
      <c r="Z236" s="2"/>
    </row>
    <row r="237" spans="1:26" ht="13" x14ac:dyDescent="0.15">
      <c r="A237" s="2" t="s">
        <v>380</v>
      </c>
      <c r="B237" s="3">
        <v>2013</v>
      </c>
      <c r="C237" s="2" t="s">
        <v>381</v>
      </c>
      <c r="D237" s="2" t="s">
        <v>13</v>
      </c>
      <c r="E237" s="2" t="s">
        <v>14</v>
      </c>
      <c r="F237" s="29" t="s">
        <v>15</v>
      </c>
      <c r="G237" s="29" t="s">
        <v>15</v>
      </c>
      <c r="H237" s="2" t="s">
        <v>379</v>
      </c>
      <c r="I237" s="29" t="s">
        <v>15</v>
      </c>
      <c r="J237" s="5" t="s">
        <v>292</v>
      </c>
      <c r="K237" s="2"/>
      <c r="L237" s="2"/>
      <c r="M237" s="2"/>
      <c r="N237" s="2"/>
      <c r="O237" s="2"/>
      <c r="P237" s="2"/>
      <c r="Q237" s="2"/>
      <c r="R237" s="2"/>
      <c r="S237" s="2"/>
      <c r="T237" s="2"/>
      <c r="U237" s="2"/>
      <c r="V237" s="2"/>
      <c r="W237" s="2"/>
      <c r="X237" s="2"/>
      <c r="Y237" s="2"/>
      <c r="Z237" s="2"/>
    </row>
    <row r="238" spans="1:26" ht="13" x14ac:dyDescent="0.15">
      <c r="A238" s="2" t="s">
        <v>382</v>
      </c>
      <c r="B238" s="3">
        <v>2013</v>
      </c>
      <c r="C238" s="2" t="s">
        <v>381</v>
      </c>
      <c r="D238" s="2" t="s">
        <v>200</v>
      </c>
      <c r="E238" s="2" t="s">
        <v>78</v>
      </c>
      <c r="F238" s="29" t="s">
        <v>15</v>
      </c>
      <c r="G238" s="29" t="s">
        <v>15</v>
      </c>
      <c r="H238" s="2" t="s">
        <v>379</v>
      </c>
      <c r="I238" s="29" t="s">
        <v>15</v>
      </c>
      <c r="J238" s="5" t="s">
        <v>292</v>
      </c>
      <c r="K238" s="2"/>
      <c r="L238" s="2"/>
      <c r="M238" s="2"/>
      <c r="N238" s="2"/>
      <c r="O238" s="2"/>
      <c r="P238" s="2"/>
      <c r="Q238" s="2"/>
      <c r="R238" s="2"/>
      <c r="S238" s="2"/>
      <c r="T238" s="2"/>
      <c r="U238" s="2"/>
      <c r="V238" s="2"/>
      <c r="W238" s="2"/>
      <c r="X238" s="2"/>
      <c r="Y238" s="2"/>
      <c r="Z238" s="2"/>
    </row>
    <row r="239" spans="1:26" ht="13" x14ac:dyDescent="0.15">
      <c r="A239" s="2" t="s">
        <v>383</v>
      </c>
      <c r="B239" s="3">
        <v>2013</v>
      </c>
      <c r="C239" s="2" t="s">
        <v>347</v>
      </c>
      <c r="D239" s="2" t="s">
        <v>27</v>
      </c>
      <c r="E239" s="2" t="s">
        <v>14</v>
      </c>
      <c r="F239" s="29" t="s">
        <v>15</v>
      </c>
      <c r="G239" s="29" t="s">
        <v>15</v>
      </c>
      <c r="H239" s="2" t="s">
        <v>379</v>
      </c>
      <c r="I239" s="2" t="s">
        <v>24</v>
      </c>
      <c r="J239" s="5" t="s">
        <v>292</v>
      </c>
      <c r="K239" s="2"/>
      <c r="L239" s="2"/>
      <c r="M239" s="2"/>
      <c r="N239" s="2"/>
      <c r="O239" s="2"/>
      <c r="P239" s="2"/>
      <c r="Q239" s="2"/>
      <c r="R239" s="2"/>
      <c r="S239" s="2"/>
      <c r="T239" s="2"/>
      <c r="U239" s="2"/>
      <c r="V239" s="2"/>
      <c r="W239" s="2"/>
      <c r="X239" s="2"/>
      <c r="Y239" s="2"/>
      <c r="Z239" s="2"/>
    </row>
    <row r="240" spans="1:26" ht="13" x14ac:dyDescent="0.15">
      <c r="A240" s="2" t="s">
        <v>384</v>
      </c>
      <c r="B240" s="3">
        <v>2013</v>
      </c>
      <c r="C240" s="2" t="s">
        <v>322</v>
      </c>
      <c r="D240" s="2" t="s">
        <v>200</v>
      </c>
      <c r="E240" s="2" t="s">
        <v>14</v>
      </c>
      <c r="F240" s="29" t="s">
        <v>15</v>
      </c>
      <c r="G240" s="29" t="s">
        <v>15</v>
      </c>
      <c r="H240" s="2" t="s">
        <v>379</v>
      </c>
      <c r="I240" s="2" t="s">
        <v>24</v>
      </c>
      <c r="J240" s="5" t="s">
        <v>292</v>
      </c>
      <c r="K240" s="2"/>
      <c r="L240" s="2"/>
      <c r="M240" s="2"/>
      <c r="N240" s="2"/>
      <c r="O240" s="2"/>
      <c r="P240" s="2"/>
      <c r="Q240" s="2"/>
      <c r="R240" s="2"/>
      <c r="S240" s="2"/>
      <c r="T240" s="2"/>
      <c r="U240" s="2"/>
      <c r="V240" s="2"/>
      <c r="W240" s="2"/>
      <c r="X240" s="2"/>
      <c r="Y240" s="2"/>
      <c r="Z240" s="2"/>
    </row>
    <row r="241" spans="1:26" ht="13" x14ac:dyDescent="0.15">
      <c r="A241" s="9" t="s">
        <v>385</v>
      </c>
      <c r="B241" s="9">
        <v>2012</v>
      </c>
      <c r="C241" s="6" t="s">
        <v>331</v>
      </c>
      <c r="D241" s="2" t="s">
        <v>200</v>
      </c>
      <c r="E241" s="9" t="s">
        <v>14</v>
      </c>
      <c r="F241" s="35" t="str">
        <f>HYPERLINK("https://grad.uc.edu/content/dam/grad/docs/Events/Research_Plan_adam_hehr.pdf","Yes")</f>
        <v>Yes</v>
      </c>
      <c r="G241" s="35" t="str">
        <f>HYPERLINK("https://grad.uc.edu/content/dam/grad/docs/Events/Personal_Statement_adam_hehr.pdf","Yes")</f>
        <v>Yes</v>
      </c>
      <c r="H241" s="35" t="str">
        <f>HYPERLINK("https://grad.uc.edu/content/dam/grad/docs/Events/Research_Experience_adam_hehr.pdf","Yes")</f>
        <v>Yes</v>
      </c>
      <c r="I241" s="9" t="s">
        <v>24</v>
      </c>
      <c r="J241" s="39" t="str">
        <f>HYPERLINK("https://grad.uc.edu/student-life/awards/grfp.html","Univ of Cincinnati")</f>
        <v>Univ of Cincinnati</v>
      </c>
      <c r="K241" s="35" t="str">
        <f>HYPERLINK("https://grad.uc.edu/student-life/awards/grfp.html","Yes")</f>
        <v>Yes</v>
      </c>
      <c r="L241" s="2"/>
      <c r="M241" s="2"/>
      <c r="N241" s="2"/>
      <c r="O241" s="2"/>
      <c r="P241" s="2"/>
      <c r="Q241" s="2"/>
      <c r="R241" s="2"/>
      <c r="S241" s="2"/>
      <c r="T241" s="2"/>
      <c r="U241" s="2"/>
      <c r="V241" s="2"/>
      <c r="W241" s="2"/>
      <c r="X241" s="2"/>
      <c r="Y241" s="2"/>
      <c r="Z241" s="2"/>
    </row>
    <row r="242" spans="1:26" ht="13" x14ac:dyDescent="0.15">
      <c r="A242" s="20" t="s">
        <v>386</v>
      </c>
      <c r="B242" s="9">
        <v>2012</v>
      </c>
      <c r="C242" s="20" t="s">
        <v>331</v>
      </c>
      <c r="D242" s="2" t="s">
        <v>200</v>
      </c>
      <c r="E242" s="20" t="s">
        <v>14</v>
      </c>
      <c r="F242" s="37" t="str">
        <f>HYPERLINK("https://drive.google.com/open?id=0B8xfqu9_HDdHMkR4VEYzYjJrdXc","Yes")</f>
        <v>Yes</v>
      </c>
      <c r="G242" s="37" t="str">
        <f>HYPERLINK("https://drive.google.com/open?id=0B8xfqu9_HDdHbnhqbmVMNW1nU2M","Yes")</f>
        <v>Yes</v>
      </c>
      <c r="H242" s="37" t="str">
        <f>HYPERLINK("https://drive.google.com/open?id=0B8xfqu9_HDdHV2YwbmZrR2F0Smc","Yes")</f>
        <v>Yes</v>
      </c>
      <c r="I242" s="37" t="str">
        <f>HYPERLINK("https://drive.google.com/open?id=0B8xfqu9_HDdHaHFKa1JEREh2VFk","Yes")</f>
        <v>Yes</v>
      </c>
      <c r="J242" s="37" t="str">
        <f>HYPERLINK("http://ltse1.bol.ucla.edu/nsf.html","Louis Tse")</f>
        <v>Louis Tse</v>
      </c>
      <c r="K242" s="37" t="str">
        <f>HYPERLINK("http://ltse1.bol.ucla.edu/nsf.html","Yes")</f>
        <v>Yes</v>
      </c>
      <c r="L242" s="2"/>
      <c r="M242" s="2"/>
      <c r="N242" s="2"/>
      <c r="O242" s="2"/>
      <c r="P242" s="2"/>
      <c r="Q242" s="2"/>
      <c r="R242" s="2"/>
      <c r="S242" s="2"/>
      <c r="T242" s="2"/>
      <c r="U242" s="2"/>
      <c r="V242" s="2"/>
      <c r="W242" s="2"/>
      <c r="X242" s="2"/>
      <c r="Y242" s="2"/>
      <c r="Z242" s="2"/>
    </row>
    <row r="243" spans="1:26" ht="13" x14ac:dyDescent="0.15">
      <c r="A243" s="40" t="s">
        <v>387</v>
      </c>
      <c r="B243" s="9">
        <v>2012</v>
      </c>
      <c r="C243" s="6" t="s">
        <v>331</v>
      </c>
      <c r="D243" s="9" t="s">
        <v>20</v>
      </c>
      <c r="E243" s="9" t="s">
        <v>14</v>
      </c>
      <c r="F243" s="35" t="str">
        <f>HYPERLINK("http://web.ics.purdue.edu/~rberdani/docs/nsf/2012/berdanier_researchproposal_2012.pdf","Yes")</f>
        <v>Yes</v>
      </c>
      <c r="G243" s="35" t="str">
        <f>HYPERLINK("http://web.ics.purdue.edu/~rberdani/docs/nsf/2012/berdanier_personalstatement_2012.pdf","Yes")</f>
        <v>Yes</v>
      </c>
      <c r="H243" s="35" t="str">
        <f>HYPERLINK("http://web.ics.purdue.edu/~rberdani/docs/nsf/2012/berdanier_previousresearch_2012.pdf","Yes")</f>
        <v>Yes</v>
      </c>
      <c r="I243" s="9" t="s">
        <v>24</v>
      </c>
      <c r="J243" s="42" t="str">
        <f>HYPERLINK("http://web.ics.purdue.edu/~rberdani/resources.html","Reid Berdanier")</f>
        <v>Reid Berdanier</v>
      </c>
      <c r="K243" s="35" t="str">
        <f>HYPERLINK("http://web.ics.purdue.edu/~rberdani/docs/nsf/NSF-GRFP_ApplicationGuide.pdf","Yes")</f>
        <v>Yes</v>
      </c>
      <c r="L243" s="2"/>
      <c r="M243" s="2"/>
      <c r="N243" s="2"/>
      <c r="O243" s="2"/>
      <c r="P243" s="2"/>
      <c r="Q243" s="2"/>
      <c r="R243" s="2"/>
      <c r="S243" s="2"/>
      <c r="T243" s="2"/>
      <c r="U243" s="2"/>
      <c r="V243" s="2"/>
      <c r="W243" s="2"/>
      <c r="X243" s="2"/>
      <c r="Y243" s="2"/>
      <c r="Z243" s="2"/>
    </row>
    <row r="244" spans="1:26" ht="13" x14ac:dyDescent="0.15">
      <c r="A244" s="9" t="s">
        <v>388</v>
      </c>
      <c r="B244" s="9">
        <v>2012</v>
      </c>
      <c r="C244" s="6" t="s">
        <v>389</v>
      </c>
      <c r="D244" s="9" t="s">
        <v>20</v>
      </c>
      <c r="E244" s="9" t="s">
        <v>14</v>
      </c>
      <c r="F244" s="31" t="str">
        <f>HYPERLINK("http://www.unc.edu/~haksaeng/nsf_grfp/2012/research_plan.pdf","Yes")</f>
        <v>Yes</v>
      </c>
      <c r="G244" s="31" t="str">
        <f>HYPERLINK("http://www.unc.edu/~haksaeng/nsf_grfp/2012/personal_essay.pdf","Yes")</f>
        <v>Yes</v>
      </c>
      <c r="H244" s="31" t="str">
        <f>HYPERLINK("http://www.unc.edu/~haksaeng/nsf_grfp/2012/previous_research.pdf","Yes")</f>
        <v>Yes</v>
      </c>
      <c r="I244" s="31" t="str">
        <f>HYPERLINK("http://www.unc.edu/~haksaeng/nsf_grfp/2012/review.pdf","Yes")</f>
        <v>Yes</v>
      </c>
      <c r="J244" s="31" t="str">
        <f>HYPERLINK("https://glossarch.wordpress.com/2013/07/29/strategies-and-example-essays-for-the-nsf-graduate-research-fellowship/","Danny Bowman")</f>
        <v>Danny Bowman</v>
      </c>
      <c r="K244" s="31" t="str">
        <f>HYPERLINK("https://glossarch.wordpress.com/2013/07/29/strategies-and-example-essays-for-the-nsf-graduate-research-fellowship/","Yes")</f>
        <v>Yes</v>
      </c>
      <c r="L244" s="2"/>
      <c r="M244" s="2"/>
      <c r="N244" s="2"/>
      <c r="O244" s="2"/>
      <c r="P244" s="2"/>
      <c r="Q244" s="2"/>
      <c r="R244" s="2"/>
      <c r="S244" s="2"/>
      <c r="T244" s="2"/>
      <c r="U244" s="2"/>
      <c r="V244" s="2"/>
      <c r="W244" s="2"/>
      <c r="X244" s="2"/>
      <c r="Y244" s="2"/>
      <c r="Z244" s="2"/>
    </row>
    <row r="245" spans="1:26" ht="13" x14ac:dyDescent="0.15">
      <c r="A245" s="2" t="s">
        <v>390</v>
      </c>
      <c r="B245" s="3">
        <v>2012</v>
      </c>
      <c r="C245" s="2" t="s">
        <v>391</v>
      </c>
      <c r="D245" s="2" t="s">
        <v>13</v>
      </c>
      <c r="E245" s="2" t="s">
        <v>14</v>
      </c>
      <c r="F245" s="15" t="str">
        <f>HYPERLINK("https://drive.google.com/file/d/17mY3Yk2sE_92t1TO_YkLISoxk36HLi7c/view?usp=sharing","Yes")</f>
        <v>Yes</v>
      </c>
      <c r="G245" s="15" t="str">
        <f>HYPERLINK("https://drive.google.com/file/d/1LgqeKfer9Y2U1eZPC8SLplANqStF2m3G/view?usp=sharing","Yes")</f>
        <v>Yes</v>
      </c>
      <c r="H245" s="15" t="str">
        <f>HYPERLINK("https://drive.google.com/file/d/1Ww4AdNJE11HwHhjo0fyuH-9gDAOoYEzK/view?usp=sharing","Yes")</f>
        <v>Yes</v>
      </c>
      <c r="I245" s="15" t="str">
        <f>HYPERLINK("https://drive.google.com/file/d/1qz-1yj5uhkNIE_Zw2yow4GRt-VnYPLce/view?usp=sharing","Yes")</f>
        <v>Yes</v>
      </c>
      <c r="J245" s="15" t="str">
        <f t="shared" ref="J245:J247" si="25">HYPERLINK("http://www.alexhunterlang.com/nsf-fellowship","Alex Lang")</f>
        <v>Alex Lang</v>
      </c>
      <c r="K245" s="2"/>
      <c r="L245" s="2"/>
      <c r="M245" s="2"/>
      <c r="N245" s="2"/>
      <c r="O245" s="2"/>
      <c r="P245" s="2"/>
      <c r="Q245" s="2"/>
      <c r="R245" s="2"/>
      <c r="S245" s="2"/>
      <c r="T245" s="2"/>
      <c r="U245" s="2"/>
      <c r="V245" s="2"/>
      <c r="W245" s="2"/>
      <c r="X245" s="2"/>
      <c r="Y245" s="2"/>
      <c r="Z245" s="2"/>
    </row>
    <row r="246" spans="1:26" ht="13" x14ac:dyDescent="0.15">
      <c r="A246" s="13" t="s">
        <v>392</v>
      </c>
      <c r="B246" s="13">
        <v>2012</v>
      </c>
      <c r="C246" s="6" t="s">
        <v>393</v>
      </c>
      <c r="D246" s="9" t="s">
        <v>27</v>
      </c>
      <c r="E246" s="9" t="s">
        <v>14</v>
      </c>
      <c r="F246" s="31" t="str">
        <f>HYPERLINK("https://docs.google.com/open?id=0BxTJoMOw_GADQjNtX3JzaFhRUlNhQzJQM1haRkdwUQ","Yes")</f>
        <v>Yes</v>
      </c>
      <c r="G246" s="31" t="str">
        <f>HYPERLINK("https://docs.google.com/open?id=0BxTJoMOw_GADeVJrUHo4UWpUZkM1S0R1VllqZnR6dw","Yes")</f>
        <v>Yes</v>
      </c>
      <c r="H246" s="31" t="str">
        <f>HYPERLINK("https://docs.google.com/open?id=0BxTJoMOw_GADV1FfVmVjTldTTUNYR29JTEtXMGdMQQ","Yes")</f>
        <v>Yes</v>
      </c>
      <c r="I246" s="9" t="s">
        <v>24</v>
      </c>
      <c r="J246" s="31" t="str">
        <f t="shared" si="25"/>
        <v>Alex Lang</v>
      </c>
      <c r="K246" s="20"/>
      <c r="L246" s="2"/>
      <c r="M246" s="2"/>
      <c r="N246" s="2"/>
      <c r="O246" s="2"/>
      <c r="P246" s="2"/>
      <c r="Q246" s="2"/>
      <c r="R246" s="2"/>
      <c r="S246" s="2"/>
      <c r="T246" s="2"/>
      <c r="U246" s="2"/>
      <c r="V246" s="2"/>
      <c r="W246" s="2"/>
      <c r="X246" s="2"/>
      <c r="Y246" s="2"/>
      <c r="Z246" s="2"/>
    </row>
    <row r="247" spans="1:26" ht="13" x14ac:dyDescent="0.15">
      <c r="A247" s="2" t="s">
        <v>394</v>
      </c>
      <c r="B247" s="3">
        <v>2012</v>
      </c>
      <c r="C247" s="2" t="s">
        <v>395</v>
      </c>
      <c r="D247" s="2" t="s">
        <v>13</v>
      </c>
      <c r="E247" s="2" t="s">
        <v>14</v>
      </c>
      <c r="F247" s="4" t="s">
        <v>15</v>
      </c>
      <c r="G247" s="4" t="s">
        <v>15</v>
      </c>
      <c r="H247" s="4" t="s">
        <v>15</v>
      </c>
      <c r="I247" s="2" t="s">
        <v>24</v>
      </c>
      <c r="J247" s="5" t="str">
        <f t="shared" si="25"/>
        <v>Alex Lang</v>
      </c>
      <c r="K247" s="2"/>
      <c r="L247" s="2"/>
      <c r="M247" s="2"/>
      <c r="N247" s="2"/>
      <c r="O247" s="2"/>
      <c r="P247" s="2"/>
      <c r="Q247" s="2"/>
      <c r="R247" s="2"/>
      <c r="S247" s="2"/>
      <c r="T247" s="2"/>
      <c r="U247" s="2"/>
      <c r="V247" s="2"/>
      <c r="W247" s="2"/>
      <c r="X247" s="2"/>
      <c r="Y247" s="2"/>
      <c r="Z247" s="2"/>
    </row>
    <row r="248" spans="1:26" ht="13" x14ac:dyDescent="0.15">
      <c r="A248" s="2" t="s">
        <v>396</v>
      </c>
      <c r="B248" s="3">
        <v>2012</v>
      </c>
      <c r="C248" s="2" t="s">
        <v>397</v>
      </c>
      <c r="D248" s="2" t="s">
        <v>27</v>
      </c>
      <c r="E248" s="2" t="s">
        <v>14</v>
      </c>
      <c r="F248" s="29" t="s">
        <v>15</v>
      </c>
      <c r="G248" s="29" t="s">
        <v>15</v>
      </c>
      <c r="H248" s="2" t="s">
        <v>379</v>
      </c>
      <c r="I248" s="2" t="s">
        <v>24</v>
      </c>
      <c r="J248" s="5" t="s">
        <v>292</v>
      </c>
      <c r="K248" s="2"/>
      <c r="L248" s="2"/>
      <c r="M248" s="2"/>
      <c r="N248" s="2"/>
      <c r="O248" s="2"/>
      <c r="P248" s="2"/>
      <c r="Q248" s="2"/>
      <c r="R248" s="2"/>
      <c r="S248" s="2"/>
      <c r="T248" s="2"/>
      <c r="U248" s="2"/>
      <c r="V248" s="2"/>
      <c r="W248" s="2"/>
      <c r="X248" s="2"/>
      <c r="Y248" s="2"/>
      <c r="Z248" s="2"/>
    </row>
    <row r="249" spans="1:26" ht="13" x14ac:dyDescent="0.15">
      <c r="A249" s="13" t="s">
        <v>48</v>
      </c>
      <c r="B249" s="13">
        <v>2011</v>
      </c>
      <c r="C249" s="13" t="s">
        <v>398</v>
      </c>
      <c r="D249" s="2" t="s">
        <v>200</v>
      </c>
      <c r="E249" s="9" t="s">
        <v>14</v>
      </c>
      <c r="F249" s="35" t="str">
        <f>HYPERLINK("https://docs.google.com/viewer?a=v&amp;pid=explorer&amp;chrome=true&amp;srcid=0BxTJoMOw_GADODI4NTQ4MDAtNDM1Yy00NDI1LTk3N2UtNzZhMDczNWVhZTEx&amp;hl=en","Yes")</f>
        <v>Yes</v>
      </c>
      <c r="G249" s="35" t="str">
        <f>HYPERLINK("https://docs.google.com/viewer?a=v&amp;pid=explorer&amp;chrome=true&amp;srcid=0BxTJoMOw_GADYjA4MjVjNTgtOGVjOC00NTdjLTg3ODEtZjA1NWU1OWMyM2Zl&amp;hl=en","Yes")</f>
        <v>Yes</v>
      </c>
      <c r="H249" s="35" t="str">
        <f>HYPERLINK("https://docs.google.com/viewer?a=v&amp;pid=explorer&amp;chrome=true&amp;srcid=0BxTJoMOw_GADMDE1MDJjYmMtMjE2ZS00OWQ0LTk5N2YtMzA4Njk5YjNmYjRj&amp;hl=en","Yes")</f>
        <v>Yes</v>
      </c>
      <c r="I249" s="13" t="s">
        <v>24</v>
      </c>
      <c r="J249" s="31" t="str">
        <f>HYPERLINK("http://www.alexhunterlang.com/nsf-fellowship","Alex Lang")</f>
        <v>Alex Lang</v>
      </c>
      <c r="K249" s="20"/>
      <c r="L249" s="2"/>
      <c r="M249" s="2"/>
      <c r="N249" s="2"/>
      <c r="O249" s="2"/>
      <c r="P249" s="2"/>
      <c r="Q249" s="2"/>
      <c r="R249" s="2"/>
      <c r="S249" s="2"/>
      <c r="T249" s="2"/>
      <c r="U249" s="2"/>
      <c r="V249" s="2"/>
      <c r="W249" s="2"/>
      <c r="X249" s="2"/>
      <c r="Y249" s="2"/>
      <c r="Z249" s="2"/>
    </row>
    <row r="250" spans="1:26" ht="13" x14ac:dyDescent="0.15">
      <c r="A250" s="20" t="s">
        <v>399</v>
      </c>
      <c r="B250" s="9">
        <v>2011</v>
      </c>
      <c r="C250" s="20" t="s">
        <v>400</v>
      </c>
      <c r="D250" s="2" t="s">
        <v>200</v>
      </c>
      <c r="E250" s="20" t="s">
        <v>14</v>
      </c>
      <c r="F250" s="37" t="str">
        <f>HYPERLINK("https://drive.google.com/file/d/0B8xfqu9_HDdHVnd5SzVvcWwxdTg/view","Yes")</f>
        <v>Yes</v>
      </c>
      <c r="G250" s="37" t="str">
        <f>HYPERLINK("https://drive.google.com/file/d/0B8xfqu9_HDdHTW1DdUFJZXVWeG8/view","Yes")</f>
        <v>Yes</v>
      </c>
      <c r="H250" s="37" t="str">
        <f>HYPERLINK("https://drive.google.com/file/d/0B8xfqu9_HDdHTm9tNWpCZUdHOVE/view","Yes")</f>
        <v>Yes</v>
      </c>
      <c r="I250" s="20" t="s">
        <v>24</v>
      </c>
      <c r="J250" s="37" t="str">
        <f>HYPERLINK("http://ltse1.bol.ucla.edu/nsf.html","Louis Tse")</f>
        <v>Louis Tse</v>
      </c>
      <c r="K250" s="20"/>
      <c r="L250" s="2"/>
      <c r="M250" s="2"/>
      <c r="N250" s="2"/>
      <c r="O250" s="2"/>
      <c r="P250" s="2"/>
      <c r="Q250" s="2"/>
      <c r="R250" s="2"/>
      <c r="S250" s="2"/>
      <c r="T250" s="2"/>
      <c r="U250" s="2"/>
      <c r="V250" s="2"/>
      <c r="W250" s="2"/>
      <c r="X250" s="2"/>
      <c r="Y250" s="2"/>
      <c r="Z250" s="2"/>
    </row>
    <row r="251" spans="1:26" ht="13" x14ac:dyDescent="0.15">
      <c r="A251" s="13" t="s">
        <v>401</v>
      </c>
      <c r="B251" s="13">
        <v>2011</v>
      </c>
      <c r="C251" s="6" t="s">
        <v>329</v>
      </c>
      <c r="D251" s="9" t="s">
        <v>27</v>
      </c>
      <c r="E251" s="9" t="s">
        <v>14</v>
      </c>
      <c r="F251" s="35" t="str">
        <f>HYPERLINK("https://docs.google.com/open?id=0BxTJoMOw_GADZGIxMWJmYTEtZmJkYi00NTU0LTllODMtN2YwYWEwZmNjZDE5","Yes")</f>
        <v>Yes</v>
      </c>
      <c r="G251" s="35" t="str">
        <f>HYPERLINK("https://docs.google.com/open?id=0BxTJoMOw_GADM2NhYjViMTctODk4ZS00MWJkLThlYzAtMTY2ZWQxNTQ5ZDNm","Yes")</f>
        <v>Yes</v>
      </c>
      <c r="H251" s="35" t="str">
        <f>HYPERLINK("https://docs.google.com/open?id=0BxTJoMOw_GADMTg2YTQxYzctYzlkOC00ZWM4LTg4OTEtZTJkMWVmYjIyMWRl","Yes")</f>
        <v>Yes</v>
      </c>
      <c r="I251" s="35" t="str">
        <f>HYPERLINK("https://docs.google.com/open?id=0BxTJoMOw_GADYmRkZjFiZWQtNzU5Ni00ZGFjLWJjNTQtOGZlNzUwZTczN2Nj","Yes")</f>
        <v>Yes</v>
      </c>
      <c r="J251" s="31" t="str">
        <f>HYPERLINK("http://www.alexhunterlang.com/nsf-fellowship","Alex Lang")</f>
        <v>Alex Lang</v>
      </c>
      <c r="K251" s="20"/>
      <c r="L251" s="2"/>
      <c r="M251" s="2"/>
      <c r="N251" s="2"/>
      <c r="O251" s="2"/>
      <c r="P251" s="2"/>
      <c r="Q251" s="2"/>
      <c r="R251" s="2"/>
      <c r="S251" s="2"/>
      <c r="T251" s="2"/>
      <c r="U251" s="2"/>
      <c r="V251" s="2"/>
      <c r="W251" s="2"/>
      <c r="X251" s="2"/>
      <c r="Y251" s="2"/>
      <c r="Z251" s="2"/>
    </row>
    <row r="252" spans="1:26" ht="13" x14ac:dyDescent="0.15">
      <c r="A252" s="40" t="s">
        <v>387</v>
      </c>
      <c r="B252" s="9">
        <v>2011</v>
      </c>
      <c r="C252" s="6" t="s">
        <v>331</v>
      </c>
      <c r="D252" s="9" t="s">
        <v>13</v>
      </c>
      <c r="E252" s="9" t="s">
        <v>78</v>
      </c>
      <c r="F252" s="35" t="str">
        <f>HYPERLINK("http://web.ics.purdue.edu/~rberdani/docs/nsf/2011/berdanier_researchproposal_2011.pdf","Yes")</f>
        <v>Yes</v>
      </c>
      <c r="G252" s="35" t="str">
        <f>HYPERLINK("http://web.ics.purdue.edu/~rberdani/docs/nsf/2011/berdanier_personalstatement_2011.pdf","Yes")</f>
        <v>Yes</v>
      </c>
      <c r="H252" s="35" t="str">
        <f>HYPERLINK("http://web.ics.purdue.edu/~rberdani/docs/nsf/2011/berdanier_previousresearch_2011.pdf","Yes")</f>
        <v>Yes</v>
      </c>
      <c r="I252" s="9" t="s">
        <v>24</v>
      </c>
      <c r="J252" s="42" t="str">
        <f>HYPERLINK("http://web.ics.purdue.edu/~rberdani/resources.html","Reid Berdanier")</f>
        <v>Reid Berdanier</v>
      </c>
      <c r="K252" s="35" t="str">
        <f>HYPERLINK("http://web.ics.purdue.edu/~rberdani/docs/nsf/NSF-GRFP_ApplicationGuide.pdf","Yes")</f>
        <v>Yes</v>
      </c>
      <c r="L252" s="2"/>
      <c r="M252" s="2"/>
      <c r="N252" s="2"/>
      <c r="O252" s="2"/>
      <c r="P252" s="2"/>
      <c r="Q252" s="2"/>
      <c r="R252" s="2"/>
      <c r="S252" s="2"/>
      <c r="T252" s="2"/>
      <c r="U252" s="2"/>
      <c r="V252" s="2"/>
      <c r="W252" s="2"/>
      <c r="X252" s="2"/>
      <c r="Y252" s="2"/>
      <c r="Z252" s="2"/>
    </row>
    <row r="253" spans="1:26" ht="13" x14ac:dyDescent="0.15">
      <c r="A253" s="9" t="s">
        <v>388</v>
      </c>
      <c r="B253" s="9">
        <v>2011</v>
      </c>
      <c r="C253" s="6" t="s">
        <v>389</v>
      </c>
      <c r="D253" s="9" t="s">
        <v>13</v>
      </c>
      <c r="E253" s="9" t="s">
        <v>78</v>
      </c>
      <c r="F253" s="31" t="str">
        <f>HYPERLINK("http://www.unc.edu/~haksaeng/nsf_grfp/2011/research_plan.pdf","Yes")</f>
        <v>Yes</v>
      </c>
      <c r="G253" s="31" t="str">
        <f>HYPERLINK("http://www.unc.edu/~haksaeng/nsf_grfp/2011/personal_essay.pdf","Yes")</f>
        <v>Yes</v>
      </c>
      <c r="H253" s="31" t="str">
        <f>HYPERLINK("http://www.unc.edu/~haksaeng/nsf_grfp/2011/previous_research.pdf","Yes")</f>
        <v>Yes</v>
      </c>
      <c r="I253" s="31" t="str">
        <f>HYPERLINK("http://www.unc.edu/~haksaeng/nsf_grfp/2011/review.pdf","Yes")</f>
        <v>Yes</v>
      </c>
      <c r="J253" s="31" t="str">
        <f>HYPERLINK("https://glossarch.wordpress.com/2013/07/29/strategies-and-example-essays-for-the-nsf-graduate-research-fellowship/","Danny Bowman")</f>
        <v>Danny Bowman</v>
      </c>
      <c r="K253" s="31" t="str">
        <f>HYPERLINK("https://glossarch.wordpress.com/2013/07/29/strategies-and-example-essays-for-the-nsf-graduate-research-fellowship/","Yes")</f>
        <v>Yes</v>
      </c>
      <c r="L253" s="2"/>
      <c r="M253" s="2"/>
      <c r="N253" s="2"/>
      <c r="O253" s="2"/>
      <c r="P253" s="2"/>
      <c r="Q253" s="2"/>
      <c r="R253" s="2"/>
      <c r="S253" s="2"/>
      <c r="T253" s="2"/>
      <c r="U253" s="2"/>
      <c r="V253" s="2"/>
      <c r="W253" s="2"/>
      <c r="X253" s="2"/>
      <c r="Y253" s="2"/>
      <c r="Z253" s="2"/>
    </row>
    <row r="254" spans="1:26" ht="13" x14ac:dyDescent="0.15">
      <c r="A254" s="13" t="s">
        <v>402</v>
      </c>
      <c r="B254" s="13">
        <v>2011</v>
      </c>
      <c r="C254" s="6" t="s">
        <v>207</v>
      </c>
      <c r="D254" s="9" t="s">
        <v>27</v>
      </c>
      <c r="E254" s="9" t="s">
        <v>14</v>
      </c>
      <c r="F254" s="35" t="str">
        <f t="shared" ref="F254:G254" si="26">HYPERLINK("https://docs.google.com/viewer?a=v&amp;pid=explorer&amp;chrome=true&amp;srcid=0BxTJoMOw_GADZjJlMDg2OWUtMzY0NS00MmM3LWEyOGUtNDM5M2E4NjkxMTQ4&amp;hl=en","Yes")</f>
        <v>Yes</v>
      </c>
      <c r="G254" s="35" t="str">
        <f t="shared" si="26"/>
        <v>Yes</v>
      </c>
      <c r="H254" s="35" t="str">
        <f>HYPERLINK("https://docs.google.com/viewer?a=v&amp;pid=explorer&amp;chrome=true&amp;srcid=0BxTJoMOw_GADNGQyYTZmZDktYzkyNi00YjZlLWFlMjAtZmNmYjJhMDE5MzYx&amp;hl=en","Yes")</f>
        <v>Yes</v>
      </c>
      <c r="I254" s="9" t="s">
        <v>24</v>
      </c>
      <c r="J254" s="31" t="str">
        <f>HYPERLINK("http://www.alexhunterlang.com/nsf-fellowship","Alex Lang")</f>
        <v>Alex Lang</v>
      </c>
      <c r="K254" s="35" t="str">
        <f>HYPERLINK("http://djstrouse.com/guide-to-applying-to-us-science-phd-programs-and-fellowships/","Yes")</f>
        <v>Yes</v>
      </c>
      <c r="L254" s="2"/>
      <c r="M254" s="2"/>
      <c r="N254" s="2"/>
      <c r="O254" s="2"/>
      <c r="P254" s="2"/>
      <c r="Q254" s="2"/>
      <c r="R254" s="2"/>
      <c r="S254" s="2"/>
      <c r="T254" s="2"/>
      <c r="U254" s="2"/>
      <c r="V254" s="2"/>
      <c r="W254" s="2"/>
      <c r="X254" s="2"/>
      <c r="Y254" s="2"/>
      <c r="Z254" s="2"/>
    </row>
    <row r="255" spans="1:26" ht="13" x14ac:dyDescent="0.15">
      <c r="A255" s="38" t="s">
        <v>403</v>
      </c>
      <c r="B255" s="9">
        <v>2011</v>
      </c>
      <c r="C255" s="6" t="s">
        <v>39</v>
      </c>
      <c r="D255" s="2" t="s">
        <v>200</v>
      </c>
      <c r="E255" s="9" t="s">
        <v>14</v>
      </c>
      <c r="F255" s="35" t="str">
        <f t="shared" ref="F255:I255" si="27">HYPERLINK("http://static1.1.sqspcdn.com/static/f/700541/14767669/1319342723770/NSF_Sample_Essays-1.pdf?token=IeZe%2B9wvM5bsD5wb37v6wFHOjfc%3D","Yes")</f>
        <v>Yes</v>
      </c>
      <c r="G255" s="35" t="str">
        <f t="shared" si="27"/>
        <v>Yes</v>
      </c>
      <c r="H255" s="35" t="str">
        <f t="shared" si="27"/>
        <v>Yes</v>
      </c>
      <c r="I255" s="35" t="str">
        <f t="shared" si="27"/>
        <v>Yes</v>
      </c>
      <c r="J255" s="35" t="str">
        <f>HYPERLINK("http://www.graduate-mentor.com/nsf-graduate-fellowship/","Jan Allen")</f>
        <v>Jan Allen</v>
      </c>
      <c r="K255" s="35" t="str">
        <f>HYPERLINK("http://www.graduate-mentor.com/nsf-graduate-fellowship/","Yes")</f>
        <v>Yes</v>
      </c>
      <c r="L255" s="2"/>
      <c r="M255" s="2"/>
      <c r="N255" s="2"/>
      <c r="O255" s="2"/>
      <c r="P255" s="2"/>
      <c r="Q255" s="2"/>
      <c r="R255" s="2"/>
      <c r="S255" s="2"/>
      <c r="T255" s="2"/>
      <c r="U255" s="2"/>
      <c r="V255" s="2"/>
      <c r="W255" s="2"/>
      <c r="X255" s="2"/>
      <c r="Y255" s="2"/>
      <c r="Z255" s="2"/>
    </row>
    <row r="256" spans="1:26" ht="13" x14ac:dyDescent="0.15">
      <c r="A256" s="2" t="s">
        <v>404</v>
      </c>
      <c r="B256" s="3">
        <v>2011</v>
      </c>
      <c r="C256" s="2" t="s">
        <v>26</v>
      </c>
      <c r="D256" s="2" t="s">
        <v>200</v>
      </c>
      <c r="E256" s="2" t="s">
        <v>14</v>
      </c>
      <c r="F256" s="29" t="s">
        <v>15</v>
      </c>
      <c r="G256" s="29" t="s">
        <v>15</v>
      </c>
      <c r="H256" s="2" t="s">
        <v>379</v>
      </c>
      <c r="I256" s="29" t="s">
        <v>15</v>
      </c>
      <c r="J256" s="5" t="s">
        <v>292</v>
      </c>
      <c r="K256" s="2"/>
      <c r="L256" s="2"/>
      <c r="M256" s="2"/>
      <c r="N256" s="2"/>
      <c r="O256" s="2"/>
      <c r="P256" s="2"/>
      <c r="Q256" s="2"/>
      <c r="R256" s="2"/>
      <c r="S256" s="2"/>
      <c r="T256" s="2"/>
      <c r="U256" s="2"/>
      <c r="V256" s="2"/>
      <c r="W256" s="2"/>
      <c r="X256" s="2"/>
      <c r="Y256" s="2"/>
      <c r="Z256" s="2"/>
    </row>
    <row r="257" spans="1:26" ht="13" x14ac:dyDescent="0.15">
      <c r="A257" s="9" t="s">
        <v>405</v>
      </c>
      <c r="B257" s="13">
        <v>2010</v>
      </c>
      <c r="C257" s="6" t="s">
        <v>327</v>
      </c>
      <c r="D257" s="2" t="s">
        <v>200</v>
      </c>
      <c r="E257" s="9" t="s">
        <v>14</v>
      </c>
      <c r="F257" s="35" t="str">
        <f>HYPERLINK("http://kevinkarsch.com/downloads/fellowships/NSFGRF09-Proposal.pdf","Yes")</f>
        <v>Yes</v>
      </c>
      <c r="G257" s="35" t="str">
        <f>HYPERLINK("http://kevinkarsch.com/downloads/fellowships/NSFGRF09-Personal.pdf","Yes")</f>
        <v>Yes</v>
      </c>
      <c r="H257" s="35" t="str">
        <f>HYPERLINK("http://kevinkarsch.com/downloads/fellowships/NSFGRF09-Previous.pdf","Yes")</f>
        <v>Yes</v>
      </c>
      <c r="I257" s="9" t="s">
        <v>24</v>
      </c>
      <c r="J257" s="35" t="str">
        <f>HYPERLINK("http://kevinkarsch.com/?p=319","Kevin Karsch")</f>
        <v>Kevin Karsch</v>
      </c>
      <c r="K257" s="20"/>
      <c r="L257" s="2"/>
      <c r="M257" s="2"/>
      <c r="N257" s="2"/>
      <c r="O257" s="2"/>
      <c r="P257" s="2"/>
      <c r="Q257" s="2"/>
      <c r="R257" s="2"/>
      <c r="S257" s="2"/>
      <c r="T257" s="2"/>
      <c r="U257" s="2"/>
      <c r="V257" s="2"/>
      <c r="W257" s="2"/>
      <c r="X257" s="2"/>
      <c r="Y257" s="2"/>
      <c r="Z257" s="2"/>
    </row>
    <row r="258" spans="1:26" ht="13" x14ac:dyDescent="0.15">
      <c r="A258" s="9" t="s">
        <v>406</v>
      </c>
      <c r="B258" s="9">
        <v>2010</v>
      </c>
      <c r="C258" s="6" t="s">
        <v>407</v>
      </c>
      <c r="D258" s="2" t="s">
        <v>200</v>
      </c>
      <c r="E258" s="9" t="s">
        <v>14</v>
      </c>
      <c r="F258" s="35" t="str">
        <f>HYPERLINK("https://grad.uc.edu/content/dam/grad/docs/Events/Proposed%20graduate%20research%20Andrew%20Schriner.pdf","Yes")</f>
        <v>Yes</v>
      </c>
      <c r="G258" s="35" t="str">
        <f>HYPERLINK("https://grad.uc.edu/content/dam/grad/docs/Events/Personal%20Statement%20Essay%20Andrew%20Schriner.pdf","Yes")</f>
        <v>Yes</v>
      </c>
      <c r="H258" s="35" t="str">
        <f>HYPERLINK("v","Yes")</f>
        <v>Yes</v>
      </c>
      <c r="I258" s="9" t="s">
        <v>24</v>
      </c>
      <c r="J258" s="39" t="str">
        <f>HYPERLINK("https://grad.uc.edu/student-life/awards/grfp.html","Univ of Cincinnati")</f>
        <v>Univ of Cincinnati</v>
      </c>
      <c r="K258" s="35" t="str">
        <f>HYPERLINK("https://grad.uc.edu/student-life/awards/grfp.html","Yes")</f>
        <v>Yes</v>
      </c>
      <c r="L258" s="2"/>
      <c r="M258" s="2"/>
      <c r="N258" s="2"/>
      <c r="O258" s="2"/>
      <c r="P258" s="2"/>
      <c r="Q258" s="2"/>
      <c r="R258" s="2"/>
      <c r="S258" s="2"/>
      <c r="T258" s="2"/>
      <c r="U258" s="2"/>
      <c r="V258" s="2"/>
      <c r="W258" s="2"/>
      <c r="X258" s="2"/>
      <c r="Y258" s="2"/>
      <c r="Z258" s="2"/>
    </row>
    <row r="259" spans="1:26" ht="13" x14ac:dyDescent="0.15">
      <c r="A259" s="13" t="s">
        <v>408</v>
      </c>
      <c r="B259" s="13">
        <v>2010</v>
      </c>
      <c r="C259" s="6" t="s">
        <v>409</v>
      </c>
      <c r="D259" s="2" t="s">
        <v>200</v>
      </c>
      <c r="E259" s="9" t="s">
        <v>14</v>
      </c>
      <c r="F259" s="35" t="str">
        <f>HYPERLINK("https://docs.google.com/open?id=1YOeba_yfn6R3uieHkhnSRL-tAplTsKNMIwkopqdsTbJQluhgJ1wmkuSyk4Yt","Yes")</f>
        <v>Yes</v>
      </c>
      <c r="G259" s="35" t="str">
        <f>HYPERLINK("https://docs.google.com/open?id=1_PWB0Hg4Z0b0TkyORRcWFgHuLKsHY0dzqo8MszfGrJ73Zv_kq0-x53JvN8hW","Yes")</f>
        <v>Yes</v>
      </c>
      <c r="H259" s="35" t="str">
        <f>HYPERLINK("https://docs.google.com/open?id=14PhNszWN8Yl-qvRYznfcjdc7u-4E_uMQtHuYa65WXFYQmH6vnw_w2r2g1Rau","Yes")</f>
        <v>Yes</v>
      </c>
      <c r="I259" s="13" t="s">
        <v>24</v>
      </c>
      <c r="J259" s="31" t="str">
        <f>HYPERLINK("http://www.alexhunterlang.com/nsf-fellowship","Alex Lang")</f>
        <v>Alex Lang</v>
      </c>
      <c r="K259" s="20"/>
      <c r="L259" s="2"/>
      <c r="M259" s="2"/>
      <c r="N259" s="2"/>
      <c r="O259" s="2"/>
      <c r="P259" s="2"/>
      <c r="Q259" s="2"/>
      <c r="R259" s="2"/>
      <c r="S259" s="2"/>
      <c r="T259" s="2"/>
      <c r="U259" s="2"/>
      <c r="V259" s="2"/>
      <c r="W259" s="2"/>
      <c r="X259" s="2"/>
      <c r="Y259" s="2"/>
      <c r="Z259" s="2"/>
    </row>
    <row r="260" spans="1:26" ht="13" x14ac:dyDescent="0.15">
      <c r="A260" s="40" t="s">
        <v>387</v>
      </c>
      <c r="B260" s="9">
        <v>2010</v>
      </c>
      <c r="C260" s="6" t="s">
        <v>331</v>
      </c>
      <c r="D260" s="9" t="s">
        <v>27</v>
      </c>
      <c r="E260" s="9" t="s">
        <v>78</v>
      </c>
      <c r="F260" s="35" t="str">
        <f>HYPERLINK("http://web.ics.purdue.edu/~rberdani/docs/nsf/2010/berdanier_researchproposal_2010.pdf","Yes")</f>
        <v>Yes</v>
      </c>
      <c r="G260" s="35" t="str">
        <f>HYPERLINK("http://web.ics.purdue.edu/~rberdani/docs/nsf/2010/berdanier_personalstatement_2010.pdf","Yes")</f>
        <v>Yes</v>
      </c>
      <c r="H260" s="35" t="str">
        <f>HYPERLINK("http://web.ics.purdue.edu/~rberdani/docs/nsf/2010/berdanier_previousresearch_2010.pdf","Yes")</f>
        <v>Yes</v>
      </c>
      <c r="I260" s="9" t="s">
        <v>24</v>
      </c>
      <c r="J260" s="42" t="str">
        <f>HYPERLINK("http://web.ics.purdue.edu/~rberdani/resources.html","Reid Berdanier")</f>
        <v>Reid Berdanier</v>
      </c>
      <c r="K260" s="35" t="str">
        <f>HYPERLINK("http://web.ics.purdue.edu/~rberdani/docs/nsf/NSF-GRFP_ApplicationGuide.pdf","Yes")</f>
        <v>Yes</v>
      </c>
      <c r="L260" s="2"/>
      <c r="M260" s="2"/>
      <c r="N260" s="2"/>
      <c r="O260" s="2"/>
      <c r="P260" s="2"/>
      <c r="Q260" s="2"/>
      <c r="R260" s="2"/>
      <c r="S260" s="2"/>
      <c r="T260" s="2"/>
      <c r="U260" s="2"/>
      <c r="V260" s="2"/>
      <c r="W260" s="2"/>
      <c r="X260" s="2"/>
      <c r="Y260" s="2"/>
      <c r="Z260" s="2"/>
    </row>
    <row r="261" spans="1:26" ht="13" x14ac:dyDescent="0.15">
      <c r="A261" s="9" t="s">
        <v>410</v>
      </c>
      <c r="B261" s="13">
        <v>2010</v>
      </c>
      <c r="C261" s="6" t="s">
        <v>411</v>
      </c>
      <c r="D261" s="9" t="s">
        <v>27</v>
      </c>
      <c r="E261" s="9" t="s">
        <v>14</v>
      </c>
      <c r="F261" s="35" t="str">
        <f>HYPERLINK("http://openwetware.org/images/0/08/Kaull_2010_NSF_RP.pdf","Yes")</f>
        <v>Yes</v>
      </c>
      <c r="G261" s="35" t="str">
        <f>HYPERLINK("http://openwetware.org/images/8/81/Kaull_2010_NSF_PS.pdf","Yes")</f>
        <v>Yes</v>
      </c>
      <c r="H261" s="35" t="str">
        <f>HYPERLINK("http://openwetware.org/images/2/25/Kaull_2010_NSF_RE.pdf","Yes")</f>
        <v>Yes</v>
      </c>
      <c r="I261" s="35" t="str">
        <f>HYPERLINK("http://openwetware.org/images/9/91/Kaull_2010_NSF_reviews.pdf","Yes")</f>
        <v>Yes</v>
      </c>
      <c r="J261" s="35" t="str">
        <f>HYPERLINK("http://openwetware.org/wiki/User:Kaull/NSF","OpenWetWare")</f>
        <v>OpenWetWare</v>
      </c>
      <c r="K261" s="20"/>
      <c r="L261" s="2"/>
      <c r="M261" s="2"/>
      <c r="N261" s="2"/>
      <c r="O261" s="2"/>
      <c r="P261" s="2"/>
      <c r="Q261" s="2"/>
      <c r="R261" s="2"/>
      <c r="S261" s="2"/>
      <c r="T261" s="2"/>
      <c r="U261" s="2"/>
      <c r="V261" s="2"/>
      <c r="W261" s="2"/>
      <c r="X261" s="2"/>
      <c r="Y261" s="2"/>
      <c r="Z261" s="2"/>
    </row>
    <row r="262" spans="1:26" ht="13" x14ac:dyDescent="0.15">
      <c r="A262" s="2" t="s">
        <v>412</v>
      </c>
      <c r="B262" s="3">
        <v>2010</v>
      </c>
      <c r="C262" s="2" t="s">
        <v>32</v>
      </c>
      <c r="D262" s="2" t="s">
        <v>20</v>
      </c>
      <c r="E262" s="2" t="s">
        <v>14</v>
      </c>
      <c r="F262" s="15" t="str">
        <f>HYPERLINK("https://drive.google.com/file/d/1tPbrw6x3Tq08A01UwsOt-crRZ_ooyLMk/view?usp=sharing","Yes")</f>
        <v>Yes</v>
      </c>
      <c r="G262" s="15" t="str">
        <f>HYPERLINK("https://drive.google.com/file/d/1-BqErWMo7oI-jcJu5X0o85O3R5Mjk-OW/view?usp=sharing","Yes")</f>
        <v>Yes</v>
      </c>
      <c r="H262" s="15" t="str">
        <f>HYPERLINK("https://drive.google.com/file/d/1aexFyk4487jjsRRHzgxe7DilSVAE8pW2/view?usp=sharing","Yes")</f>
        <v>Yes</v>
      </c>
      <c r="I262" s="2" t="s">
        <v>24</v>
      </c>
      <c r="J262" s="15" t="str">
        <f t="shared" ref="J262:J264" si="28">HYPERLINK("http://www.alexhunterlang.com/nsf-fellowship","Alex Lang")</f>
        <v>Alex Lang</v>
      </c>
      <c r="K262" s="2"/>
      <c r="L262" s="2"/>
      <c r="M262" s="2"/>
      <c r="N262" s="2"/>
      <c r="O262" s="2"/>
      <c r="P262" s="2"/>
      <c r="Q262" s="2"/>
      <c r="R262" s="2"/>
      <c r="S262" s="2"/>
      <c r="T262" s="2"/>
      <c r="U262" s="2"/>
      <c r="V262" s="2"/>
      <c r="W262" s="2"/>
      <c r="X262" s="2"/>
      <c r="Y262" s="2"/>
      <c r="Z262" s="2"/>
    </row>
    <row r="263" spans="1:26" ht="13" x14ac:dyDescent="0.15">
      <c r="A263" s="13" t="s">
        <v>413</v>
      </c>
      <c r="B263" s="9">
        <v>2010</v>
      </c>
      <c r="C263" s="6" t="s">
        <v>414</v>
      </c>
      <c r="D263" s="9" t="s">
        <v>27</v>
      </c>
      <c r="E263" s="9" t="s">
        <v>14</v>
      </c>
      <c r="F263" s="31" t="str">
        <f>HYPERLINK("https://docs.google.com/viewer?a=v&amp;pid=explorer&amp;chrome=true&amp;srcid=0BxTJoMOw_GADZGEwOGRlYzItMTI0YS00ZDgyLWE2YzktYTQzMjdmYWJlNTYx&amp;hl=en","Yes")</f>
        <v>Yes</v>
      </c>
      <c r="G263" s="31" t="str">
        <f>HYPERLINK("https://drive.google.com/file/d/0BxTJoMOw_GADMDU0MmQwODEtYTRiNi00NDNjLWI2MGEtNDE5MDA4MjFmMGFm/view","Yes")</f>
        <v>Yes</v>
      </c>
      <c r="H263" s="35" t="str">
        <f>HYPERLINK("https://drive.google.com/file/d/0BxTJoMOw_GADOWJkOWQwZWItNTU4OS00ZWE3LWJhMWEtZjEwOWJkZjA3YTJi/view","Yes")</f>
        <v>Yes</v>
      </c>
      <c r="I263" s="35" t="str">
        <f>HYPERLINK("https://drive.google.com/file/d/0BxTJoMOw_GADNDY2YjU5NTctZTRkOC00YzU3LWI1ZjktMzZiODE0ZjgwODhm/view","Yes")</f>
        <v>Yes</v>
      </c>
      <c r="J263" s="31" t="str">
        <f t="shared" si="28"/>
        <v>Alex Lang</v>
      </c>
      <c r="K263" s="35" t="str">
        <f>HYPERLINK("http://www.alexhunterlang.com/nsf-fellowship","Yes")</f>
        <v>Yes</v>
      </c>
      <c r="L263" s="2"/>
      <c r="M263" s="2"/>
      <c r="N263" s="2"/>
      <c r="O263" s="2"/>
      <c r="P263" s="2"/>
      <c r="Q263" s="2"/>
      <c r="R263" s="2"/>
      <c r="S263" s="2"/>
      <c r="T263" s="2"/>
      <c r="U263" s="2"/>
      <c r="V263" s="2"/>
      <c r="W263" s="2"/>
      <c r="X263" s="2"/>
      <c r="Y263" s="2"/>
      <c r="Z263" s="2"/>
    </row>
    <row r="264" spans="1:26" ht="13" x14ac:dyDescent="0.15">
      <c r="A264" s="2" t="s">
        <v>415</v>
      </c>
      <c r="B264" s="3">
        <v>2010</v>
      </c>
      <c r="C264" s="2" t="s">
        <v>416</v>
      </c>
      <c r="D264" s="2" t="s">
        <v>27</v>
      </c>
      <c r="E264" s="2" t="s">
        <v>14</v>
      </c>
      <c r="F264" s="8" t="str">
        <f>HYPERLINK("https://drive.google.com/file/d/1ZxNDxny42cCbcKI8bWsAbFw-bDMJkUQ1/view?usp=sharing","Yes")</f>
        <v>Yes</v>
      </c>
      <c r="G264" s="8" t="str">
        <f>HYPERLINK("https://drive.google.com/file/d/1M18IHJMy6lBx87bK3vdJ2UC2ekMyxa1o/view?usp=sharing","Yes")</f>
        <v>Yes</v>
      </c>
      <c r="H264" s="8" t="str">
        <f>HYPERLINK("https://drive.google.com/file/d/1bvlb2t3TvJtKbFg1En1XjkaJCZofAzza/view?usp=sharing","Yes")</f>
        <v>Yes</v>
      </c>
      <c r="I264" s="8" t="str">
        <f>HYPERLINK("https://drive.google.com/file/d/1b4FsSzZfPj7HHpiLaBUuDJW4FNto13Wk/view?usp=sharing","Yes")</f>
        <v>Yes</v>
      </c>
      <c r="J264" s="5" t="str">
        <f t="shared" si="28"/>
        <v>Alex Lang</v>
      </c>
      <c r="K264" s="2"/>
      <c r="L264" s="2"/>
      <c r="M264" s="2"/>
      <c r="N264" s="2"/>
      <c r="O264" s="2"/>
      <c r="P264" s="2"/>
      <c r="Q264" s="2"/>
      <c r="R264" s="2"/>
      <c r="S264" s="2"/>
      <c r="T264" s="2"/>
      <c r="U264" s="2"/>
      <c r="V264" s="2"/>
      <c r="W264" s="2"/>
      <c r="X264" s="2"/>
      <c r="Y264" s="2"/>
      <c r="Z264" s="2"/>
    </row>
    <row r="265" spans="1:26" ht="13" x14ac:dyDescent="0.15">
      <c r="A265" s="2" t="s">
        <v>48</v>
      </c>
      <c r="B265" s="3">
        <v>2010</v>
      </c>
      <c r="C265" s="2" t="s">
        <v>417</v>
      </c>
      <c r="D265" s="2" t="s">
        <v>200</v>
      </c>
      <c r="E265" s="2" t="s">
        <v>14</v>
      </c>
      <c r="F265" s="5" t="s">
        <v>15</v>
      </c>
      <c r="G265" s="2" t="s">
        <v>24</v>
      </c>
      <c r="H265" s="2" t="s">
        <v>379</v>
      </c>
      <c r="I265" s="2" t="s">
        <v>24</v>
      </c>
      <c r="J265" s="5" t="s">
        <v>418</v>
      </c>
      <c r="K265" s="2"/>
      <c r="L265" s="2"/>
      <c r="M265" s="2"/>
      <c r="N265" s="2"/>
      <c r="O265" s="2"/>
      <c r="P265" s="2"/>
      <c r="Q265" s="2"/>
      <c r="R265" s="2"/>
      <c r="S265" s="2"/>
      <c r="T265" s="2"/>
      <c r="U265" s="2"/>
      <c r="V265" s="2"/>
      <c r="W265" s="2"/>
      <c r="X265" s="2"/>
      <c r="Y265" s="2"/>
      <c r="Z265" s="2"/>
    </row>
    <row r="266" spans="1:26" ht="13" x14ac:dyDescent="0.15">
      <c r="A266" s="2" t="s">
        <v>419</v>
      </c>
      <c r="B266" s="3">
        <v>2010</v>
      </c>
      <c r="C266" s="2" t="s">
        <v>242</v>
      </c>
      <c r="D266" s="2" t="s">
        <v>200</v>
      </c>
      <c r="E266" s="2" t="s">
        <v>14</v>
      </c>
      <c r="F266" s="5" t="s">
        <v>15</v>
      </c>
      <c r="G266" s="2" t="s">
        <v>24</v>
      </c>
      <c r="H266" s="5" t="s">
        <v>15</v>
      </c>
      <c r="I266" s="5" t="s">
        <v>15</v>
      </c>
      <c r="J266" s="5" t="s">
        <v>418</v>
      </c>
      <c r="K266" s="2"/>
      <c r="L266" s="2"/>
      <c r="M266" s="2"/>
      <c r="N266" s="2"/>
      <c r="O266" s="2"/>
      <c r="P266" s="2"/>
      <c r="Q266" s="2"/>
      <c r="R266" s="2"/>
      <c r="S266" s="2"/>
      <c r="T266" s="2"/>
      <c r="U266" s="2"/>
      <c r="V266" s="2"/>
      <c r="W266" s="2"/>
      <c r="X266" s="2"/>
      <c r="Y266" s="2"/>
      <c r="Z266" s="2"/>
    </row>
    <row r="267" spans="1:26" ht="13" x14ac:dyDescent="0.15">
      <c r="A267" s="2" t="s">
        <v>420</v>
      </c>
      <c r="B267" s="3">
        <v>2010</v>
      </c>
      <c r="C267" s="2" t="s">
        <v>421</v>
      </c>
      <c r="D267" s="2" t="s">
        <v>200</v>
      </c>
      <c r="E267" s="2" t="s">
        <v>14</v>
      </c>
      <c r="F267" s="5" t="s">
        <v>15</v>
      </c>
      <c r="G267" s="5" t="s">
        <v>15</v>
      </c>
      <c r="H267" s="5" t="s">
        <v>15</v>
      </c>
      <c r="I267" s="2" t="s">
        <v>24</v>
      </c>
      <c r="J267" s="5" t="s">
        <v>418</v>
      </c>
      <c r="K267" s="2"/>
      <c r="L267" s="2"/>
      <c r="M267" s="2"/>
      <c r="N267" s="2"/>
      <c r="O267" s="2"/>
      <c r="P267" s="2"/>
      <c r="Q267" s="2"/>
      <c r="R267" s="2"/>
      <c r="S267" s="2"/>
      <c r="T267" s="2"/>
      <c r="U267" s="2"/>
      <c r="V267" s="2"/>
      <c r="W267" s="2"/>
      <c r="X267" s="2"/>
      <c r="Y267" s="2"/>
      <c r="Z267" s="2"/>
    </row>
    <row r="268" spans="1:26" ht="13" x14ac:dyDescent="0.15">
      <c r="A268" s="2" t="s">
        <v>48</v>
      </c>
      <c r="B268" s="3">
        <v>2010</v>
      </c>
      <c r="C268" s="2" t="s">
        <v>417</v>
      </c>
      <c r="D268" s="2" t="s">
        <v>200</v>
      </c>
      <c r="E268" s="2" t="s">
        <v>14</v>
      </c>
      <c r="F268" s="5" t="s">
        <v>15</v>
      </c>
      <c r="G268" s="2" t="s">
        <v>24</v>
      </c>
      <c r="H268" s="5" t="s">
        <v>15</v>
      </c>
      <c r="I268" s="5" t="s">
        <v>15</v>
      </c>
      <c r="J268" s="5" t="s">
        <v>418</v>
      </c>
      <c r="K268" s="2"/>
      <c r="L268" s="2"/>
      <c r="M268" s="2"/>
      <c r="N268" s="2"/>
      <c r="O268" s="2"/>
      <c r="P268" s="2"/>
      <c r="Q268" s="2"/>
      <c r="R268" s="2"/>
      <c r="S268" s="2"/>
      <c r="T268" s="2"/>
      <c r="U268" s="2"/>
      <c r="V268" s="2"/>
      <c r="W268" s="2"/>
      <c r="X268" s="2"/>
      <c r="Y268" s="2"/>
      <c r="Z268" s="2"/>
    </row>
    <row r="269" spans="1:26" ht="13" x14ac:dyDescent="0.15">
      <c r="A269" s="2" t="s">
        <v>422</v>
      </c>
      <c r="B269" s="3">
        <v>2010</v>
      </c>
      <c r="C269" s="2" t="s">
        <v>423</v>
      </c>
      <c r="D269" s="2" t="s">
        <v>200</v>
      </c>
      <c r="E269" s="2" t="s">
        <v>14</v>
      </c>
      <c r="F269" s="5" t="s">
        <v>15</v>
      </c>
      <c r="G269" s="5" t="s">
        <v>15</v>
      </c>
      <c r="H269" s="5" t="s">
        <v>15</v>
      </c>
      <c r="I269" s="5" t="s">
        <v>15</v>
      </c>
      <c r="J269" s="5" t="s">
        <v>418</v>
      </c>
      <c r="K269" s="2"/>
      <c r="L269" s="2"/>
      <c r="M269" s="2"/>
      <c r="N269" s="2"/>
      <c r="O269" s="2"/>
      <c r="P269" s="2"/>
      <c r="Q269" s="2"/>
      <c r="R269" s="2"/>
      <c r="S269" s="2"/>
      <c r="T269" s="2"/>
      <c r="U269" s="2"/>
      <c r="V269" s="2"/>
      <c r="W269" s="2"/>
      <c r="X269" s="2"/>
      <c r="Y269" s="2"/>
      <c r="Z269" s="2"/>
    </row>
    <row r="270" spans="1:26" ht="13" x14ac:dyDescent="0.15">
      <c r="A270" s="2" t="s">
        <v>424</v>
      </c>
      <c r="B270" s="3">
        <v>2010</v>
      </c>
      <c r="C270" s="2" t="s">
        <v>425</v>
      </c>
      <c r="D270" s="2" t="s">
        <v>200</v>
      </c>
      <c r="E270" s="2" t="s">
        <v>14</v>
      </c>
      <c r="F270" s="5" t="s">
        <v>15</v>
      </c>
      <c r="G270" s="2" t="s">
        <v>24</v>
      </c>
      <c r="H270" s="5" t="s">
        <v>15</v>
      </c>
      <c r="I270" s="5" t="s">
        <v>15</v>
      </c>
      <c r="J270" s="5" t="s">
        <v>418</v>
      </c>
      <c r="K270" s="2"/>
      <c r="L270" s="2"/>
      <c r="M270" s="2"/>
      <c r="N270" s="2"/>
      <c r="O270" s="2"/>
      <c r="P270" s="2"/>
      <c r="Q270" s="2"/>
      <c r="R270" s="2"/>
      <c r="S270" s="2"/>
      <c r="T270" s="2"/>
      <c r="U270" s="2"/>
      <c r="V270" s="2"/>
      <c r="W270" s="2"/>
      <c r="X270" s="2"/>
      <c r="Y270" s="2"/>
      <c r="Z270" s="2"/>
    </row>
    <row r="271" spans="1:26" ht="13" x14ac:dyDescent="0.15">
      <c r="A271" s="2" t="s">
        <v>426</v>
      </c>
      <c r="B271" s="3">
        <v>2010</v>
      </c>
      <c r="C271" s="2" t="s">
        <v>427</v>
      </c>
      <c r="D271" s="2" t="s">
        <v>200</v>
      </c>
      <c r="E271" s="2" t="s">
        <v>14</v>
      </c>
      <c r="F271" s="5" t="s">
        <v>15</v>
      </c>
      <c r="G271" s="5" t="s">
        <v>15</v>
      </c>
      <c r="H271" s="5" t="s">
        <v>15</v>
      </c>
      <c r="I271" s="2" t="s">
        <v>24</v>
      </c>
      <c r="J271" s="5" t="s">
        <v>418</v>
      </c>
      <c r="K271" s="2"/>
      <c r="L271" s="2"/>
      <c r="M271" s="2"/>
      <c r="N271" s="2"/>
      <c r="O271" s="2"/>
      <c r="P271" s="2"/>
      <c r="Q271" s="2"/>
      <c r="R271" s="2"/>
      <c r="S271" s="2"/>
      <c r="T271" s="2"/>
      <c r="U271" s="2"/>
      <c r="V271" s="2"/>
      <c r="W271" s="2"/>
      <c r="X271" s="2"/>
      <c r="Y271" s="2"/>
      <c r="Z271" s="2"/>
    </row>
    <row r="272" spans="1:26" ht="13" x14ac:dyDescent="0.15">
      <c r="A272" s="2" t="s">
        <v>428</v>
      </c>
      <c r="B272" s="3">
        <v>2010</v>
      </c>
      <c r="C272" s="2" t="s">
        <v>429</v>
      </c>
      <c r="D272" s="2" t="s">
        <v>27</v>
      </c>
      <c r="E272" s="2" t="s">
        <v>14</v>
      </c>
      <c r="F272" s="29" t="s">
        <v>15</v>
      </c>
      <c r="G272" s="43" t="s">
        <v>24</v>
      </c>
      <c r="H272" s="2" t="s">
        <v>379</v>
      </c>
      <c r="I272" s="2" t="s">
        <v>24</v>
      </c>
      <c r="J272" s="5" t="s">
        <v>292</v>
      </c>
      <c r="K272" s="2"/>
      <c r="L272" s="2"/>
      <c r="M272" s="2"/>
      <c r="N272" s="2"/>
      <c r="O272" s="2"/>
      <c r="P272" s="2"/>
      <c r="Q272" s="2"/>
      <c r="R272" s="2"/>
      <c r="S272" s="2"/>
      <c r="T272" s="2"/>
      <c r="U272" s="2"/>
      <c r="V272" s="2"/>
      <c r="W272" s="2"/>
      <c r="X272" s="2"/>
      <c r="Y272" s="2"/>
      <c r="Z272" s="2"/>
    </row>
    <row r="273" spans="1:26" ht="13" x14ac:dyDescent="0.15">
      <c r="A273" s="2" t="s">
        <v>430</v>
      </c>
      <c r="B273" s="3">
        <v>2010</v>
      </c>
      <c r="C273" s="2" t="s">
        <v>431</v>
      </c>
      <c r="D273" s="2" t="s">
        <v>200</v>
      </c>
      <c r="E273" s="2" t="s">
        <v>14</v>
      </c>
      <c r="F273" s="29" t="s">
        <v>15</v>
      </c>
      <c r="G273" s="29" t="s">
        <v>15</v>
      </c>
      <c r="H273" s="2" t="s">
        <v>379</v>
      </c>
      <c r="I273" s="2" t="s">
        <v>24</v>
      </c>
      <c r="J273" s="5" t="s">
        <v>292</v>
      </c>
      <c r="K273" s="2"/>
      <c r="L273" s="2"/>
      <c r="M273" s="2"/>
      <c r="N273" s="2"/>
      <c r="O273" s="2"/>
      <c r="P273" s="2"/>
      <c r="Q273" s="2"/>
      <c r="R273" s="2"/>
      <c r="S273" s="2"/>
      <c r="T273" s="2"/>
      <c r="U273" s="2"/>
      <c r="V273" s="2"/>
      <c r="W273" s="2"/>
      <c r="X273" s="2"/>
      <c r="Y273" s="2"/>
      <c r="Z273" s="2"/>
    </row>
    <row r="274" spans="1:26" ht="13" x14ac:dyDescent="0.15">
      <c r="A274" s="13" t="s">
        <v>432</v>
      </c>
      <c r="B274" s="13">
        <v>2009</v>
      </c>
      <c r="C274" s="6" t="s">
        <v>433</v>
      </c>
      <c r="D274" s="20" t="s">
        <v>200</v>
      </c>
      <c r="E274" s="9" t="s">
        <v>14</v>
      </c>
      <c r="F274" s="35" t="str">
        <f>HYPERLINK("http://www3.nd.edu/~tweninge/researchProposalNSF.pdf","Yes")</f>
        <v>Yes</v>
      </c>
      <c r="G274" s="35" t="str">
        <f>HYPERLINK("http://www3.nd.edu/~tweninge/personalStatementNSF.pdf","Yes")</f>
        <v>Yes</v>
      </c>
      <c r="H274" s="35" t="str">
        <f>HYPERLINK("http://www3.nd.edu/~tweninge/researchExperienceNSF.pdf","Yes")</f>
        <v>Yes</v>
      </c>
      <c r="I274" s="9" t="s">
        <v>24</v>
      </c>
      <c r="J274" s="35" t="str">
        <f>HYPERLINK("http://www3.nd.edu/~tweninge/otherpubs.html","Tim Weninger")</f>
        <v>Tim Weninger</v>
      </c>
      <c r="K274" s="20"/>
      <c r="L274" s="2"/>
      <c r="M274" s="2"/>
      <c r="N274" s="2"/>
      <c r="O274" s="2"/>
      <c r="P274" s="2"/>
      <c r="Q274" s="2"/>
      <c r="R274" s="2"/>
      <c r="S274" s="2"/>
      <c r="T274" s="2"/>
      <c r="U274" s="2"/>
      <c r="V274" s="2"/>
      <c r="W274" s="2"/>
      <c r="X274" s="2"/>
      <c r="Y274" s="2"/>
      <c r="Z274" s="2"/>
    </row>
    <row r="275" spans="1:26" ht="13" x14ac:dyDescent="0.15">
      <c r="A275" s="2" t="s">
        <v>412</v>
      </c>
      <c r="B275" s="3">
        <v>2009</v>
      </c>
      <c r="C275" s="2" t="s">
        <v>32</v>
      </c>
      <c r="D275" s="2" t="s">
        <v>13</v>
      </c>
      <c r="E275" s="2" t="s">
        <v>78</v>
      </c>
      <c r="F275" s="15" t="str">
        <f>HYPERLINK("https://drive.google.com/file/d/1gAMc5x3sBChsrlEe0-1wZFcMuLNlpUyK/view?usp=sharing","Yes")</f>
        <v>Yes</v>
      </c>
      <c r="G275" s="15" t="str">
        <f>HYPERLINK("https://drive.google.com/file/d/1orZshW0EJRwAN8z3mLPZtlPgnfVKKIXG/view?usp=sharing","Yes")</f>
        <v>Yes</v>
      </c>
      <c r="H275" s="15" t="str">
        <f>HYPERLINK("https://drive.google.com/file/d/1sHTo3UKvALbOXYOCRhurMvgpxxwAMo9q/view?usp=sharing","Yes")</f>
        <v>Yes</v>
      </c>
      <c r="I275" s="15" t="str">
        <f>HYPERLINK("https://drive.google.com/file/d/13f5WPaFge0ThzD4dBsAeSdRnbiaFB4Vc/view?usp=sharing","Yes")</f>
        <v>Yes</v>
      </c>
      <c r="J275" s="15" t="str">
        <f>HYPERLINK("http://www.alexhunterlang.com/nsf-fellowship","Alex Lang")</f>
        <v>Alex Lang</v>
      </c>
      <c r="K275" s="2"/>
      <c r="L275" s="2"/>
      <c r="M275" s="2"/>
      <c r="N275" s="2"/>
      <c r="O275" s="2"/>
      <c r="P275" s="2"/>
      <c r="Q275" s="2"/>
      <c r="R275" s="2"/>
      <c r="S275" s="2"/>
      <c r="T275" s="2"/>
      <c r="U275" s="2"/>
      <c r="V275" s="2"/>
      <c r="W275" s="2"/>
      <c r="X275" s="2"/>
      <c r="Y275" s="2"/>
      <c r="Z275" s="2"/>
    </row>
    <row r="276" spans="1:26" ht="13" x14ac:dyDescent="0.15">
      <c r="A276" s="2" t="s">
        <v>48</v>
      </c>
      <c r="B276" s="3">
        <v>2009</v>
      </c>
      <c r="C276" s="2" t="s">
        <v>26</v>
      </c>
      <c r="D276" s="2" t="s">
        <v>200</v>
      </c>
      <c r="E276" s="2" t="s">
        <v>14</v>
      </c>
      <c r="F276" s="5" t="s">
        <v>15</v>
      </c>
      <c r="G276" s="2" t="s">
        <v>24</v>
      </c>
      <c r="H276" s="5" t="s">
        <v>15</v>
      </c>
      <c r="I276" s="5" t="s">
        <v>15</v>
      </c>
      <c r="J276" s="5" t="s">
        <v>418</v>
      </c>
      <c r="K276" s="2"/>
      <c r="L276" s="2"/>
      <c r="M276" s="2"/>
      <c r="N276" s="2"/>
      <c r="O276" s="2"/>
      <c r="P276" s="2"/>
      <c r="Q276" s="2"/>
      <c r="R276" s="2"/>
      <c r="S276" s="2"/>
      <c r="T276" s="2"/>
      <c r="U276" s="2"/>
      <c r="V276" s="2"/>
      <c r="W276" s="2"/>
      <c r="X276" s="2"/>
      <c r="Y276" s="2"/>
      <c r="Z276" s="2"/>
    </row>
    <row r="277" spans="1:26" ht="13" x14ac:dyDescent="0.15">
      <c r="A277" s="2" t="s">
        <v>434</v>
      </c>
      <c r="B277" s="3">
        <v>2009</v>
      </c>
      <c r="C277" s="2" t="s">
        <v>435</v>
      </c>
      <c r="D277" s="2" t="s">
        <v>200</v>
      </c>
      <c r="E277" s="2" t="s">
        <v>14</v>
      </c>
      <c r="F277" s="5" t="s">
        <v>15</v>
      </c>
      <c r="G277" s="5" t="s">
        <v>15</v>
      </c>
      <c r="H277" s="5" t="s">
        <v>15</v>
      </c>
      <c r="I277" s="2" t="s">
        <v>24</v>
      </c>
      <c r="J277" s="5" t="s">
        <v>418</v>
      </c>
      <c r="K277" s="2"/>
      <c r="L277" s="2"/>
      <c r="M277" s="2"/>
      <c r="N277" s="2"/>
      <c r="O277" s="2"/>
      <c r="P277" s="2"/>
      <c r="Q277" s="2"/>
      <c r="R277" s="2"/>
      <c r="S277" s="2"/>
      <c r="T277" s="2"/>
      <c r="U277" s="2"/>
      <c r="V277" s="2"/>
      <c r="W277" s="2"/>
      <c r="X277" s="2"/>
      <c r="Y277" s="2"/>
      <c r="Z277" s="2"/>
    </row>
    <row r="278" spans="1:26" ht="13" x14ac:dyDescent="0.15">
      <c r="A278" s="2" t="s">
        <v>436</v>
      </c>
      <c r="B278" s="3">
        <v>2009</v>
      </c>
      <c r="C278" s="2" t="s">
        <v>437</v>
      </c>
      <c r="D278" s="2" t="s">
        <v>200</v>
      </c>
      <c r="E278" s="2" t="s">
        <v>14</v>
      </c>
      <c r="F278" s="5" t="s">
        <v>15</v>
      </c>
      <c r="G278" s="5" t="s">
        <v>15</v>
      </c>
      <c r="H278" s="5" t="s">
        <v>15</v>
      </c>
      <c r="I278" s="2" t="s">
        <v>24</v>
      </c>
      <c r="J278" s="5" t="s">
        <v>418</v>
      </c>
      <c r="K278" s="2"/>
      <c r="L278" s="2"/>
      <c r="M278" s="2"/>
      <c r="N278" s="2"/>
      <c r="O278" s="2"/>
      <c r="P278" s="2"/>
      <c r="Q278" s="2"/>
      <c r="R278" s="2"/>
      <c r="S278" s="2"/>
      <c r="T278" s="2"/>
      <c r="U278" s="2"/>
      <c r="V278" s="2"/>
      <c r="W278" s="2"/>
      <c r="X278" s="2"/>
      <c r="Y278" s="2"/>
      <c r="Z278" s="2"/>
    </row>
    <row r="279" spans="1:26" ht="13" x14ac:dyDescent="0.15">
      <c r="A279" s="2" t="s">
        <v>438</v>
      </c>
      <c r="B279" s="3">
        <v>2009</v>
      </c>
      <c r="C279" s="2" t="s">
        <v>288</v>
      </c>
      <c r="D279" s="2" t="s">
        <v>200</v>
      </c>
      <c r="E279" s="2" t="s">
        <v>14</v>
      </c>
      <c r="F279" s="29" t="s">
        <v>15</v>
      </c>
      <c r="G279" s="29" t="s">
        <v>15</v>
      </c>
      <c r="H279" s="2" t="s">
        <v>379</v>
      </c>
      <c r="I279" s="29" t="s">
        <v>15</v>
      </c>
      <c r="J279" s="5" t="s">
        <v>292</v>
      </c>
      <c r="K279" s="2"/>
      <c r="L279" s="2"/>
      <c r="M279" s="2"/>
      <c r="N279" s="2"/>
      <c r="O279" s="2"/>
      <c r="P279" s="2"/>
      <c r="Q279" s="2"/>
      <c r="R279" s="2"/>
      <c r="S279" s="2"/>
      <c r="T279" s="2"/>
      <c r="U279" s="2"/>
      <c r="V279" s="2"/>
      <c r="W279" s="2"/>
      <c r="X279" s="2"/>
      <c r="Y279" s="2"/>
      <c r="Z279" s="2"/>
    </row>
    <row r="280" spans="1:26" ht="13" x14ac:dyDescent="0.15">
      <c r="A280" s="13" t="s">
        <v>439</v>
      </c>
      <c r="B280" s="13">
        <v>2008</v>
      </c>
      <c r="C280" s="6" t="s">
        <v>440</v>
      </c>
      <c r="D280" s="9" t="s">
        <v>27</v>
      </c>
      <c r="E280" s="9" t="s">
        <v>14</v>
      </c>
      <c r="F280" s="35" t="str">
        <f>HYPERLINK("http://web.mit.edu/jeanyang/www/files/proposed_research.pdf","Yes")</f>
        <v>Yes</v>
      </c>
      <c r="G280" s="35" t="str">
        <f>HYPERLINK("http://web.mit.edu/jeanyang/www/files/personal_statement.pdf","Yes")</f>
        <v>Yes</v>
      </c>
      <c r="H280" s="35" t="str">
        <f>HYPERLINK("http://web.mit.edu/jeanyang/www/files/research_experience.pdf","Yes")</f>
        <v>Yes</v>
      </c>
      <c r="I280" s="9" t="s">
        <v>24</v>
      </c>
      <c r="J280" s="35" t="str">
        <f>HYPERLINK("http://jxyzabc.blogspot.com/2008/08/cs-grad-school-part-3-fellowships.html","Jean Yang")</f>
        <v>Jean Yang</v>
      </c>
      <c r="K280" s="35" t="str">
        <f>HYPERLINK("http://jxyzabc.blogspot.com/2008/08/cs-grad-school-part-3-fellowships.html","Yes")</f>
        <v>Yes</v>
      </c>
      <c r="L280" s="2"/>
      <c r="M280" s="2"/>
      <c r="N280" s="2"/>
      <c r="O280" s="2"/>
      <c r="P280" s="2"/>
      <c r="Q280" s="2"/>
      <c r="R280" s="2"/>
      <c r="S280" s="2"/>
      <c r="T280" s="2"/>
      <c r="U280" s="2"/>
      <c r="V280" s="2"/>
      <c r="W280" s="2"/>
      <c r="X280" s="2"/>
      <c r="Y280" s="2"/>
      <c r="Z280" s="2"/>
    </row>
    <row r="281" spans="1:26" ht="13" x14ac:dyDescent="0.15">
      <c r="A281" s="2" t="s">
        <v>441</v>
      </c>
      <c r="B281" s="3">
        <v>2008</v>
      </c>
      <c r="C281" s="2" t="s">
        <v>437</v>
      </c>
      <c r="D281" s="2" t="s">
        <v>200</v>
      </c>
      <c r="E281" s="2" t="s">
        <v>14</v>
      </c>
      <c r="F281" s="5" t="s">
        <v>15</v>
      </c>
      <c r="G281" s="5" t="s">
        <v>15</v>
      </c>
      <c r="H281" s="5" t="s">
        <v>15</v>
      </c>
      <c r="I281" s="2" t="s">
        <v>24</v>
      </c>
      <c r="J281" s="5" t="s">
        <v>418</v>
      </c>
      <c r="K281" s="2"/>
      <c r="L281" s="2"/>
      <c r="M281" s="2"/>
      <c r="N281" s="2"/>
      <c r="O281" s="2"/>
      <c r="P281" s="2"/>
      <c r="Q281" s="2"/>
      <c r="R281" s="2"/>
      <c r="S281" s="2"/>
      <c r="T281" s="2"/>
      <c r="U281" s="2"/>
      <c r="V281" s="2"/>
      <c r="W281" s="2"/>
      <c r="X281" s="2"/>
      <c r="Y281" s="2"/>
      <c r="Z281" s="2"/>
    </row>
    <row r="282" spans="1:26" ht="13" x14ac:dyDescent="0.15">
      <c r="A282" s="2" t="s">
        <v>48</v>
      </c>
      <c r="B282" s="3">
        <v>2008</v>
      </c>
      <c r="C282" s="2" t="s">
        <v>199</v>
      </c>
      <c r="D282" s="2" t="s">
        <v>200</v>
      </c>
      <c r="E282" s="2" t="s">
        <v>14</v>
      </c>
      <c r="F282" s="5" t="s">
        <v>15</v>
      </c>
      <c r="G282" s="5" t="s">
        <v>15</v>
      </c>
      <c r="H282" s="2" t="s">
        <v>379</v>
      </c>
      <c r="I282" s="2" t="s">
        <v>24</v>
      </c>
      <c r="J282" s="5" t="s">
        <v>316</v>
      </c>
      <c r="K282" s="2"/>
      <c r="L282" s="2"/>
      <c r="M282" s="2"/>
      <c r="N282" s="2"/>
      <c r="O282" s="2"/>
      <c r="P282" s="2"/>
      <c r="Q282" s="2"/>
      <c r="R282" s="2"/>
      <c r="S282" s="2"/>
      <c r="T282" s="2"/>
      <c r="U282" s="2"/>
      <c r="V282" s="2"/>
      <c r="W282" s="2"/>
      <c r="X282" s="2"/>
      <c r="Y282" s="2"/>
      <c r="Z282" s="2"/>
    </row>
    <row r="283" spans="1:26" ht="13" x14ac:dyDescent="0.15">
      <c r="A283" s="2" t="s">
        <v>442</v>
      </c>
      <c r="B283" s="3">
        <v>2007</v>
      </c>
      <c r="C283" s="2" t="s">
        <v>437</v>
      </c>
      <c r="D283" s="2" t="s">
        <v>200</v>
      </c>
      <c r="E283" s="2" t="s">
        <v>14</v>
      </c>
      <c r="F283" s="5" t="s">
        <v>15</v>
      </c>
      <c r="G283" s="5" t="s">
        <v>15</v>
      </c>
      <c r="H283" s="5" t="s">
        <v>15</v>
      </c>
      <c r="I283" s="2" t="s">
        <v>24</v>
      </c>
      <c r="J283" s="5" t="s">
        <v>418</v>
      </c>
      <c r="K283" s="2"/>
      <c r="L283" s="2"/>
      <c r="M283" s="2"/>
      <c r="N283" s="2"/>
      <c r="O283" s="2"/>
      <c r="P283" s="2"/>
      <c r="Q283" s="2"/>
      <c r="R283" s="2"/>
      <c r="S283" s="2"/>
      <c r="T283" s="2"/>
      <c r="U283" s="2"/>
      <c r="V283" s="2"/>
      <c r="W283" s="2"/>
      <c r="X283" s="2"/>
      <c r="Y283" s="2"/>
      <c r="Z283" s="2"/>
    </row>
    <row r="284" spans="1:26" ht="13" x14ac:dyDescent="0.15">
      <c r="A284" s="2" t="s">
        <v>48</v>
      </c>
      <c r="B284" s="3">
        <v>2007</v>
      </c>
      <c r="C284" s="2" t="s">
        <v>219</v>
      </c>
      <c r="D284" s="2" t="s">
        <v>200</v>
      </c>
      <c r="E284" s="2" t="s">
        <v>14</v>
      </c>
      <c r="F284" s="5" t="s">
        <v>15</v>
      </c>
      <c r="G284" s="5" t="s">
        <v>15</v>
      </c>
      <c r="H284" s="5" t="s">
        <v>15</v>
      </c>
      <c r="I284" s="2" t="s">
        <v>24</v>
      </c>
      <c r="J284" s="5" t="s">
        <v>418</v>
      </c>
      <c r="K284" s="2"/>
      <c r="L284" s="2"/>
      <c r="M284" s="2"/>
      <c r="N284" s="2"/>
      <c r="O284" s="2"/>
      <c r="P284" s="2"/>
      <c r="Q284" s="2"/>
      <c r="R284" s="2"/>
      <c r="S284" s="2"/>
      <c r="T284" s="2"/>
      <c r="U284" s="2"/>
      <c r="V284" s="2"/>
      <c r="W284" s="2"/>
      <c r="X284" s="2"/>
      <c r="Y284" s="2"/>
      <c r="Z284" s="2"/>
    </row>
    <row r="285" spans="1:26" ht="13" x14ac:dyDescent="0.15">
      <c r="A285" s="2" t="s">
        <v>48</v>
      </c>
      <c r="B285" s="3">
        <v>2007</v>
      </c>
      <c r="C285" s="2" t="s">
        <v>219</v>
      </c>
      <c r="D285" s="2" t="s">
        <v>200</v>
      </c>
      <c r="E285" s="2" t="s">
        <v>14</v>
      </c>
      <c r="F285" s="5" t="s">
        <v>15</v>
      </c>
      <c r="G285" s="5" t="s">
        <v>15</v>
      </c>
      <c r="H285" s="5" t="s">
        <v>15</v>
      </c>
      <c r="I285" s="2" t="s">
        <v>24</v>
      </c>
      <c r="J285" s="5" t="s">
        <v>418</v>
      </c>
      <c r="K285" s="2"/>
      <c r="L285" s="2"/>
      <c r="M285" s="2"/>
      <c r="N285" s="2"/>
      <c r="O285" s="2"/>
      <c r="P285" s="2"/>
      <c r="Q285" s="2"/>
      <c r="R285" s="2"/>
      <c r="S285" s="2"/>
      <c r="T285" s="2"/>
      <c r="U285" s="2"/>
      <c r="V285" s="2"/>
      <c r="W285" s="2"/>
      <c r="X285" s="2"/>
      <c r="Y285" s="2"/>
      <c r="Z285" s="2"/>
    </row>
    <row r="286" spans="1:26" ht="13" x14ac:dyDescent="0.15">
      <c r="A286" s="2" t="s">
        <v>443</v>
      </c>
      <c r="B286" s="3">
        <v>2007</v>
      </c>
      <c r="C286" s="2" t="s">
        <v>381</v>
      </c>
      <c r="D286" s="2" t="s">
        <v>200</v>
      </c>
      <c r="E286" s="2" t="s">
        <v>14</v>
      </c>
      <c r="F286" s="29" t="s">
        <v>15</v>
      </c>
      <c r="G286" s="29" t="s">
        <v>15</v>
      </c>
      <c r="H286" s="2" t="s">
        <v>379</v>
      </c>
      <c r="I286" s="2" t="s">
        <v>24</v>
      </c>
      <c r="J286" s="5" t="s">
        <v>292</v>
      </c>
      <c r="K286" s="2"/>
      <c r="L286" s="2"/>
      <c r="M286" s="2"/>
      <c r="N286" s="2"/>
      <c r="O286" s="2"/>
      <c r="P286" s="2"/>
      <c r="Q286" s="2"/>
      <c r="R286" s="2"/>
      <c r="S286" s="2"/>
      <c r="T286" s="2"/>
      <c r="U286" s="2"/>
      <c r="V286" s="2"/>
      <c r="W286" s="2"/>
      <c r="X286" s="2"/>
      <c r="Y286" s="2"/>
      <c r="Z286" s="2"/>
    </row>
    <row r="287" spans="1:26" ht="13" x14ac:dyDescent="0.15">
      <c r="A287" s="2" t="s">
        <v>444</v>
      </c>
      <c r="B287" s="3">
        <v>2007</v>
      </c>
      <c r="C287" s="2" t="s">
        <v>381</v>
      </c>
      <c r="D287" s="2" t="s">
        <v>200</v>
      </c>
      <c r="E287" s="2" t="s">
        <v>14</v>
      </c>
      <c r="F287" s="29" t="s">
        <v>15</v>
      </c>
      <c r="G287" s="29" t="s">
        <v>15</v>
      </c>
      <c r="H287" s="2" t="s">
        <v>379</v>
      </c>
      <c r="I287" s="2" t="s">
        <v>24</v>
      </c>
      <c r="J287" s="5" t="s">
        <v>292</v>
      </c>
      <c r="K287" s="2"/>
      <c r="L287" s="2"/>
      <c r="M287" s="2"/>
      <c r="N287" s="2"/>
      <c r="O287" s="2"/>
      <c r="P287" s="2"/>
      <c r="Q287" s="2"/>
      <c r="R287" s="2"/>
      <c r="S287" s="2"/>
      <c r="T287" s="2"/>
      <c r="U287" s="2"/>
      <c r="V287" s="2"/>
      <c r="W287" s="2"/>
      <c r="X287" s="2"/>
      <c r="Y287" s="2"/>
      <c r="Z287" s="2"/>
    </row>
    <row r="288" spans="1:26" ht="13" x14ac:dyDescent="0.15">
      <c r="A288" s="2" t="s">
        <v>445</v>
      </c>
      <c r="B288" s="3">
        <v>2006</v>
      </c>
      <c r="C288" s="2" t="s">
        <v>437</v>
      </c>
      <c r="D288" s="2" t="s">
        <v>200</v>
      </c>
      <c r="E288" s="2" t="s">
        <v>14</v>
      </c>
      <c r="F288" s="5" t="s">
        <v>15</v>
      </c>
      <c r="G288" s="5" t="s">
        <v>15</v>
      </c>
      <c r="H288" s="5" t="s">
        <v>15</v>
      </c>
      <c r="I288" s="2" t="s">
        <v>24</v>
      </c>
      <c r="J288" s="5" t="s">
        <v>418</v>
      </c>
      <c r="K288" s="2"/>
      <c r="L288" s="2"/>
      <c r="M288" s="2"/>
      <c r="N288" s="2"/>
      <c r="O288" s="2"/>
      <c r="P288" s="2"/>
      <c r="Q288" s="2"/>
      <c r="R288" s="2"/>
      <c r="S288" s="2"/>
      <c r="T288" s="2"/>
      <c r="U288" s="2"/>
      <c r="V288" s="2"/>
      <c r="W288" s="2"/>
      <c r="X288" s="2"/>
      <c r="Y288" s="2"/>
      <c r="Z288" s="2"/>
    </row>
  </sheetData>
  <autoFilter ref="A1:K288" xr:uid="{00000000-0009-0000-0000-000000000000}"/>
  <customSheetViews>
    <customSheetView guid="{5B5D4328-B37F-4A3F-AC7A-B210950F99F2}" filter="1" showAutoFilter="1">
      <pageMargins left="0.7" right="0.7" top="0.75" bottom="0.75" header="0.3" footer="0.3"/>
      <autoFilter ref="J1:J126" xr:uid="{9AF6E422-5706-7742-AE35-9216F99E42AF}"/>
    </customSheetView>
    <customSheetView guid="{6E6343BF-37A7-43A8-AC30-8D31A996D3B0}" filter="1" showAutoFilter="1">
      <pageMargins left="0.7" right="0.7" top="0.75" bottom="0.75" header="0.3" footer="0.3"/>
      <autoFilter ref="A1:K126" xr:uid="{931F9813-10CD-A84F-82AB-47EBCF98E6EF}"/>
    </customSheetView>
    <customSheetView guid="{8932ABE3-A74C-4DC9-9814-F6D2FA0F6390}" filter="1" showAutoFilter="1">
      <pageMargins left="0.7" right="0.7" top="0.75" bottom="0.75" header="0.3" footer="0.3"/>
      <autoFilter ref="A1:K135" xr:uid="{8A0E419B-282E-EB4B-AE78-A327D3A327D5}"/>
    </customSheetView>
  </customSheetViews>
  <hyperlinks>
    <hyperlink ref="F2" r:id="rId1" xr:uid="{00000000-0004-0000-0000-000000000000}"/>
    <hyperlink ref="G2" r:id="rId2" xr:uid="{00000000-0004-0000-0000-000001000000}"/>
    <hyperlink ref="I2" r:id="rId3" xr:uid="{00000000-0004-0000-0000-000002000000}"/>
    <hyperlink ref="F3" r:id="rId4" xr:uid="{00000000-0004-0000-0000-000003000000}"/>
    <hyperlink ref="G3" r:id="rId5" xr:uid="{00000000-0004-0000-0000-000004000000}"/>
    <hyperlink ref="I3" r:id="rId6" xr:uid="{00000000-0004-0000-0000-000005000000}"/>
    <hyperlink ref="F4" r:id="rId7" xr:uid="{00000000-0004-0000-0000-000006000000}"/>
    <hyperlink ref="G4" r:id="rId8" xr:uid="{00000000-0004-0000-0000-000007000000}"/>
    <hyperlink ref="F5" r:id="rId9" xr:uid="{00000000-0004-0000-0000-000008000000}"/>
    <hyperlink ref="G5" r:id="rId10" xr:uid="{00000000-0004-0000-0000-000009000000}"/>
    <hyperlink ref="I5" r:id="rId11" xr:uid="{00000000-0004-0000-0000-00000A000000}"/>
    <hyperlink ref="F6" r:id="rId12" xr:uid="{00000000-0004-0000-0000-00000B000000}"/>
    <hyperlink ref="G6" r:id="rId13" xr:uid="{00000000-0004-0000-0000-00000C000000}"/>
    <hyperlink ref="I6" r:id="rId14" xr:uid="{00000000-0004-0000-0000-00000D000000}"/>
    <hyperlink ref="F7" r:id="rId15" xr:uid="{00000000-0004-0000-0000-00000E000000}"/>
    <hyperlink ref="G7" r:id="rId16" xr:uid="{00000000-0004-0000-0000-00000F000000}"/>
    <hyperlink ref="I7" r:id="rId17" xr:uid="{00000000-0004-0000-0000-000010000000}"/>
    <hyperlink ref="K7" r:id="rId18" xr:uid="{00000000-0004-0000-0000-000011000000}"/>
    <hyperlink ref="F8" r:id="rId19" xr:uid="{00000000-0004-0000-0000-000012000000}"/>
    <hyperlink ref="G8" r:id="rId20" xr:uid="{00000000-0004-0000-0000-000013000000}"/>
    <hyperlink ref="I8" r:id="rId21" xr:uid="{00000000-0004-0000-0000-000014000000}"/>
    <hyperlink ref="F9" r:id="rId22" xr:uid="{00000000-0004-0000-0000-000015000000}"/>
    <hyperlink ref="G9" r:id="rId23" xr:uid="{00000000-0004-0000-0000-000016000000}"/>
    <hyperlink ref="I9" r:id="rId24" xr:uid="{00000000-0004-0000-0000-000017000000}"/>
    <hyperlink ref="F10" r:id="rId25" xr:uid="{00000000-0004-0000-0000-000018000000}"/>
    <hyperlink ref="G10" r:id="rId26" xr:uid="{00000000-0004-0000-0000-000019000000}"/>
    <hyperlink ref="F11" r:id="rId27" xr:uid="{00000000-0004-0000-0000-00001A000000}"/>
    <hyperlink ref="G11" r:id="rId28" xr:uid="{00000000-0004-0000-0000-00001B000000}"/>
    <hyperlink ref="I11" r:id="rId29" xr:uid="{00000000-0004-0000-0000-00001C000000}"/>
    <hyperlink ref="F12" r:id="rId30" xr:uid="{00000000-0004-0000-0000-00001D000000}"/>
    <hyperlink ref="G12" r:id="rId31" xr:uid="{00000000-0004-0000-0000-00001E000000}"/>
    <hyperlink ref="F13" r:id="rId32" xr:uid="{00000000-0004-0000-0000-00001F000000}"/>
    <hyperlink ref="G13" r:id="rId33" xr:uid="{00000000-0004-0000-0000-000020000000}"/>
    <hyperlink ref="I13" r:id="rId34" xr:uid="{00000000-0004-0000-0000-000021000000}"/>
    <hyperlink ref="F14" r:id="rId35" xr:uid="{00000000-0004-0000-0000-000022000000}"/>
    <hyperlink ref="G14" r:id="rId36" xr:uid="{00000000-0004-0000-0000-000023000000}"/>
    <hyperlink ref="I14" r:id="rId37" xr:uid="{00000000-0004-0000-0000-000024000000}"/>
    <hyperlink ref="F15" r:id="rId38" xr:uid="{00000000-0004-0000-0000-000025000000}"/>
    <hyperlink ref="G15" r:id="rId39" xr:uid="{00000000-0004-0000-0000-000026000000}"/>
    <hyperlink ref="F16" r:id="rId40" xr:uid="{00000000-0004-0000-0000-000027000000}"/>
    <hyperlink ref="F17" r:id="rId41" xr:uid="{00000000-0004-0000-0000-000028000000}"/>
    <hyperlink ref="G17" r:id="rId42" xr:uid="{00000000-0004-0000-0000-000029000000}"/>
    <hyperlink ref="I17" r:id="rId43" xr:uid="{00000000-0004-0000-0000-00002A000000}"/>
    <hyperlink ref="F18" r:id="rId44" xr:uid="{00000000-0004-0000-0000-00002B000000}"/>
    <hyperlink ref="G18" r:id="rId45" xr:uid="{00000000-0004-0000-0000-00002C000000}"/>
    <hyperlink ref="I18" r:id="rId46" xr:uid="{00000000-0004-0000-0000-00002D000000}"/>
    <hyperlink ref="F19" r:id="rId47" xr:uid="{00000000-0004-0000-0000-00002E000000}"/>
    <hyperlink ref="G19" r:id="rId48" xr:uid="{00000000-0004-0000-0000-00002F000000}"/>
    <hyperlink ref="F20" r:id="rId49" xr:uid="{00000000-0004-0000-0000-000030000000}"/>
    <hyperlink ref="G20" r:id="rId50" xr:uid="{00000000-0004-0000-0000-000031000000}"/>
    <hyperlink ref="I20" r:id="rId51" xr:uid="{00000000-0004-0000-0000-000032000000}"/>
    <hyperlink ref="F21" r:id="rId52" xr:uid="{00000000-0004-0000-0000-000033000000}"/>
    <hyperlink ref="G21" r:id="rId53" xr:uid="{00000000-0004-0000-0000-000034000000}"/>
    <hyperlink ref="F22" r:id="rId54" xr:uid="{00000000-0004-0000-0000-000035000000}"/>
    <hyperlink ref="G22" r:id="rId55" xr:uid="{00000000-0004-0000-0000-000036000000}"/>
    <hyperlink ref="I22" r:id="rId56" xr:uid="{00000000-0004-0000-0000-000037000000}"/>
    <hyperlink ref="F23" r:id="rId57" xr:uid="{00000000-0004-0000-0000-000038000000}"/>
    <hyperlink ref="G23" r:id="rId58" xr:uid="{00000000-0004-0000-0000-000039000000}"/>
    <hyperlink ref="I23" r:id="rId59" xr:uid="{00000000-0004-0000-0000-00003A000000}"/>
    <hyperlink ref="F24" r:id="rId60" xr:uid="{00000000-0004-0000-0000-00003B000000}"/>
    <hyperlink ref="G24" r:id="rId61" xr:uid="{00000000-0004-0000-0000-00003C000000}"/>
    <hyperlink ref="F25" r:id="rId62" xr:uid="{00000000-0004-0000-0000-00003D000000}"/>
    <hyperlink ref="G25" r:id="rId63" xr:uid="{00000000-0004-0000-0000-00003E000000}"/>
    <hyperlink ref="I25" r:id="rId64" xr:uid="{00000000-0004-0000-0000-00003F000000}"/>
    <hyperlink ref="F26" r:id="rId65" xr:uid="{00000000-0004-0000-0000-000040000000}"/>
    <hyperlink ref="G26" r:id="rId66" xr:uid="{00000000-0004-0000-0000-000041000000}"/>
    <hyperlink ref="I26" r:id="rId67" xr:uid="{00000000-0004-0000-0000-000042000000}"/>
    <hyperlink ref="F27" r:id="rId68" xr:uid="{00000000-0004-0000-0000-000043000000}"/>
    <hyperlink ref="G27" r:id="rId69" xr:uid="{00000000-0004-0000-0000-000044000000}"/>
    <hyperlink ref="I27" r:id="rId70" xr:uid="{00000000-0004-0000-0000-000045000000}"/>
    <hyperlink ref="F28" r:id="rId71" xr:uid="{00000000-0004-0000-0000-000046000000}"/>
    <hyperlink ref="G28" r:id="rId72" xr:uid="{00000000-0004-0000-0000-000047000000}"/>
    <hyperlink ref="I28" r:id="rId73" xr:uid="{00000000-0004-0000-0000-000048000000}"/>
    <hyperlink ref="J28" r:id="rId74" xr:uid="{00000000-0004-0000-0000-000049000000}"/>
    <hyperlink ref="F29" r:id="rId75" xr:uid="{00000000-0004-0000-0000-00004A000000}"/>
    <hyperlink ref="G29" r:id="rId76" xr:uid="{00000000-0004-0000-0000-00004B000000}"/>
    <hyperlink ref="I29" r:id="rId77" xr:uid="{00000000-0004-0000-0000-00004C000000}"/>
    <hyperlink ref="G30" r:id="rId78" xr:uid="{00000000-0004-0000-0000-00004D000000}"/>
    <hyperlink ref="I30" r:id="rId79" xr:uid="{00000000-0004-0000-0000-00004E000000}"/>
    <hyperlink ref="F31" r:id="rId80" xr:uid="{00000000-0004-0000-0000-00004F000000}"/>
    <hyperlink ref="G31" r:id="rId81" xr:uid="{00000000-0004-0000-0000-000050000000}"/>
    <hyperlink ref="I31" r:id="rId82" xr:uid="{00000000-0004-0000-0000-000051000000}"/>
    <hyperlink ref="K31" r:id="rId83" xr:uid="{00000000-0004-0000-0000-000052000000}"/>
    <hyperlink ref="F32" r:id="rId84" xr:uid="{00000000-0004-0000-0000-000053000000}"/>
    <hyperlink ref="G32" r:id="rId85" xr:uid="{00000000-0004-0000-0000-000054000000}"/>
    <hyperlink ref="I32" r:id="rId86" xr:uid="{00000000-0004-0000-0000-000055000000}"/>
    <hyperlink ref="F33" r:id="rId87" xr:uid="{00000000-0004-0000-0000-000056000000}"/>
    <hyperlink ref="G33" r:id="rId88" xr:uid="{00000000-0004-0000-0000-000057000000}"/>
    <hyperlink ref="I33" r:id="rId89" xr:uid="{00000000-0004-0000-0000-000058000000}"/>
    <hyperlink ref="F34" r:id="rId90" xr:uid="{00000000-0004-0000-0000-000059000000}"/>
    <hyperlink ref="G34" r:id="rId91" xr:uid="{00000000-0004-0000-0000-00005A000000}"/>
    <hyperlink ref="I34" r:id="rId92" xr:uid="{00000000-0004-0000-0000-00005B000000}"/>
    <hyperlink ref="F35" r:id="rId93" xr:uid="{00000000-0004-0000-0000-00005C000000}"/>
    <hyperlink ref="G35" r:id="rId94" xr:uid="{00000000-0004-0000-0000-00005D000000}"/>
    <hyperlink ref="F36" r:id="rId95" xr:uid="{00000000-0004-0000-0000-00005E000000}"/>
    <hyperlink ref="G36" r:id="rId96" xr:uid="{00000000-0004-0000-0000-00005F000000}"/>
    <hyperlink ref="I36" r:id="rId97" xr:uid="{00000000-0004-0000-0000-000060000000}"/>
    <hyperlink ref="F37" r:id="rId98" xr:uid="{00000000-0004-0000-0000-000061000000}"/>
    <hyperlink ref="G37" r:id="rId99" xr:uid="{00000000-0004-0000-0000-000062000000}"/>
    <hyperlink ref="F38" r:id="rId100" xr:uid="{00000000-0004-0000-0000-000063000000}"/>
    <hyperlink ref="G38" r:id="rId101" xr:uid="{00000000-0004-0000-0000-000064000000}"/>
    <hyperlink ref="I38" r:id="rId102" xr:uid="{00000000-0004-0000-0000-000065000000}"/>
    <hyperlink ref="F39" r:id="rId103" xr:uid="{00000000-0004-0000-0000-000066000000}"/>
    <hyperlink ref="G39" r:id="rId104" xr:uid="{00000000-0004-0000-0000-000067000000}"/>
    <hyperlink ref="I39" r:id="rId105" xr:uid="{00000000-0004-0000-0000-000068000000}"/>
    <hyperlink ref="F40" r:id="rId106" xr:uid="{00000000-0004-0000-0000-000069000000}"/>
    <hyperlink ref="G40" r:id="rId107" xr:uid="{00000000-0004-0000-0000-00006A000000}"/>
    <hyperlink ref="I40" r:id="rId108" xr:uid="{00000000-0004-0000-0000-00006B000000}"/>
    <hyperlink ref="F41" r:id="rId109" xr:uid="{00000000-0004-0000-0000-00006C000000}"/>
    <hyperlink ref="G41" r:id="rId110" xr:uid="{00000000-0004-0000-0000-00006D000000}"/>
    <hyperlink ref="I41" r:id="rId111" xr:uid="{00000000-0004-0000-0000-00006E000000}"/>
    <hyperlink ref="F42" r:id="rId112" xr:uid="{00000000-0004-0000-0000-00006F000000}"/>
    <hyperlink ref="G42" r:id="rId113" xr:uid="{00000000-0004-0000-0000-000070000000}"/>
    <hyperlink ref="I42" r:id="rId114" xr:uid="{00000000-0004-0000-0000-000071000000}"/>
    <hyperlink ref="F43" r:id="rId115" xr:uid="{00000000-0004-0000-0000-000072000000}"/>
    <hyperlink ref="G43" r:id="rId116" xr:uid="{00000000-0004-0000-0000-000073000000}"/>
    <hyperlink ref="I43" r:id="rId117" xr:uid="{00000000-0004-0000-0000-000074000000}"/>
    <hyperlink ref="F44" r:id="rId118" xr:uid="{00000000-0004-0000-0000-000075000000}"/>
    <hyperlink ref="G44" r:id="rId119" xr:uid="{00000000-0004-0000-0000-000076000000}"/>
    <hyperlink ref="I44" r:id="rId120" xr:uid="{00000000-0004-0000-0000-000077000000}"/>
    <hyperlink ref="F45" r:id="rId121" xr:uid="{00000000-0004-0000-0000-000078000000}"/>
    <hyperlink ref="G45" r:id="rId122" xr:uid="{00000000-0004-0000-0000-000079000000}"/>
    <hyperlink ref="I45" r:id="rId123" xr:uid="{00000000-0004-0000-0000-00007A000000}"/>
    <hyperlink ref="F46" r:id="rId124" xr:uid="{00000000-0004-0000-0000-00007B000000}"/>
    <hyperlink ref="G46" r:id="rId125" xr:uid="{00000000-0004-0000-0000-00007C000000}"/>
    <hyperlink ref="I46" r:id="rId126" xr:uid="{00000000-0004-0000-0000-00007D000000}"/>
    <hyperlink ref="F47" r:id="rId127" xr:uid="{00000000-0004-0000-0000-00007E000000}"/>
    <hyperlink ref="G47" r:id="rId128" xr:uid="{00000000-0004-0000-0000-00007F000000}"/>
    <hyperlink ref="I47" r:id="rId129" xr:uid="{00000000-0004-0000-0000-000080000000}"/>
    <hyperlink ref="F48" r:id="rId130" xr:uid="{00000000-0004-0000-0000-000081000000}"/>
    <hyperlink ref="G48" r:id="rId131" xr:uid="{00000000-0004-0000-0000-000082000000}"/>
    <hyperlink ref="I48" r:id="rId132" xr:uid="{00000000-0004-0000-0000-000083000000}"/>
    <hyperlink ref="F49" r:id="rId133" xr:uid="{00000000-0004-0000-0000-000084000000}"/>
    <hyperlink ref="G49" r:id="rId134" xr:uid="{00000000-0004-0000-0000-000085000000}"/>
    <hyperlink ref="I49" r:id="rId135" xr:uid="{00000000-0004-0000-0000-000086000000}"/>
    <hyperlink ref="F50" r:id="rId136" xr:uid="{00000000-0004-0000-0000-000087000000}"/>
    <hyperlink ref="G50" r:id="rId137" xr:uid="{00000000-0004-0000-0000-000088000000}"/>
    <hyperlink ref="I50" r:id="rId138" xr:uid="{00000000-0004-0000-0000-000089000000}"/>
    <hyperlink ref="F51" r:id="rId139" xr:uid="{00000000-0004-0000-0000-00008A000000}"/>
    <hyperlink ref="J51" r:id="rId140" xr:uid="{00000000-0004-0000-0000-00008B000000}"/>
    <hyperlink ref="F52" r:id="rId141" xr:uid="{00000000-0004-0000-0000-00008C000000}"/>
    <hyperlink ref="G52" r:id="rId142" xr:uid="{00000000-0004-0000-0000-00008D000000}"/>
    <hyperlink ref="F53" r:id="rId143" xr:uid="{00000000-0004-0000-0000-00008E000000}"/>
    <hyperlink ref="G53" r:id="rId144" xr:uid="{00000000-0004-0000-0000-00008F000000}"/>
    <hyperlink ref="I53" r:id="rId145" xr:uid="{00000000-0004-0000-0000-000090000000}"/>
    <hyperlink ref="F54" r:id="rId146" xr:uid="{00000000-0004-0000-0000-000091000000}"/>
    <hyperlink ref="G54" r:id="rId147" xr:uid="{00000000-0004-0000-0000-000092000000}"/>
    <hyperlink ref="K54" r:id="rId148" xr:uid="{00000000-0004-0000-0000-000093000000}"/>
    <hyperlink ref="F55" r:id="rId149" xr:uid="{00000000-0004-0000-0000-000094000000}"/>
    <hyperlink ref="G55" r:id="rId150" xr:uid="{00000000-0004-0000-0000-000095000000}"/>
    <hyperlink ref="I55" r:id="rId151" xr:uid="{00000000-0004-0000-0000-000096000000}"/>
    <hyperlink ref="F56" r:id="rId152" xr:uid="{00000000-0004-0000-0000-000097000000}"/>
    <hyperlink ref="G56" r:id="rId153" xr:uid="{00000000-0004-0000-0000-000098000000}"/>
    <hyperlink ref="I56" r:id="rId154" xr:uid="{00000000-0004-0000-0000-000099000000}"/>
    <hyperlink ref="F57" r:id="rId155" xr:uid="{00000000-0004-0000-0000-00009A000000}"/>
    <hyperlink ref="G57" r:id="rId156" xr:uid="{00000000-0004-0000-0000-00009B000000}"/>
    <hyperlink ref="I57" r:id="rId157" xr:uid="{00000000-0004-0000-0000-00009C000000}"/>
    <hyperlink ref="F58" r:id="rId158" xr:uid="{00000000-0004-0000-0000-00009D000000}"/>
    <hyperlink ref="G58" r:id="rId159" xr:uid="{00000000-0004-0000-0000-00009E000000}"/>
    <hyperlink ref="J58" r:id="rId160" xr:uid="{00000000-0004-0000-0000-00009F000000}"/>
    <hyperlink ref="F59" r:id="rId161" xr:uid="{00000000-0004-0000-0000-0000A0000000}"/>
    <hyperlink ref="G59" r:id="rId162" xr:uid="{00000000-0004-0000-0000-0000A1000000}"/>
    <hyperlink ref="I59" r:id="rId163" xr:uid="{00000000-0004-0000-0000-0000A2000000}"/>
    <hyperlink ref="K59" r:id="rId164" location="/nsfgrfp/" xr:uid="{00000000-0004-0000-0000-0000A3000000}"/>
    <hyperlink ref="F60" r:id="rId165" xr:uid="{00000000-0004-0000-0000-0000A4000000}"/>
    <hyperlink ref="G60" r:id="rId166" xr:uid="{00000000-0004-0000-0000-0000A5000000}"/>
    <hyperlink ref="I60" r:id="rId167" xr:uid="{00000000-0004-0000-0000-0000A6000000}"/>
    <hyperlink ref="J60" r:id="rId168" xr:uid="{00000000-0004-0000-0000-0000A7000000}"/>
    <hyperlink ref="F61" r:id="rId169" xr:uid="{00000000-0004-0000-0000-0000A8000000}"/>
    <hyperlink ref="G61" r:id="rId170" xr:uid="{00000000-0004-0000-0000-0000A9000000}"/>
    <hyperlink ref="I61" r:id="rId171" xr:uid="{00000000-0004-0000-0000-0000AA000000}"/>
    <hyperlink ref="J61" r:id="rId172" xr:uid="{00000000-0004-0000-0000-0000AB000000}"/>
    <hyperlink ref="K61" r:id="rId173" xr:uid="{00000000-0004-0000-0000-0000AC000000}"/>
    <hyperlink ref="F62" r:id="rId174" xr:uid="{00000000-0004-0000-0000-0000AD000000}"/>
    <hyperlink ref="G62" r:id="rId175" xr:uid="{00000000-0004-0000-0000-0000AE000000}"/>
    <hyperlink ref="F63" r:id="rId176" xr:uid="{00000000-0004-0000-0000-0000AF000000}"/>
    <hyperlink ref="G63" r:id="rId177" xr:uid="{00000000-0004-0000-0000-0000B0000000}"/>
    <hyperlink ref="I63" r:id="rId178" xr:uid="{00000000-0004-0000-0000-0000B1000000}"/>
    <hyperlink ref="F64" r:id="rId179" xr:uid="{00000000-0004-0000-0000-0000B2000000}"/>
    <hyperlink ref="G64" r:id="rId180" xr:uid="{00000000-0004-0000-0000-0000B3000000}"/>
    <hyperlink ref="F65" r:id="rId181" xr:uid="{00000000-0004-0000-0000-0000B4000000}"/>
    <hyperlink ref="G65" r:id="rId182" xr:uid="{00000000-0004-0000-0000-0000B5000000}"/>
    <hyperlink ref="I65" r:id="rId183" xr:uid="{00000000-0004-0000-0000-0000B6000000}"/>
    <hyperlink ref="F66" r:id="rId184" xr:uid="{00000000-0004-0000-0000-0000B7000000}"/>
    <hyperlink ref="G66" r:id="rId185" xr:uid="{00000000-0004-0000-0000-0000B8000000}"/>
    <hyperlink ref="I66" r:id="rId186" xr:uid="{00000000-0004-0000-0000-0000B9000000}"/>
    <hyperlink ref="F67" r:id="rId187" xr:uid="{00000000-0004-0000-0000-0000BA000000}"/>
    <hyperlink ref="G67" r:id="rId188" xr:uid="{00000000-0004-0000-0000-0000BB000000}"/>
    <hyperlink ref="I67" r:id="rId189" xr:uid="{00000000-0004-0000-0000-0000BC000000}"/>
    <hyperlink ref="F68" r:id="rId190" xr:uid="{00000000-0004-0000-0000-0000BD000000}"/>
    <hyperlink ref="G68" r:id="rId191" xr:uid="{00000000-0004-0000-0000-0000BE000000}"/>
    <hyperlink ref="I68" r:id="rId192" xr:uid="{00000000-0004-0000-0000-0000BF000000}"/>
    <hyperlink ref="F69" r:id="rId193" xr:uid="{00000000-0004-0000-0000-0000C0000000}"/>
    <hyperlink ref="G69" r:id="rId194" xr:uid="{00000000-0004-0000-0000-0000C1000000}"/>
    <hyperlink ref="F70" r:id="rId195" xr:uid="{00000000-0004-0000-0000-0000C2000000}"/>
    <hyperlink ref="G70" r:id="rId196" xr:uid="{00000000-0004-0000-0000-0000C3000000}"/>
    <hyperlink ref="I70" r:id="rId197" xr:uid="{00000000-0004-0000-0000-0000C4000000}"/>
    <hyperlink ref="F71" r:id="rId198" xr:uid="{00000000-0004-0000-0000-0000C5000000}"/>
    <hyperlink ref="G71" r:id="rId199" xr:uid="{00000000-0004-0000-0000-0000C6000000}"/>
    <hyperlink ref="I71" r:id="rId200" xr:uid="{00000000-0004-0000-0000-0000C7000000}"/>
    <hyperlink ref="F72" r:id="rId201" xr:uid="{00000000-0004-0000-0000-0000C8000000}"/>
    <hyperlink ref="G72" r:id="rId202" xr:uid="{00000000-0004-0000-0000-0000C9000000}"/>
    <hyperlink ref="I72" r:id="rId203" xr:uid="{00000000-0004-0000-0000-0000CA000000}"/>
    <hyperlink ref="F73" r:id="rId204" xr:uid="{00000000-0004-0000-0000-0000CB000000}"/>
    <hyperlink ref="G73" r:id="rId205" xr:uid="{00000000-0004-0000-0000-0000CC000000}"/>
    <hyperlink ref="I73" r:id="rId206" xr:uid="{00000000-0004-0000-0000-0000CD000000}"/>
    <hyperlink ref="F74" r:id="rId207" xr:uid="{00000000-0004-0000-0000-0000CE000000}"/>
    <hyperlink ref="G74" r:id="rId208" xr:uid="{00000000-0004-0000-0000-0000CF000000}"/>
    <hyperlink ref="I74" r:id="rId209" xr:uid="{00000000-0004-0000-0000-0000D0000000}"/>
    <hyperlink ref="F75" r:id="rId210" xr:uid="{00000000-0004-0000-0000-0000D1000000}"/>
    <hyperlink ref="G75" r:id="rId211" xr:uid="{00000000-0004-0000-0000-0000D2000000}"/>
    <hyperlink ref="I75" r:id="rId212" xr:uid="{00000000-0004-0000-0000-0000D3000000}"/>
    <hyperlink ref="F76" r:id="rId213" xr:uid="{00000000-0004-0000-0000-0000D4000000}"/>
    <hyperlink ref="G76" r:id="rId214" xr:uid="{00000000-0004-0000-0000-0000D5000000}"/>
    <hyperlink ref="I76" r:id="rId215" xr:uid="{00000000-0004-0000-0000-0000D6000000}"/>
    <hyperlink ref="F77" r:id="rId216" xr:uid="{00000000-0004-0000-0000-0000D7000000}"/>
    <hyperlink ref="G77" r:id="rId217" xr:uid="{00000000-0004-0000-0000-0000D8000000}"/>
    <hyperlink ref="I77" r:id="rId218" xr:uid="{00000000-0004-0000-0000-0000D9000000}"/>
    <hyperlink ref="F97" r:id="rId219" xr:uid="{00000000-0004-0000-0000-0000DA000000}"/>
    <hyperlink ref="G97" r:id="rId220" xr:uid="{00000000-0004-0000-0000-0000DB000000}"/>
    <hyperlink ref="F98" r:id="rId221" xr:uid="{00000000-0004-0000-0000-0000DC000000}"/>
    <hyperlink ref="G98" r:id="rId222" xr:uid="{00000000-0004-0000-0000-0000DD000000}"/>
    <hyperlink ref="I98" r:id="rId223" xr:uid="{00000000-0004-0000-0000-0000DE000000}"/>
    <hyperlink ref="F99" r:id="rId224" xr:uid="{00000000-0004-0000-0000-0000DF000000}"/>
    <hyperlink ref="G99" r:id="rId225" xr:uid="{00000000-0004-0000-0000-0000E0000000}"/>
    <hyperlink ref="I99" r:id="rId226" xr:uid="{00000000-0004-0000-0000-0000E1000000}"/>
    <hyperlink ref="G100" r:id="rId227" xr:uid="{00000000-0004-0000-0000-0000E2000000}"/>
    <hyperlink ref="J100" r:id="rId228" xr:uid="{00000000-0004-0000-0000-0000E3000000}"/>
    <hyperlink ref="F101" r:id="rId229" xr:uid="{00000000-0004-0000-0000-0000E4000000}"/>
    <hyperlink ref="J101" r:id="rId230" xr:uid="{00000000-0004-0000-0000-0000E5000000}"/>
    <hyperlink ref="F102" r:id="rId231" xr:uid="{00000000-0004-0000-0000-0000E6000000}"/>
    <hyperlink ref="G102" r:id="rId232" xr:uid="{00000000-0004-0000-0000-0000E7000000}"/>
    <hyperlink ref="I102" r:id="rId233" xr:uid="{00000000-0004-0000-0000-0000E8000000}"/>
    <hyperlink ref="F103" r:id="rId234" xr:uid="{00000000-0004-0000-0000-0000E9000000}"/>
    <hyperlink ref="G103" r:id="rId235" xr:uid="{00000000-0004-0000-0000-0000EA000000}"/>
    <hyperlink ref="I103" r:id="rId236" xr:uid="{00000000-0004-0000-0000-0000EB000000}"/>
    <hyperlink ref="F104" r:id="rId237" xr:uid="{00000000-0004-0000-0000-0000EC000000}"/>
    <hyperlink ref="G104" r:id="rId238" xr:uid="{00000000-0004-0000-0000-0000ED000000}"/>
    <hyperlink ref="I104" r:id="rId239" xr:uid="{00000000-0004-0000-0000-0000EE000000}"/>
    <hyperlink ref="F105" r:id="rId240" xr:uid="{00000000-0004-0000-0000-0000EF000000}"/>
    <hyperlink ref="G105" r:id="rId241" xr:uid="{00000000-0004-0000-0000-0000F0000000}"/>
    <hyperlink ref="I105" r:id="rId242" xr:uid="{00000000-0004-0000-0000-0000F1000000}"/>
    <hyperlink ref="F106" r:id="rId243" xr:uid="{00000000-0004-0000-0000-0000F2000000}"/>
    <hyperlink ref="G106" r:id="rId244" xr:uid="{00000000-0004-0000-0000-0000F3000000}"/>
    <hyperlink ref="I106" r:id="rId245" xr:uid="{00000000-0004-0000-0000-0000F4000000}"/>
    <hyperlink ref="F107" r:id="rId246" xr:uid="{00000000-0004-0000-0000-0000F5000000}"/>
    <hyperlink ref="G107" r:id="rId247" xr:uid="{00000000-0004-0000-0000-0000F6000000}"/>
    <hyperlink ref="I107" r:id="rId248" xr:uid="{00000000-0004-0000-0000-0000F7000000}"/>
    <hyperlink ref="F108" r:id="rId249" xr:uid="{00000000-0004-0000-0000-0000F8000000}"/>
    <hyperlink ref="G108" r:id="rId250" xr:uid="{00000000-0004-0000-0000-0000F9000000}"/>
    <hyperlink ref="K108" r:id="rId251" xr:uid="{00000000-0004-0000-0000-0000FA000000}"/>
    <hyperlink ref="F109" r:id="rId252" xr:uid="{00000000-0004-0000-0000-0000FB000000}"/>
    <hyperlink ref="G109" r:id="rId253" xr:uid="{00000000-0004-0000-0000-0000FC000000}"/>
    <hyperlink ref="I109" r:id="rId254" xr:uid="{00000000-0004-0000-0000-0000FD000000}"/>
    <hyperlink ref="F110" r:id="rId255" xr:uid="{00000000-0004-0000-0000-0000FE000000}"/>
    <hyperlink ref="G110" r:id="rId256" xr:uid="{00000000-0004-0000-0000-0000FF000000}"/>
    <hyperlink ref="I110" r:id="rId257" xr:uid="{00000000-0004-0000-0000-000000010000}"/>
    <hyperlink ref="F111" r:id="rId258" xr:uid="{00000000-0004-0000-0000-000001010000}"/>
    <hyperlink ref="G111" r:id="rId259" xr:uid="{00000000-0004-0000-0000-000002010000}"/>
    <hyperlink ref="I111" r:id="rId260" xr:uid="{00000000-0004-0000-0000-000003010000}"/>
    <hyperlink ref="F112" r:id="rId261" xr:uid="{00000000-0004-0000-0000-000004010000}"/>
    <hyperlink ref="G112" r:id="rId262" xr:uid="{00000000-0004-0000-0000-000005010000}"/>
    <hyperlink ref="F134" r:id="rId263" xr:uid="{00000000-0004-0000-0000-000006010000}"/>
    <hyperlink ref="G134" r:id="rId264" xr:uid="{00000000-0004-0000-0000-000007010000}"/>
    <hyperlink ref="I134" r:id="rId265" xr:uid="{00000000-0004-0000-0000-000008010000}"/>
    <hyperlink ref="F135" r:id="rId266" xr:uid="{00000000-0004-0000-0000-000009010000}"/>
    <hyperlink ref="G135" r:id="rId267" xr:uid="{00000000-0004-0000-0000-00000A010000}"/>
    <hyperlink ref="I135" r:id="rId268" xr:uid="{00000000-0004-0000-0000-00000B010000}"/>
    <hyperlink ref="K135" r:id="rId269" xr:uid="{00000000-0004-0000-0000-00000C010000}"/>
    <hyperlink ref="G136" r:id="rId270" xr:uid="{00000000-0004-0000-0000-00000D010000}"/>
    <hyperlink ref="J136" r:id="rId271" xr:uid="{00000000-0004-0000-0000-00000E010000}"/>
    <hyperlink ref="F137" r:id="rId272" xr:uid="{00000000-0004-0000-0000-00000F010000}"/>
    <hyperlink ref="J137" r:id="rId273" xr:uid="{00000000-0004-0000-0000-000010010000}"/>
    <hyperlink ref="F138" r:id="rId274" xr:uid="{00000000-0004-0000-0000-000011010000}"/>
    <hyperlink ref="G138" r:id="rId275" xr:uid="{00000000-0004-0000-0000-000012010000}"/>
    <hyperlink ref="F139" r:id="rId276" xr:uid="{00000000-0004-0000-0000-000013010000}"/>
    <hyperlink ref="G139" r:id="rId277" xr:uid="{00000000-0004-0000-0000-000014010000}"/>
    <hyperlink ref="I139" r:id="rId278" xr:uid="{00000000-0004-0000-0000-000015010000}"/>
    <hyperlink ref="F140" r:id="rId279" xr:uid="{00000000-0004-0000-0000-000016010000}"/>
    <hyperlink ref="G140" r:id="rId280" xr:uid="{00000000-0004-0000-0000-000017010000}"/>
    <hyperlink ref="I140" r:id="rId281" xr:uid="{00000000-0004-0000-0000-000018010000}"/>
    <hyperlink ref="K140" r:id="rId282" xr:uid="{00000000-0004-0000-0000-000019010000}"/>
    <hyperlink ref="F160" r:id="rId283" xr:uid="{00000000-0004-0000-0000-00001A010000}"/>
    <hyperlink ref="G160" r:id="rId284" xr:uid="{00000000-0004-0000-0000-00001B010000}"/>
    <hyperlink ref="I160" r:id="rId285" xr:uid="{00000000-0004-0000-0000-00001C010000}"/>
    <hyperlink ref="G161" r:id="rId286" xr:uid="{00000000-0004-0000-0000-00001D010000}"/>
    <hyperlink ref="J161" r:id="rId287" xr:uid="{00000000-0004-0000-0000-00001E010000}"/>
    <hyperlink ref="G162" r:id="rId288" xr:uid="{00000000-0004-0000-0000-00001F010000}"/>
    <hyperlink ref="J162" r:id="rId289" xr:uid="{00000000-0004-0000-0000-000020010000}"/>
    <hyperlink ref="F163" r:id="rId290" xr:uid="{00000000-0004-0000-0000-000021010000}"/>
    <hyperlink ref="J163" r:id="rId291" xr:uid="{00000000-0004-0000-0000-000022010000}"/>
    <hyperlink ref="F164" r:id="rId292" xr:uid="{00000000-0004-0000-0000-000023010000}"/>
    <hyperlink ref="J164" r:id="rId293" xr:uid="{00000000-0004-0000-0000-000024010000}"/>
    <hyperlink ref="F165" r:id="rId294" xr:uid="{00000000-0004-0000-0000-000025010000}"/>
    <hyperlink ref="J165" r:id="rId295" xr:uid="{00000000-0004-0000-0000-000026010000}"/>
    <hyperlink ref="F166" r:id="rId296" xr:uid="{00000000-0004-0000-0000-000027010000}"/>
    <hyperlink ref="J166" r:id="rId297" xr:uid="{00000000-0004-0000-0000-000028010000}"/>
    <hyperlink ref="F167" r:id="rId298" xr:uid="{00000000-0004-0000-0000-000029010000}"/>
    <hyperlink ref="G167" r:id="rId299" xr:uid="{00000000-0004-0000-0000-00002A010000}"/>
    <hyperlink ref="I167" r:id="rId300" xr:uid="{00000000-0004-0000-0000-00002B010000}"/>
    <hyperlink ref="J167" r:id="rId301" xr:uid="{00000000-0004-0000-0000-00002C010000}"/>
    <hyperlink ref="F168" r:id="rId302" xr:uid="{00000000-0004-0000-0000-00002D010000}"/>
    <hyperlink ref="G168" r:id="rId303" xr:uid="{00000000-0004-0000-0000-00002E010000}"/>
    <hyperlink ref="I168" r:id="rId304" xr:uid="{00000000-0004-0000-0000-00002F010000}"/>
    <hyperlink ref="J168" r:id="rId305" xr:uid="{00000000-0004-0000-0000-000030010000}"/>
    <hyperlink ref="F169" r:id="rId306" xr:uid="{00000000-0004-0000-0000-000031010000}"/>
    <hyperlink ref="G169" r:id="rId307" xr:uid="{00000000-0004-0000-0000-000032010000}"/>
    <hyperlink ref="I169" r:id="rId308" xr:uid="{00000000-0004-0000-0000-000033010000}"/>
    <hyperlink ref="F172" r:id="rId309" xr:uid="{00000000-0004-0000-0000-000034010000}"/>
    <hyperlink ref="F184" r:id="rId310" xr:uid="{00000000-0004-0000-0000-000035010000}"/>
    <hyperlink ref="G184" r:id="rId311" xr:uid="{00000000-0004-0000-0000-000036010000}"/>
    <hyperlink ref="J184" r:id="rId312" xr:uid="{00000000-0004-0000-0000-000037010000}"/>
    <hyperlink ref="F185" r:id="rId313" xr:uid="{00000000-0004-0000-0000-000038010000}"/>
    <hyperlink ref="G185" r:id="rId314" xr:uid="{00000000-0004-0000-0000-000039010000}"/>
    <hyperlink ref="J185" r:id="rId315" xr:uid="{00000000-0004-0000-0000-00003A010000}"/>
    <hyperlink ref="F186" r:id="rId316" xr:uid="{00000000-0004-0000-0000-00003B010000}"/>
    <hyperlink ref="G186" r:id="rId317" xr:uid="{00000000-0004-0000-0000-00003C010000}"/>
    <hyperlink ref="I186" r:id="rId318" xr:uid="{00000000-0004-0000-0000-00003D010000}"/>
    <hyperlink ref="J186" r:id="rId319" xr:uid="{00000000-0004-0000-0000-00003E010000}"/>
    <hyperlink ref="F187" r:id="rId320" xr:uid="{00000000-0004-0000-0000-00003F010000}"/>
    <hyperlink ref="G187" r:id="rId321" xr:uid="{00000000-0004-0000-0000-000040010000}"/>
    <hyperlink ref="J187" r:id="rId322" xr:uid="{00000000-0004-0000-0000-000041010000}"/>
    <hyperlink ref="F188" r:id="rId323" xr:uid="{00000000-0004-0000-0000-000042010000}"/>
    <hyperlink ref="G188" r:id="rId324" xr:uid="{00000000-0004-0000-0000-000043010000}"/>
    <hyperlink ref="I188" r:id="rId325" xr:uid="{00000000-0004-0000-0000-000044010000}"/>
    <hyperlink ref="F189" r:id="rId326" xr:uid="{00000000-0004-0000-0000-000045010000}"/>
    <hyperlink ref="G189" r:id="rId327" xr:uid="{00000000-0004-0000-0000-000046010000}"/>
    <hyperlink ref="I189" r:id="rId328" xr:uid="{00000000-0004-0000-0000-000047010000}"/>
    <hyperlink ref="F190" r:id="rId329" xr:uid="{00000000-0004-0000-0000-000048010000}"/>
    <hyperlink ref="G190" r:id="rId330" xr:uid="{00000000-0004-0000-0000-000049010000}"/>
    <hyperlink ref="F200" r:id="rId331" xr:uid="{00000000-0004-0000-0000-00004A010000}"/>
    <hyperlink ref="G200" r:id="rId332" xr:uid="{00000000-0004-0000-0000-00004B010000}"/>
    <hyperlink ref="G201" r:id="rId333" xr:uid="{00000000-0004-0000-0000-00004C010000}"/>
    <hyperlink ref="J201" r:id="rId334" xr:uid="{00000000-0004-0000-0000-00004D010000}"/>
    <hyperlink ref="G202" r:id="rId335" xr:uid="{00000000-0004-0000-0000-00004E010000}"/>
    <hyperlink ref="J202" r:id="rId336" xr:uid="{00000000-0004-0000-0000-00004F010000}"/>
    <hyperlink ref="F203" r:id="rId337" xr:uid="{00000000-0004-0000-0000-000050010000}"/>
    <hyperlink ref="J203" r:id="rId338" xr:uid="{00000000-0004-0000-0000-000051010000}"/>
    <hyperlink ref="F204" r:id="rId339" xr:uid="{00000000-0004-0000-0000-000052010000}"/>
    <hyperlink ref="G204" r:id="rId340" xr:uid="{00000000-0004-0000-0000-000053010000}"/>
    <hyperlink ref="I204" r:id="rId341" xr:uid="{00000000-0004-0000-0000-000054010000}"/>
    <hyperlink ref="J204" r:id="rId342" xr:uid="{00000000-0004-0000-0000-000055010000}"/>
    <hyperlink ref="F205" r:id="rId343" xr:uid="{00000000-0004-0000-0000-000056010000}"/>
    <hyperlink ref="G205" r:id="rId344" xr:uid="{00000000-0004-0000-0000-000057010000}"/>
    <hyperlink ref="I205" r:id="rId345" xr:uid="{00000000-0004-0000-0000-000058010000}"/>
    <hyperlink ref="J205" r:id="rId346" xr:uid="{00000000-0004-0000-0000-000059010000}"/>
    <hyperlink ref="F206" r:id="rId347" xr:uid="{00000000-0004-0000-0000-00005A010000}"/>
    <hyperlink ref="G206" r:id="rId348" xr:uid="{00000000-0004-0000-0000-00005B010000}"/>
    <hyperlink ref="J206" r:id="rId349" xr:uid="{00000000-0004-0000-0000-00005C010000}"/>
    <hyperlink ref="F207" r:id="rId350" xr:uid="{00000000-0004-0000-0000-00005D010000}"/>
    <hyperlink ref="G207" r:id="rId351" xr:uid="{00000000-0004-0000-0000-00005E010000}"/>
    <hyperlink ref="J207" r:id="rId352" xr:uid="{00000000-0004-0000-0000-00005F010000}"/>
    <hyperlink ref="F208" r:id="rId353" xr:uid="{00000000-0004-0000-0000-000060010000}"/>
    <hyperlink ref="G208" r:id="rId354" xr:uid="{00000000-0004-0000-0000-000061010000}"/>
    <hyperlink ref="J208" r:id="rId355" xr:uid="{00000000-0004-0000-0000-000062010000}"/>
    <hyperlink ref="F209" r:id="rId356" xr:uid="{00000000-0004-0000-0000-000063010000}"/>
    <hyperlink ref="G209" r:id="rId357" xr:uid="{00000000-0004-0000-0000-000064010000}"/>
    <hyperlink ref="I209" r:id="rId358" xr:uid="{00000000-0004-0000-0000-000065010000}"/>
    <hyperlink ref="J209" r:id="rId359" xr:uid="{00000000-0004-0000-0000-000066010000}"/>
    <hyperlink ref="F210" r:id="rId360" xr:uid="{00000000-0004-0000-0000-000067010000}"/>
    <hyperlink ref="G210" r:id="rId361" xr:uid="{00000000-0004-0000-0000-000068010000}"/>
    <hyperlink ref="I210" r:id="rId362" xr:uid="{00000000-0004-0000-0000-000069010000}"/>
    <hyperlink ref="G221" r:id="rId363" xr:uid="{00000000-0004-0000-0000-00006A010000}"/>
    <hyperlink ref="J221" r:id="rId364" xr:uid="{00000000-0004-0000-0000-00006B010000}"/>
    <hyperlink ref="G222" r:id="rId365" xr:uid="{00000000-0004-0000-0000-00006C010000}"/>
    <hyperlink ref="I222" r:id="rId366" xr:uid="{00000000-0004-0000-0000-00006D010000}"/>
    <hyperlink ref="J222" r:id="rId367" xr:uid="{00000000-0004-0000-0000-00006E010000}"/>
    <hyperlink ref="F223" r:id="rId368" xr:uid="{00000000-0004-0000-0000-00006F010000}"/>
    <hyperlink ref="J223" r:id="rId369" xr:uid="{00000000-0004-0000-0000-000070010000}"/>
    <hyperlink ref="F224" r:id="rId370" xr:uid="{00000000-0004-0000-0000-000071010000}"/>
    <hyperlink ref="J224" r:id="rId371" xr:uid="{00000000-0004-0000-0000-000072010000}"/>
    <hyperlink ref="F225" r:id="rId372" xr:uid="{00000000-0004-0000-0000-000073010000}"/>
    <hyperlink ref="I225" r:id="rId373" xr:uid="{00000000-0004-0000-0000-000074010000}"/>
    <hyperlink ref="J225" r:id="rId374" xr:uid="{00000000-0004-0000-0000-000075010000}"/>
    <hyperlink ref="F226" r:id="rId375" xr:uid="{00000000-0004-0000-0000-000076010000}"/>
    <hyperlink ref="J226" r:id="rId376" xr:uid="{00000000-0004-0000-0000-000077010000}"/>
    <hyperlink ref="F227" r:id="rId377" xr:uid="{00000000-0004-0000-0000-000078010000}"/>
    <hyperlink ref="J227" r:id="rId378" xr:uid="{00000000-0004-0000-0000-000079010000}"/>
    <hyperlink ref="F228" r:id="rId379" xr:uid="{00000000-0004-0000-0000-00007A010000}"/>
    <hyperlink ref="G228" r:id="rId380" xr:uid="{00000000-0004-0000-0000-00007B010000}"/>
    <hyperlink ref="J228" r:id="rId381" xr:uid="{00000000-0004-0000-0000-00007C010000}"/>
    <hyperlink ref="F236" r:id="rId382" xr:uid="{00000000-0004-0000-0000-00007D010000}"/>
    <hyperlink ref="G236" r:id="rId383" xr:uid="{00000000-0004-0000-0000-00007E010000}"/>
    <hyperlink ref="J236" r:id="rId384" xr:uid="{00000000-0004-0000-0000-00007F010000}"/>
    <hyperlink ref="F237" r:id="rId385" xr:uid="{00000000-0004-0000-0000-000080010000}"/>
    <hyperlink ref="G237" r:id="rId386" xr:uid="{00000000-0004-0000-0000-000081010000}"/>
    <hyperlink ref="I237" r:id="rId387" xr:uid="{00000000-0004-0000-0000-000082010000}"/>
    <hyperlink ref="J237" r:id="rId388" xr:uid="{00000000-0004-0000-0000-000083010000}"/>
    <hyperlink ref="F238" r:id="rId389" xr:uid="{00000000-0004-0000-0000-000084010000}"/>
    <hyperlink ref="G238" r:id="rId390" xr:uid="{00000000-0004-0000-0000-000085010000}"/>
    <hyperlink ref="I238" r:id="rId391" xr:uid="{00000000-0004-0000-0000-000086010000}"/>
    <hyperlink ref="J238" r:id="rId392" xr:uid="{00000000-0004-0000-0000-000087010000}"/>
    <hyperlink ref="F239" r:id="rId393" xr:uid="{00000000-0004-0000-0000-000088010000}"/>
    <hyperlink ref="G239" r:id="rId394" xr:uid="{00000000-0004-0000-0000-000089010000}"/>
    <hyperlink ref="J239" r:id="rId395" xr:uid="{00000000-0004-0000-0000-00008A010000}"/>
    <hyperlink ref="F240" r:id="rId396" xr:uid="{00000000-0004-0000-0000-00008B010000}"/>
    <hyperlink ref="G240" r:id="rId397" xr:uid="{00000000-0004-0000-0000-00008C010000}"/>
    <hyperlink ref="J240" r:id="rId398" xr:uid="{00000000-0004-0000-0000-00008D010000}"/>
    <hyperlink ref="F247" r:id="rId399" xr:uid="{00000000-0004-0000-0000-00008E010000}"/>
    <hyperlink ref="G247" r:id="rId400" xr:uid="{00000000-0004-0000-0000-00008F010000}"/>
    <hyperlink ref="H247" r:id="rId401" xr:uid="{00000000-0004-0000-0000-000090010000}"/>
    <hyperlink ref="F248" r:id="rId402" xr:uid="{00000000-0004-0000-0000-000091010000}"/>
    <hyperlink ref="G248" r:id="rId403" xr:uid="{00000000-0004-0000-0000-000092010000}"/>
    <hyperlink ref="J248" r:id="rId404" xr:uid="{00000000-0004-0000-0000-000093010000}"/>
    <hyperlink ref="F256" r:id="rId405" xr:uid="{00000000-0004-0000-0000-000094010000}"/>
    <hyperlink ref="G256" r:id="rId406" xr:uid="{00000000-0004-0000-0000-000095010000}"/>
    <hyperlink ref="I256" r:id="rId407" xr:uid="{00000000-0004-0000-0000-000096010000}"/>
    <hyperlink ref="J256" r:id="rId408" xr:uid="{00000000-0004-0000-0000-000097010000}"/>
    <hyperlink ref="F265" r:id="rId409" xr:uid="{00000000-0004-0000-0000-000098010000}"/>
    <hyperlink ref="J265" r:id="rId410" xr:uid="{00000000-0004-0000-0000-000099010000}"/>
    <hyperlink ref="F266" r:id="rId411" xr:uid="{00000000-0004-0000-0000-00009A010000}"/>
    <hyperlink ref="H266" r:id="rId412" xr:uid="{00000000-0004-0000-0000-00009B010000}"/>
    <hyperlink ref="I266" r:id="rId413" xr:uid="{00000000-0004-0000-0000-00009C010000}"/>
    <hyperlink ref="J266" r:id="rId414" xr:uid="{00000000-0004-0000-0000-00009D010000}"/>
    <hyperlink ref="F267" r:id="rId415" xr:uid="{00000000-0004-0000-0000-00009E010000}"/>
    <hyperlink ref="G267" r:id="rId416" xr:uid="{00000000-0004-0000-0000-00009F010000}"/>
    <hyperlink ref="H267" r:id="rId417" xr:uid="{00000000-0004-0000-0000-0000A0010000}"/>
    <hyperlink ref="J267" r:id="rId418" xr:uid="{00000000-0004-0000-0000-0000A1010000}"/>
    <hyperlink ref="F268" r:id="rId419" xr:uid="{00000000-0004-0000-0000-0000A2010000}"/>
    <hyperlink ref="H268" r:id="rId420" xr:uid="{00000000-0004-0000-0000-0000A3010000}"/>
    <hyperlink ref="I268" r:id="rId421" xr:uid="{00000000-0004-0000-0000-0000A4010000}"/>
    <hyperlink ref="J268" r:id="rId422" xr:uid="{00000000-0004-0000-0000-0000A5010000}"/>
    <hyperlink ref="F269" r:id="rId423" xr:uid="{00000000-0004-0000-0000-0000A6010000}"/>
    <hyperlink ref="G269" r:id="rId424" xr:uid="{00000000-0004-0000-0000-0000A7010000}"/>
    <hyperlink ref="H269" r:id="rId425" xr:uid="{00000000-0004-0000-0000-0000A8010000}"/>
    <hyperlink ref="I269" r:id="rId426" xr:uid="{00000000-0004-0000-0000-0000A9010000}"/>
    <hyperlink ref="J269" r:id="rId427" xr:uid="{00000000-0004-0000-0000-0000AA010000}"/>
    <hyperlink ref="F270" r:id="rId428" xr:uid="{00000000-0004-0000-0000-0000AB010000}"/>
    <hyperlink ref="H270" r:id="rId429" xr:uid="{00000000-0004-0000-0000-0000AC010000}"/>
    <hyperlink ref="I270" r:id="rId430" xr:uid="{00000000-0004-0000-0000-0000AD010000}"/>
    <hyperlink ref="J270" r:id="rId431" xr:uid="{00000000-0004-0000-0000-0000AE010000}"/>
    <hyperlink ref="F271" r:id="rId432" xr:uid="{00000000-0004-0000-0000-0000AF010000}"/>
    <hyperlink ref="G271" r:id="rId433" xr:uid="{00000000-0004-0000-0000-0000B0010000}"/>
    <hyperlink ref="H271" r:id="rId434" xr:uid="{00000000-0004-0000-0000-0000B1010000}"/>
    <hyperlink ref="J271" r:id="rId435" xr:uid="{00000000-0004-0000-0000-0000B2010000}"/>
    <hyperlink ref="F272" r:id="rId436" xr:uid="{00000000-0004-0000-0000-0000B3010000}"/>
    <hyperlink ref="J272" r:id="rId437" xr:uid="{00000000-0004-0000-0000-0000B4010000}"/>
    <hyperlink ref="F273" r:id="rId438" xr:uid="{00000000-0004-0000-0000-0000B5010000}"/>
    <hyperlink ref="G273" r:id="rId439" xr:uid="{00000000-0004-0000-0000-0000B6010000}"/>
    <hyperlink ref="J273" r:id="rId440" xr:uid="{00000000-0004-0000-0000-0000B7010000}"/>
    <hyperlink ref="F276" r:id="rId441" xr:uid="{00000000-0004-0000-0000-0000B8010000}"/>
    <hyperlink ref="H276" r:id="rId442" xr:uid="{00000000-0004-0000-0000-0000B9010000}"/>
    <hyperlink ref="I276" r:id="rId443" xr:uid="{00000000-0004-0000-0000-0000BA010000}"/>
    <hyperlink ref="J276" r:id="rId444" xr:uid="{00000000-0004-0000-0000-0000BB010000}"/>
    <hyperlink ref="F277" r:id="rId445" xr:uid="{00000000-0004-0000-0000-0000BC010000}"/>
    <hyperlink ref="G277" r:id="rId446" xr:uid="{00000000-0004-0000-0000-0000BD010000}"/>
    <hyperlink ref="H277" r:id="rId447" xr:uid="{00000000-0004-0000-0000-0000BE010000}"/>
    <hyperlink ref="J277" r:id="rId448" xr:uid="{00000000-0004-0000-0000-0000BF010000}"/>
    <hyperlink ref="F278" r:id="rId449" xr:uid="{00000000-0004-0000-0000-0000C0010000}"/>
    <hyperlink ref="G278" r:id="rId450" xr:uid="{00000000-0004-0000-0000-0000C1010000}"/>
    <hyperlink ref="H278" r:id="rId451" xr:uid="{00000000-0004-0000-0000-0000C2010000}"/>
    <hyperlink ref="J278" r:id="rId452" xr:uid="{00000000-0004-0000-0000-0000C3010000}"/>
    <hyperlink ref="F279" r:id="rId453" xr:uid="{00000000-0004-0000-0000-0000C4010000}"/>
    <hyperlink ref="G279" r:id="rId454" xr:uid="{00000000-0004-0000-0000-0000C5010000}"/>
    <hyperlink ref="I279" r:id="rId455" xr:uid="{00000000-0004-0000-0000-0000C6010000}"/>
    <hyperlink ref="J279" r:id="rId456" xr:uid="{00000000-0004-0000-0000-0000C7010000}"/>
    <hyperlink ref="F281" r:id="rId457" xr:uid="{00000000-0004-0000-0000-0000C8010000}"/>
    <hyperlink ref="G281" r:id="rId458" xr:uid="{00000000-0004-0000-0000-0000C9010000}"/>
    <hyperlink ref="H281" r:id="rId459" xr:uid="{00000000-0004-0000-0000-0000CA010000}"/>
    <hyperlink ref="J281" r:id="rId460" xr:uid="{00000000-0004-0000-0000-0000CB010000}"/>
    <hyperlink ref="F282" r:id="rId461" xr:uid="{00000000-0004-0000-0000-0000CC010000}"/>
    <hyperlink ref="G282" r:id="rId462" xr:uid="{00000000-0004-0000-0000-0000CD010000}"/>
    <hyperlink ref="J282" r:id="rId463" xr:uid="{00000000-0004-0000-0000-0000CE010000}"/>
    <hyperlink ref="F283" r:id="rId464" xr:uid="{00000000-0004-0000-0000-0000CF010000}"/>
    <hyperlink ref="G283" r:id="rId465" xr:uid="{00000000-0004-0000-0000-0000D0010000}"/>
    <hyperlink ref="H283" r:id="rId466" xr:uid="{00000000-0004-0000-0000-0000D1010000}"/>
    <hyperlink ref="J283" r:id="rId467" xr:uid="{00000000-0004-0000-0000-0000D2010000}"/>
    <hyperlink ref="F284" r:id="rId468" xr:uid="{00000000-0004-0000-0000-0000D3010000}"/>
    <hyperlink ref="G284" r:id="rId469" xr:uid="{00000000-0004-0000-0000-0000D4010000}"/>
    <hyperlink ref="H284" r:id="rId470" xr:uid="{00000000-0004-0000-0000-0000D5010000}"/>
    <hyperlink ref="J284" r:id="rId471" xr:uid="{00000000-0004-0000-0000-0000D6010000}"/>
    <hyperlink ref="F285" r:id="rId472" xr:uid="{00000000-0004-0000-0000-0000D7010000}"/>
    <hyperlink ref="G285" r:id="rId473" xr:uid="{00000000-0004-0000-0000-0000D8010000}"/>
    <hyperlink ref="H285" r:id="rId474" xr:uid="{00000000-0004-0000-0000-0000D9010000}"/>
    <hyperlink ref="J285" r:id="rId475" xr:uid="{00000000-0004-0000-0000-0000DA010000}"/>
    <hyperlink ref="F286" r:id="rId476" xr:uid="{00000000-0004-0000-0000-0000DB010000}"/>
    <hyperlink ref="G286" r:id="rId477" xr:uid="{00000000-0004-0000-0000-0000DC010000}"/>
    <hyperlink ref="J286" r:id="rId478" xr:uid="{00000000-0004-0000-0000-0000DD010000}"/>
    <hyperlink ref="F287" r:id="rId479" xr:uid="{00000000-0004-0000-0000-0000DE010000}"/>
    <hyperlink ref="G287" r:id="rId480" xr:uid="{00000000-0004-0000-0000-0000DF010000}"/>
    <hyperlink ref="J287" r:id="rId481" xr:uid="{00000000-0004-0000-0000-0000E0010000}"/>
    <hyperlink ref="F288" r:id="rId482" xr:uid="{00000000-0004-0000-0000-0000E1010000}"/>
    <hyperlink ref="G288" r:id="rId483" xr:uid="{00000000-0004-0000-0000-0000E2010000}"/>
    <hyperlink ref="H288" r:id="rId484" xr:uid="{00000000-0004-0000-0000-0000E3010000}"/>
    <hyperlink ref="J288" r:id="rId485" xr:uid="{00000000-0004-0000-0000-0000E4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2"/>
  <sheetViews>
    <sheetView workbookViewId="0"/>
  </sheetViews>
  <sheetFormatPr baseColWidth="10" defaultColWidth="12.6640625" defaultRowHeight="15.75" customHeight="1" x14ac:dyDescent="0.15"/>
  <cols>
    <col min="1" max="1" width="82.83203125" customWidth="1"/>
  </cols>
  <sheetData>
    <row r="1" spans="1:1" ht="15.75" customHeight="1" x14ac:dyDescent="0.15">
      <c r="A1" s="22" t="str">
        <f>HYPERLINK("https://www.alexhunterlang.com/nsf-fellowship","The examples lits is maintained by Alex Lang, for more details see https://www.alexhunterlang.com/nsf-fellowship.")</f>
        <v>The examples lits is maintained by Alex Lang, for more details see https://www.alexhunterlang.com/nsf-fellowship.</v>
      </c>
    </row>
    <row r="2" spans="1:1" ht="15.75" customHeight="1" x14ac:dyDescent="0.15">
      <c r="A2" s="22" t="str">
        <f>HYPERLINK("https://docs.google.com/forms/d/e/1FAIpQLSdXFReG1A0QtoNEckYcEGTejRktMC8rbybMcEb08AxpWONr7w/viewform?embedded=true","To submit your own examples, please use this form.")</f>
        <v>To submit your own examples, please use this form.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nsfgrfp</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Holness, Shevaughn</cp:lastModifiedBy>
  <dcterms:modified xsi:type="dcterms:W3CDTF">2024-04-23T14:26:40Z</dcterms:modified>
</cp:coreProperties>
</file>