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\\wsl.localhost\Ubuntu-20.04\home\briochamsley\Masterthesis\data\Backup_comparison_final\"/>
    </mc:Choice>
  </mc:AlternateContent>
  <xr:revisionPtr revIDLastSave="0" documentId="13_ncr:1_{978D6C8B-5E29-4A0B-BF99-898C1DB981F6}" xr6:coauthVersionLast="47" xr6:coauthVersionMax="47" xr10:uidLastSave="{00000000-0000-0000-0000-000000000000}"/>
  <bookViews>
    <workbookView xWindow="-120" yWindow="-120" windowWidth="38640" windowHeight="21240" activeTab="8" xr2:uid="{00000000-000D-0000-FFFF-FFFF00000000}"/>
  </bookViews>
  <sheets>
    <sheet name="Sheet1" sheetId="1" r:id="rId1"/>
    <sheet name="Tabelle1" sheetId="2" r:id="rId2"/>
    <sheet name="Accordance" sheetId="3" r:id="rId3"/>
    <sheet name="Area_to_Built-up" sheetId="4" r:id="rId4"/>
    <sheet name="Completeness" sheetId="5" r:id="rId5"/>
    <sheet name="Mapping_Saturation" sheetId="6" r:id="rId6"/>
    <sheet name="Accuracy" sheetId="7" r:id="rId7"/>
    <sheet name="Built-up_Accuracy" sheetId="8" r:id="rId8"/>
    <sheet name="Correlation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7" i="6" l="1"/>
  <c r="C44" i="6" s="1"/>
  <c r="C32" i="8"/>
  <c r="E32" i="8"/>
  <c r="F32" i="8"/>
  <c r="C33" i="8"/>
  <c r="E33" i="8"/>
  <c r="F33" i="8"/>
  <c r="C34" i="8"/>
  <c r="E34" i="8"/>
  <c r="F34" i="8"/>
  <c r="B34" i="8"/>
  <c r="B33" i="8"/>
  <c r="B32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D2" i="8"/>
  <c r="D34" i="8" s="1"/>
  <c r="D3" i="8"/>
  <c r="D32" i="8" s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2" i="7"/>
  <c r="D33" i="7" s="1"/>
  <c r="D3" i="7"/>
  <c r="D4" i="7"/>
  <c r="D5" i="7"/>
  <c r="D34" i="7" s="1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C52" i="6"/>
  <c r="C51" i="6"/>
  <c r="C50" i="6"/>
  <c r="C49" i="6"/>
  <c r="C48" i="6"/>
  <c r="C47" i="6"/>
  <c r="C46" i="6"/>
  <c r="C45" i="6"/>
  <c r="C43" i="6"/>
  <c r="C42" i="6"/>
  <c r="C41" i="6"/>
  <c r="B52" i="6"/>
  <c r="B51" i="6"/>
  <c r="B50" i="6"/>
  <c r="B49" i="6"/>
  <c r="B48" i="6"/>
  <c r="B47" i="6"/>
  <c r="B46" i="6"/>
  <c r="B45" i="6"/>
  <c r="B44" i="6"/>
  <c r="B43" i="6"/>
  <c r="B42" i="6"/>
  <c r="B41" i="6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J35" i="4"/>
  <c r="I35" i="4"/>
  <c r="J34" i="4"/>
  <c r="I34" i="4"/>
  <c r="J33" i="4"/>
  <c r="I33" i="4"/>
  <c r="J32" i="4"/>
  <c r="I32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I2" i="2"/>
  <c r="I36" i="2" s="1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B37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C35" i="2"/>
  <c r="D35" i="2"/>
  <c r="E35" i="2"/>
  <c r="F35" i="2"/>
  <c r="G35" i="2"/>
  <c r="H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C36" i="2"/>
  <c r="D36" i="2"/>
  <c r="E36" i="2"/>
  <c r="F36" i="2"/>
  <c r="G36" i="2"/>
  <c r="H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B36" i="2"/>
  <c r="B35" i="2"/>
  <c r="B34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G33" i="8" l="1"/>
  <c r="G32" i="8"/>
  <c r="G34" i="8"/>
  <c r="D33" i="8"/>
  <c r="D32" i="7"/>
  <c r="D34" i="5"/>
  <c r="D32" i="5"/>
  <c r="D33" i="5"/>
  <c r="I35" i="2"/>
</calcChain>
</file>

<file path=xl/sharedStrings.xml><?xml version="1.0" encoding="utf-8"?>
<sst xmlns="http://schemas.openxmlformats.org/spreadsheetml/2006/main" count="636" uniqueCount="250">
  <si>
    <t>id</t>
  </si>
  <si>
    <t>file_no</t>
  </si>
  <si>
    <t>feature_no</t>
  </si>
  <si>
    <t>osm_id</t>
  </si>
  <si>
    <t>boundary</t>
  </si>
  <si>
    <t>admin_level</t>
  </si>
  <si>
    <t>parents</t>
  </si>
  <si>
    <t>name</t>
  </si>
  <si>
    <t>local_name</t>
  </si>
  <si>
    <t>name_en</t>
  </si>
  <si>
    <t>all_tags</t>
  </si>
  <si>
    <t>Population</t>
  </si>
  <si>
    <t>X-Coordinate</t>
  </si>
  <si>
    <t>Y-Coordinate</t>
  </si>
  <si>
    <t>University</t>
  </si>
  <si>
    <t>Disposable Income</t>
  </si>
  <si>
    <t>change_accordance</t>
  </si>
  <si>
    <t>change_accordance_2</t>
  </si>
  <si>
    <t>wc_pixel_no_to_built</t>
  </si>
  <si>
    <t>osm_pixel_no_to_built</t>
  </si>
  <si>
    <t>wc_change_pixel</t>
  </si>
  <si>
    <t>matching_pixel</t>
  </si>
  <si>
    <t>no_osm_data_for_change</t>
  </si>
  <si>
    <t>other_osm_class_for_change</t>
  </si>
  <si>
    <t>matching_percent</t>
  </si>
  <si>
    <t>no_osm_data_for_change_percent</t>
  </si>
  <si>
    <t>other_osm_class_for_change_percent</t>
  </si>
  <si>
    <t>pixel_count</t>
  </si>
  <si>
    <t>WC_Match_Pixel</t>
  </si>
  <si>
    <t>WC_Match_Percent</t>
  </si>
  <si>
    <t>WC_Match_Pixel_Agg</t>
  </si>
  <si>
    <t>WC_Match_Percent_Agg</t>
  </si>
  <si>
    <t>osm_acc_2020</t>
  </si>
  <si>
    <t>osm_acc_2020_no_nan</t>
  </si>
  <si>
    <t>osm_acc_agg_2020</t>
  </si>
  <si>
    <t>osm_acc_agg_2020_no_nan</t>
  </si>
  <si>
    <t>osm_nan_pixel_2020</t>
  </si>
  <si>
    <t>osm_completeness_2020</t>
  </si>
  <si>
    <t>built-up_precision_2020</t>
  </si>
  <si>
    <t>built-up_recall_2020</t>
  </si>
  <si>
    <t>built-up_precision_2020_agg</t>
  </si>
  <si>
    <t>built-up_recall_2020_agg</t>
  </si>
  <si>
    <t>osm_acc_2021</t>
  </si>
  <si>
    <t>osm_acc_2021_no_nan</t>
  </si>
  <si>
    <t>osm_acc_agg_2021</t>
  </si>
  <si>
    <t>osm_acc_agg_2021_no_nan</t>
  </si>
  <si>
    <t>osm_nan_pixel_2021</t>
  </si>
  <si>
    <t>osm_completeness_2021</t>
  </si>
  <si>
    <t>built-up_precision_2021</t>
  </si>
  <si>
    <t>built-up_recall_2021</t>
  </si>
  <si>
    <t>built-up_precision_2021_agg</t>
  </si>
  <si>
    <t>built-up_recall_2021_agg</t>
  </si>
  <si>
    <t>OSM_Match_Pixel</t>
  </si>
  <si>
    <t>OSM_Match_Percent</t>
  </si>
  <si>
    <t>OSM_Match_Pixel_Agg</t>
  </si>
  <si>
    <t>OSM_Match_Percent_Agg</t>
  </si>
  <si>
    <t>geometry</t>
  </si>
  <si>
    <t>all-filter_value</t>
  </si>
  <si>
    <t>all-filter_class</t>
  </si>
  <si>
    <t>bare_value</t>
  </si>
  <si>
    <t>bare_class</t>
  </si>
  <si>
    <t>built-up_value</t>
  </si>
  <si>
    <t>built-up_class</t>
  </si>
  <si>
    <t>cropland_value</t>
  </si>
  <si>
    <t>cropland_class</t>
  </si>
  <si>
    <t>grassland_value</t>
  </si>
  <si>
    <t>grassland_class</t>
  </si>
  <si>
    <t>mangroves_value</t>
  </si>
  <si>
    <t>mangroves_class</t>
  </si>
  <si>
    <t>moss_value</t>
  </si>
  <si>
    <t>moss_class</t>
  </si>
  <si>
    <t>shrubland_value</t>
  </si>
  <si>
    <t>shrubland_class</t>
  </si>
  <si>
    <t>snow_value</t>
  </si>
  <si>
    <t>snow_class</t>
  </si>
  <si>
    <t>tree_value</t>
  </si>
  <si>
    <t>tree_class</t>
  </si>
  <si>
    <t>water_value</t>
  </si>
  <si>
    <t>water_class</t>
  </si>
  <si>
    <t>wetland_value</t>
  </si>
  <si>
    <t>wetland_class</t>
  </si>
  <si>
    <t>garden_value</t>
  </si>
  <si>
    <t>garden_class</t>
  </si>
  <si>
    <t>0</t>
  </si>
  <si>
    <t>administrative</t>
  </si>
  <si>
    <t>-1284737,-62725,-62607,-51477</t>
  </si>
  <si>
    <t>Osterburg</t>
  </si>
  <si>
    <t>POLYGON ((11.795583333333333 52.7615, 11.795583333333333 52.85033333333333, 11.68275 52.85033333333333, 11.68275 52.7615, 11.795583333333333 52.7615))</t>
  </si>
  <si>
    <t>1</t>
  </si>
  <si>
    <t>-2952120,-2806390,-2811874,-62611,-51477</t>
  </si>
  <si>
    <t>Pfullendorf</t>
  </si>
  <si>
    <t>POLYGON ((9.34675 47.85783333333333, 9.34675 47.98883333333333, 9.168333333333333 47.98883333333333, 9.168333333333333 47.85783333333333, 9.34675 47.85783333333333))</t>
  </si>
  <si>
    <t>2</t>
  </si>
  <si>
    <t>-2973457,-62587,-2106112,-62611,-51477</t>
  </si>
  <si>
    <t>Lörrach</t>
  </si>
  <si>
    <t>POLYGON ((7.729083333333333 47.591833333333334, 7.729083333333333 47.677416666666666, 7.6335 47.677416666666666, 7.6335 47.591833333333334, 7.729083333333333 47.591833333333334))</t>
  </si>
  <si>
    <t>3</t>
  </si>
  <si>
    <t>-62621,-62366,-51477</t>
  </si>
  <si>
    <t>Nordhausen</t>
  </si>
  <si>
    <t>POLYGON ((10.947999999999999 51.440416666666664, 10.947999999999999 51.55558333333333, 10.676083333333333 51.55558333333333, 10.676083333333333 51.440416666666664, 10.947999999999999 51.440416666666664))</t>
  </si>
  <si>
    <t>4</t>
  </si>
  <si>
    <t>-62674,-62771,-51477</t>
  </si>
  <si>
    <t>Munster</t>
  </si>
  <si>
    <t>POLYGON ((10.236749999999999 52.8975, 10.236749999999999 53.07875, 9.963166666666666 53.07875, 9.963166666666666 52.8975, 10.236749999999999 52.8975))</t>
  </si>
  <si>
    <t>5</t>
  </si>
  <si>
    <t>-1739376,-28322,-51477</t>
  </si>
  <si>
    <t>Waren (Müritz)</t>
  </si>
  <si>
    <t>POLYGON ((12.796416666666667 53.395999999999994, 12.796416666666667 53.58508333333333, 12.581833333333334 53.58508333333333, 12.581833333333334 53.395999999999994, 12.796416666666667 53.395999999999994))</t>
  </si>
  <si>
    <t>6</t>
  </si>
  <si>
    <t>-62666,-62771,-51477</t>
  </si>
  <si>
    <t>Vechta</t>
  </si>
  <si>
    <t>POLYGON ((8.384 52.68675, 8.384 52.800583333333336, 8.194666666666667 52.800583333333336, 8.194666666666667 52.68675, 8.384 52.68675))</t>
  </si>
  <si>
    <t>7</t>
  </si>
  <si>
    <t>-62447,-62366,-51477</t>
  </si>
  <si>
    <t>Leutenberg</t>
  </si>
  <si>
    <t>POLYGON ((11.55325 50.52108333333334, 11.55325 50.60275, 11.384333333333334 50.60275, 11.384333333333334 50.52108333333334, 11.55325 50.52108333333334))</t>
  </si>
  <si>
    <t>8</t>
  </si>
  <si>
    <t>-62413,-62504,-51477</t>
  </si>
  <si>
    <t>Nauen</t>
  </si>
  <si>
    <t>POLYGON ((13.0135 52.50125, 13.0135 52.72541666666667, 12.652333333333333 52.72541666666667, 12.652333333333333 52.50125, 13.0135 52.50125))</t>
  </si>
  <si>
    <t>9</t>
  </si>
  <si>
    <t>-661038,-62668,-62341,-51477</t>
  </si>
  <si>
    <t>Bernkastel-Kues</t>
  </si>
  <si>
    <t>POLYGON ((7.105083333333333 49.89191666666667, 7.105083333333333 49.9585, 6.976083333333333 49.9585, 6.976083333333333 49.89191666666667, 7.105083333333333 49.89191666666667))</t>
  </si>
  <si>
    <t>10</t>
  </si>
  <si>
    <t>-2972264,-62389,-17657,-2145268,-51477</t>
  </si>
  <si>
    <t>Wemding</t>
  </si>
  <si>
    <t>POLYGON ((10.776166666666667 48.84916666666667, 10.776166666666667 48.908166666666666, 10.66225 48.908166666666666, 10.66225 48.84916666666667, 10.776166666666667 48.84916666666667))</t>
  </si>
  <si>
    <t>11</t>
  </si>
  <si>
    <t>-62472,-2145274,-2145268,-51477</t>
  </si>
  <si>
    <t>Geretsried</t>
  </si>
  <si>
    <t>POLYGON ((11.516833333333333 47.843, 11.516833333333333 47.901, 11.410416666666666 47.901, 11.410416666666666 47.843, 11.516833333333333 47.843))</t>
  </si>
  <si>
    <t>12</t>
  </si>
  <si>
    <t>-62700,-286675,-62650,-51477</t>
  </si>
  <si>
    <t>Fulda</t>
  </si>
  <si>
    <t>POLYGON ((9.733 50.4995, 9.733 50.629416666666664, 9.566083333333333 50.629416666666664, 9.566083333333333 50.4995, 9.733 50.4995))</t>
  </si>
  <si>
    <t>13</t>
  </si>
  <si>
    <t>-62733,-51529,-51477</t>
  </si>
  <si>
    <t>Bad Segeberg</t>
  </si>
  <si>
    <t>POLYGON ((10.374166666666667 53.91775, 10.374166666666667 53.973416666666665, 10.267833333333334 53.973416666666665, 10.267833333333334 53.91775, 10.374166666666667 53.91775))</t>
  </si>
  <si>
    <t>14</t>
  </si>
  <si>
    <t>-421948,-62357,-62341,-51477</t>
  </si>
  <si>
    <t>Herdorf</t>
  </si>
  <si>
    <t>POLYGON ((7.985166666666666 50.745583333333336, 7.985166666666666 50.81466666666667, 7.897583333333333 50.81466666666667, 7.897583333333333 50.745583333333336, 7.985166666666666 50.745583333333336))</t>
  </si>
  <si>
    <t>15</t>
  </si>
  <si>
    <t>-62345,-62467,-51477</t>
  </si>
  <si>
    <t>Görlitz</t>
  </si>
  <si>
    <t>POLYGON ((15.018 51.0525, 15.018 51.228, 14.911666666666667 51.228, 14.911666666666667 51.0525, 15.018 51.0525))</t>
  </si>
  <si>
    <t>16</t>
  </si>
  <si>
    <t>-62412,-22041,-62611,-51477</t>
  </si>
  <si>
    <t>Murrhardt</t>
  </si>
  <si>
    <t>POLYGON ((9.697833333333334 48.933499999999995, 9.697833333333334 49.02625, 9.519416666666666 49.02625, 9.519416666666666 48.933499999999995, 9.697833333333334 48.933499999999995))</t>
  </si>
  <si>
    <t>17</t>
  </si>
  <si>
    <t>-63306,-62761,-51477</t>
  </si>
  <si>
    <t>Essen</t>
  </si>
  <si>
    <t>POLYGON ((7.137666666666666 51.3475, 7.137666666666666 51.53425, 6.894333333333333 51.53425, 6.894333333333333 51.3475, 7.137666666666666 51.3475))</t>
  </si>
  <si>
    <t>18</t>
  </si>
  <si>
    <t>-62718,-51477</t>
  </si>
  <si>
    <t>Bremerhaven</t>
  </si>
  <si>
    <t>POLYGON ((8.65925 53.47108333333333, 8.65925 53.61025, 8.483 53.61025, 8.483 53.47108333333333, 8.65925 53.47108333333333))</t>
  </si>
  <si>
    <t>19</t>
  </si>
  <si>
    <t>-62467,-51477</t>
  </si>
  <si>
    <t>Leipzig</t>
  </si>
  <si>
    <t>POLYGON ((12.542583333333333 51.238166666666665, 12.542583333333333 51.448166666666665, 12.236583333333334 51.448166666666665, 12.236583333333334 51.238166666666665, 12.542583333333333 51.238166666666665))</t>
  </si>
  <si>
    <t>20</t>
  </si>
  <si>
    <t>-286675,-62650,-51477</t>
  </si>
  <si>
    <t>Kassel</t>
  </si>
  <si>
    <t>POLYGON ((9.570166666666665 51.260333333333335, 9.570166666666665 51.369416666666666, 9.350999999999999 51.369416666666666, 9.350999999999999 51.260333333333335, 9.570166666666665 51.260333333333335))</t>
  </si>
  <si>
    <t>21</t>
  </si>
  <si>
    <t>-17592,-2145268,-51477</t>
  </si>
  <si>
    <t>Bamberg</t>
  </si>
  <si>
    <t>POLYGON ((10.960749999999999 49.84258333333333, 10.960749999999999 49.928666666666665, 10.8265 49.928666666666665, 10.8265 49.84258333333333, 10.960749999999999 49.84258333333333))</t>
  </si>
  <si>
    <t>22</t>
  </si>
  <si>
    <t>-22027,-62611,-51477</t>
  </si>
  <si>
    <t>Karlsruhe</t>
  </si>
  <si>
    <t>POLYGON ((8.54175 48.940416666666664, 8.54175 49.09133333333333, 8.27725 49.09133333333333, 8.27725 48.940416666666664, 8.54175 48.940416666666664))</t>
  </si>
  <si>
    <t>23</t>
  </si>
  <si>
    <t>-2145274,-2145268,-51477</t>
  </si>
  <si>
    <t>Munich</t>
  </si>
  <si>
    <t>München</t>
  </si>
  <si>
    <t>POLYGON ((11.722916666666666 48.06158333333334, 11.722916666666666 48.24816666666667, 11.36075 48.24816666666667, 11.36075 48.06158333333334, 11.722916666666666 48.06158333333334))</t>
  </si>
  <si>
    <t>24</t>
  </si>
  <si>
    <t>-17596,-2145268,-51477</t>
  </si>
  <si>
    <t>Regensburg</t>
  </si>
  <si>
    <t>POLYGON ((12.191666666666666 48.96666666666667, 12.191666666666666 49.07641666666667, 12.029 49.07641666666667, 12.029 48.96666666666667, 12.191666666666666 48.96666666666667))</t>
  </si>
  <si>
    <t>25</t>
  </si>
  <si>
    <t>-28322,-51477</t>
  </si>
  <si>
    <t>Rostock</t>
  </si>
  <si>
    <t>POLYGON ((12.295416666666666 54.05075, 12.295416666666666 54.24458333333333, 11.998333333333333 54.24458333333333, 11.998333333333333 54.05075, 12.295416666666666 54.05075))</t>
  </si>
  <si>
    <t>26</t>
  </si>
  <si>
    <t>-286590,-62650,-51477</t>
  </si>
  <si>
    <t>Frankfurt</t>
  </si>
  <si>
    <t>Frankfurt am Main</t>
  </si>
  <si>
    <t>POLYGON ((8.800416666666667 50.01533333333334, 8.800416666666667 50.22716666666667, 8.47275 50.22716666666667, 8.47275 50.01533333333334, 8.800416666666667 50.01533333333334))</t>
  </si>
  <si>
    <t>27</t>
  </si>
  <si>
    <t>Baden-Baden</t>
  </si>
  <si>
    <t>POLYGON ((8.321 48.66666666666667, 8.321 48.84791666666667, 8.10775 48.84791666666667, 8.10775 48.66666666666667, 8.321 48.66666666666667))</t>
  </si>
  <si>
    <t>28</t>
  </si>
  <si>
    <t>-62764,-62771,-51477</t>
  </si>
  <si>
    <t>Hanover</t>
  </si>
  <si>
    <t>Hannover</t>
  </si>
  <si>
    <t>POLYGON ((9.9185 52.305083333333336, 9.9185 52.45441666666667, 9.604416666666667 52.45441666666667, 9.604416666666667 52.305083333333336, 9.9185 52.305083333333336))</t>
  </si>
  <si>
    <t>29</t>
  </si>
  <si>
    <t>-51529,-51477</t>
  </si>
  <si>
    <t>Flensburg</t>
  </si>
  <si>
    <t>POLYGON ((9.506833333333335 54.75175, 9.506833333333335 54.83708333333333, 9.35725 54.83708333333333, 9.35725 54.75175, 9.506833333333335 54.75175))</t>
  </si>
  <si>
    <t>percent_pixel_no_to_built</t>
  </si>
  <si>
    <t>percent_to_built_match_adjusted</t>
  </si>
  <si>
    <t>Min</t>
  </si>
  <si>
    <t>Max</t>
  </si>
  <si>
    <t>Mean</t>
  </si>
  <si>
    <t>Median</t>
  </si>
  <si>
    <t>change</t>
  </si>
  <si>
    <t>Filter</t>
  </si>
  <si>
    <t>Mean Value</t>
  </si>
  <si>
    <t>all-filter</t>
  </si>
  <si>
    <t>bare</t>
  </si>
  <si>
    <t>built-up</t>
  </si>
  <si>
    <t>crop</t>
  </si>
  <si>
    <t>grass</t>
  </si>
  <si>
    <t>moss</t>
  </si>
  <si>
    <t>shrub</t>
  </si>
  <si>
    <t>snow</t>
  </si>
  <si>
    <t>tree</t>
  </si>
  <si>
    <t>water</t>
  </si>
  <si>
    <t>wetland</t>
  </si>
  <si>
    <t>Median Class</t>
  </si>
  <si>
    <t>garden</t>
  </si>
  <si>
    <t>Accordance</t>
  </si>
  <si>
    <t>Accordance_2</t>
  </si>
  <si>
    <t>Adjusted Match</t>
  </si>
  <si>
    <t>Study Area</t>
  </si>
  <si>
    <t>Change Precision</t>
  </si>
  <si>
    <t>Change Recall</t>
  </si>
  <si>
    <t>OSM Built-up Precision 2020</t>
  </si>
  <si>
    <t>OSM Built-up Precision 2021</t>
  </si>
  <si>
    <t>OSM Built-up Recall 2020</t>
  </si>
  <si>
    <t>OSM Built-up Recall 2021</t>
  </si>
  <si>
    <t>OSM Pixel</t>
  </si>
  <si>
    <t>WC Pixel</t>
  </si>
  <si>
    <t>Adjusted WC Pixel</t>
  </si>
  <si>
    <t>Percentage OSM of Adjusted WC (%)</t>
  </si>
  <si>
    <t>Percentage OSM of WC (%)</t>
  </si>
  <si>
    <t>Accordance (%)</t>
  </si>
  <si>
    <t>Accordance_2  (%)</t>
  </si>
  <si>
    <t>Accordance_3  (%)</t>
  </si>
  <si>
    <t>OSM Completeness 2021</t>
  </si>
  <si>
    <t>OSM Accuracy 2021</t>
  </si>
  <si>
    <t>Correlation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</si>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</sst>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8" formatCode="0.0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2" fontId="0" fillId="0" borderId="0" xfId="0" applyNumberFormat="1"/>
    <xf numFmtId="164" fontId="0" fillId="0" borderId="0" xfId="0" applyNumberForma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8" fontId="0" fillId="0" borderId="7" xfId="0" applyNumberFormat="1" applyBorder="1"/>
    <xf numFmtId="168" fontId="0" fillId="0" borderId="8" xfId="0" applyNumberFormat="1" applyBorder="1"/>
    <xf numFmtId="168" fontId="0" fillId="0" borderId="9" xfId="0" applyNumberFormat="1" applyBorder="1"/>
    <xf numFmtId="168" fontId="0" fillId="0" borderId="10" xfId="0" applyNumberFormat="1" applyBorder="1"/>
  </cellXfs>
  <cellStyles count="1">
    <cellStyle name="Standard" xfId="0" builtinId="0"/>
  </cellStyles>
  <dxfs count="61"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2" formatCode="0.00"/>
    </dxf>
    <dxf>
      <numFmt numFmtId="2" formatCode="0.00"/>
    </dxf>
    <dxf>
      <numFmt numFmtId="2" formatCode="0.0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2" formatCode="0.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2" formatCode="0.00"/>
    </dxf>
    <dxf>
      <numFmt numFmtId="2" formatCode="0.00"/>
    </dxf>
    <dxf>
      <numFmt numFmtId="2" formatCode="0.0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2" formatCode="0.00"/>
    </dxf>
    <dxf>
      <numFmt numFmtId="2" formatCode="0.00"/>
    </dxf>
    <dxf>
      <numFmt numFmtId="2" formatCode="0.0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A13B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'Area_to_Built-up'!$B$1</c:f>
              <c:strCache>
                <c:ptCount val="1"/>
                <c:pt idx="0">
                  <c:v>OSM Pixel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'Area_to_Built-up'!$A$2:$A$31</c:f>
              <c:strCache>
                <c:ptCount val="30"/>
                <c:pt idx="0">
                  <c:v>Osterburg</c:v>
                </c:pt>
                <c:pt idx="1">
                  <c:v>Pfullendorf</c:v>
                </c:pt>
                <c:pt idx="2">
                  <c:v>Lörrach</c:v>
                </c:pt>
                <c:pt idx="3">
                  <c:v>Nordhausen</c:v>
                </c:pt>
                <c:pt idx="4">
                  <c:v>Munster</c:v>
                </c:pt>
                <c:pt idx="5">
                  <c:v>Waren (Müritz)</c:v>
                </c:pt>
                <c:pt idx="6">
                  <c:v>Vechta</c:v>
                </c:pt>
                <c:pt idx="7">
                  <c:v>Leutenberg</c:v>
                </c:pt>
                <c:pt idx="8">
                  <c:v>Nauen</c:v>
                </c:pt>
                <c:pt idx="9">
                  <c:v>Bernkastel-Kues</c:v>
                </c:pt>
                <c:pt idx="10">
                  <c:v>Wemding</c:v>
                </c:pt>
                <c:pt idx="11">
                  <c:v>Geretsried</c:v>
                </c:pt>
                <c:pt idx="12">
                  <c:v>Fulda</c:v>
                </c:pt>
                <c:pt idx="13">
                  <c:v>Bad Segeberg</c:v>
                </c:pt>
                <c:pt idx="14">
                  <c:v>Herdorf</c:v>
                </c:pt>
                <c:pt idx="15">
                  <c:v>Görlitz</c:v>
                </c:pt>
                <c:pt idx="16">
                  <c:v>Murrhardt</c:v>
                </c:pt>
                <c:pt idx="17">
                  <c:v>Essen</c:v>
                </c:pt>
                <c:pt idx="18">
                  <c:v>Bremerhaven</c:v>
                </c:pt>
                <c:pt idx="19">
                  <c:v>Leipzig</c:v>
                </c:pt>
                <c:pt idx="20">
                  <c:v>Kassel</c:v>
                </c:pt>
                <c:pt idx="21">
                  <c:v>Bamberg</c:v>
                </c:pt>
                <c:pt idx="22">
                  <c:v>Karlsruhe</c:v>
                </c:pt>
                <c:pt idx="23">
                  <c:v>München</c:v>
                </c:pt>
                <c:pt idx="24">
                  <c:v>Regensburg</c:v>
                </c:pt>
                <c:pt idx="25">
                  <c:v>Rostock</c:v>
                </c:pt>
                <c:pt idx="26">
                  <c:v>Frankfurt am Main</c:v>
                </c:pt>
                <c:pt idx="27">
                  <c:v>Baden-Baden</c:v>
                </c:pt>
                <c:pt idx="28">
                  <c:v>Hannover</c:v>
                </c:pt>
                <c:pt idx="29">
                  <c:v>Flensburg</c:v>
                </c:pt>
              </c:strCache>
            </c:strRef>
          </c:cat>
          <c:val>
            <c:numRef>
              <c:f>'Area_to_Built-up'!$B$2:$B$31</c:f>
              <c:numCache>
                <c:formatCode>General</c:formatCode>
                <c:ptCount val="30"/>
                <c:pt idx="0">
                  <c:v>52</c:v>
                </c:pt>
                <c:pt idx="1">
                  <c:v>1584</c:v>
                </c:pt>
                <c:pt idx="2">
                  <c:v>923</c:v>
                </c:pt>
                <c:pt idx="3">
                  <c:v>2105</c:v>
                </c:pt>
                <c:pt idx="4">
                  <c:v>3397</c:v>
                </c:pt>
                <c:pt idx="5">
                  <c:v>4684</c:v>
                </c:pt>
                <c:pt idx="6">
                  <c:v>19500</c:v>
                </c:pt>
                <c:pt idx="7">
                  <c:v>1948</c:v>
                </c:pt>
                <c:pt idx="8">
                  <c:v>13224</c:v>
                </c:pt>
                <c:pt idx="9">
                  <c:v>4864</c:v>
                </c:pt>
                <c:pt idx="10">
                  <c:v>4235</c:v>
                </c:pt>
                <c:pt idx="11">
                  <c:v>2026</c:v>
                </c:pt>
                <c:pt idx="12">
                  <c:v>16723</c:v>
                </c:pt>
                <c:pt idx="13">
                  <c:v>367</c:v>
                </c:pt>
                <c:pt idx="14">
                  <c:v>4259</c:v>
                </c:pt>
                <c:pt idx="15">
                  <c:v>7589</c:v>
                </c:pt>
                <c:pt idx="16">
                  <c:v>3830</c:v>
                </c:pt>
                <c:pt idx="17">
                  <c:v>27179</c:v>
                </c:pt>
                <c:pt idx="18">
                  <c:v>12893</c:v>
                </c:pt>
                <c:pt idx="19">
                  <c:v>143246</c:v>
                </c:pt>
                <c:pt idx="20">
                  <c:v>3568</c:v>
                </c:pt>
                <c:pt idx="21">
                  <c:v>2912</c:v>
                </c:pt>
                <c:pt idx="22">
                  <c:v>26824</c:v>
                </c:pt>
                <c:pt idx="23">
                  <c:v>45985</c:v>
                </c:pt>
                <c:pt idx="24">
                  <c:v>13747</c:v>
                </c:pt>
                <c:pt idx="25">
                  <c:v>16477</c:v>
                </c:pt>
                <c:pt idx="26">
                  <c:v>35009</c:v>
                </c:pt>
                <c:pt idx="27">
                  <c:v>13006</c:v>
                </c:pt>
                <c:pt idx="28">
                  <c:v>20410</c:v>
                </c:pt>
                <c:pt idx="29">
                  <c:v>3388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51-4667-9B7E-342EA92F597D}"/>
            </c:ext>
          </c:extLst>
        </c:ser>
        <c:ser>
          <c:idx val="3"/>
          <c:order val="1"/>
          <c:tx>
            <c:strRef>
              <c:f>'Area_to_Built-up'!$E$1</c:f>
              <c:strCache>
                <c:ptCount val="1"/>
                <c:pt idx="0">
                  <c:v>Adjusted WC Pixel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'Area_to_Built-up'!$A$2:$A$31</c:f>
              <c:strCache>
                <c:ptCount val="30"/>
                <c:pt idx="0">
                  <c:v>Osterburg</c:v>
                </c:pt>
                <c:pt idx="1">
                  <c:v>Pfullendorf</c:v>
                </c:pt>
                <c:pt idx="2">
                  <c:v>Lörrach</c:v>
                </c:pt>
                <c:pt idx="3">
                  <c:v>Nordhausen</c:v>
                </c:pt>
                <c:pt idx="4">
                  <c:v>Munster</c:v>
                </c:pt>
                <c:pt idx="5">
                  <c:v>Waren (Müritz)</c:v>
                </c:pt>
                <c:pt idx="6">
                  <c:v>Vechta</c:v>
                </c:pt>
                <c:pt idx="7">
                  <c:v>Leutenberg</c:v>
                </c:pt>
                <c:pt idx="8">
                  <c:v>Nauen</c:v>
                </c:pt>
                <c:pt idx="9">
                  <c:v>Bernkastel-Kues</c:v>
                </c:pt>
                <c:pt idx="10">
                  <c:v>Wemding</c:v>
                </c:pt>
                <c:pt idx="11">
                  <c:v>Geretsried</c:v>
                </c:pt>
                <c:pt idx="12">
                  <c:v>Fulda</c:v>
                </c:pt>
                <c:pt idx="13">
                  <c:v>Bad Segeberg</c:v>
                </c:pt>
                <c:pt idx="14">
                  <c:v>Herdorf</c:v>
                </c:pt>
                <c:pt idx="15">
                  <c:v>Görlitz</c:v>
                </c:pt>
                <c:pt idx="16">
                  <c:v>Murrhardt</c:v>
                </c:pt>
                <c:pt idx="17">
                  <c:v>Essen</c:v>
                </c:pt>
                <c:pt idx="18">
                  <c:v>Bremerhaven</c:v>
                </c:pt>
                <c:pt idx="19">
                  <c:v>Leipzig</c:v>
                </c:pt>
                <c:pt idx="20">
                  <c:v>Kassel</c:v>
                </c:pt>
                <c:pt idx="21">
                  <c:v>Bamberg</c:v>
                </c:pt>
                <c:pt idx="22">
                  <c:v>Karlsruhe</c:v>
                </c:pt>
                <c:pt idx="23">
                  <c:v>München</c:v>
                </c:pt>
                <c:pt idx="24">
                  <c:v>Regensburg</c:v>
                </c:pt>
                <c:pt idx="25">
                  <c:v>Rostock</c:v>
                </c:pt>
                <c:pt idx="26">
                  <c:v>Frankfurt am Main</c:v>
                </c:pt>
                <c:pt idx="27">
                  <c:v>Baden-Baden</c:v>
                </c:pt>
                <c:pt idx="28">
                  <c:v>Hannover</c:v>
                </c:pt>
                <c:pt idx="29">
                  <c:v>Flensburg</c:v>
                </c:pt>
              </c:strCache>
            </c:strRef>
          </c:cat>
          <c:val>
            <c:numRef>
              <c:f>'Area_to_Built-up'!$E$2:$E$31</c:f>
              <c:numCache>
                <c:formatCode>General</c:formatCode>
                <c:ptCount val="30"/>
                <c:pt idx="0">
                  <c:v>757</c:v>
                </c:pt>
                <c:pt idx="1">
                  <c:v>7135</c:v>
                </c:pt>
                <c:pt idx="2">
                  <c:v>3932</c:v>
                </c:pt>
                <c:pt idx="3">
                  <c:v>8813</c:v>
                </c:pt>
                <c:pt idx="4">
                  <c:v>21341</c:v>
                </c:pt>
                <c:pt idx="5">
                  <c:v>5411</c:v>
                </c:pt>
                <c:pt idx="6">
                  <c:v>5485</c:v>
                </c:pt>
                <c:pt idx="7">
                  <c:v>1630</c:v>
                </c:pt>
                <c:pt idx="8">
                  <c:v>12051</c:v>
                </c:pt>
                <c:pt idx="9">
                  <c:v>2541</c:v>
                </c:pt>
                <c:pt idx="10">
                  <c:v>1711</c:v>
                </c:pt>
                <c:pt idx="11">
                  <c:v>2194</c:v>
                </c:pt>
                <c:pt idx="12">
                  <c:v>8605</c:v>
                </c:pt>
                <c:pt idx="13">
                  <c:v>2793</c:v>
                </c:pt>
                <c:pt idx="14">
                  <c:v>1269</c:v>
                </c:pt>
                <c:pt idx="15">
                  <c:v>14369</c:v>
                </c:pt>
                <c:pt idx="16">
                  <c:v>2237</c:v>
                </c:pt>
                <c:pt idx="17">
                  <c:v>28987</c:v>
                </c:pt>
                <c:pt idx="18">
                  <c:v>10718</c:v>
                </c:pt>
                <c:pt idx="19">
                  <c:v>72515</c:v>
                </c:pt>
                <c:pt idx="20">
                  <c:v>19935</c:v>
                </c:pt>
                <c:pt idx="21">
                  <c:v>10313</c:v>
                </c:pt>
                <c:pt idx="22">
                  <c:v>23832</c:v>
                </c:pt>
                <c:pt idx="23">
                  <c:v>65882</c:v>
                </c:pt>
                <c:pt idx="24">
                  <c:v>16579</c:v>
                </c:pt>
                <c:pt idx="25">
                  <c:v>21401</c:v>
                </c:pt>
                <c:pt idx="26">
                  <c:v>52743</c:v>
                </c:pt>
                <c:pt idx="27">
                  <c:v>10085</c:v>
                </c:pt>
                <c:pt idx="28">
                  <c:v>44020</c:v>
                </c:pt>
                <c:pt idx="29">
                  <c:v>7149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451-4667-9B7E-342EA92F597D}"/>
            </c:ext>
          </c:extLst>
        </c:ser>
        <c:ser>
          <c:idx val="1"/>
          <c:order val="2"/>
          <c:tx>
            <c:strRef>
              <c:f>'Area_to_Built-up'!$C$1</c:f>
              <c:strCache>
                <c:ptCount val="1"/>
                <c:pt idx="0">
                  <c:v>WC Pixel</c:v>
                </c:pt>
              </c:strCache>
            </c:strRef>
          </c:tx>
          <c:spPr>
            <a:solidFill>
              <a:srgbClr val="A13B39"/>
            </a:solidFill>
            <a:ln>
              <a:noFill/>
            </a:ln>
            <a:effectLst/>
          </c:spPr>
          <c:invertIfNegative val="0"/>
          <c:cat>
            <c:strRef>
              <c:f>'Area_to_Built-up'!$A$2:$A$31</c:f>
              <c:strCache>
                <c:ptCount val="30"/>
                <c:pt idx="0">
                  <c:v>Osterburg</c:v>
                </c:pt>
                <c:pt idx="1">
                  <c:v>Pfullendorf</c:v>
                </c:pt>
                <c:pt idx="2">
                  <c:v>Lörrach</c:v>
                </c:pt>
                <c:pt idx="3">
                  <c:v>Nordhausen</c:v>
                </c:pt>
                <c:pt idx="4">
                  <c:v>Munster</c:v>
                </c:pt>
                <c:pt idx="5">
                  <c:v>Waren (Müritz)</c:v>
                </c:pt>
                <c:pt idx="6">
                  <c:v>Vechta</c:v>
                </c:pt>
                <c:pt idx="7">
                  <c:v>Leutenberg</c:v>
                </c:pt>
                <c:pt idx="8">
                  <c:v>Nauen</c:v>
                </c:pt>
                <c:pt idx="9">
                  <c:v>Bernkastel-Kues</c:v>
                </c:pt>
                <c:pt idx="10">
                  <c:v>Wemding</c:v>
                </c:pt>
                <c:pt idx="11">
                  <c:v>Geretsried</c:v>
                </c:pt>
                <c:pt idx="12">
                  <c:v>Fulda</c:v>
                </c:pt>
                <c:pt idx="13">
                  <c:v>Bad Segeberg</c:v>
                </c:pt>
                <c:pt idx="14">
                  <c:v>Herdorf</c:v>
                </c:pt>
                <c:pt idx="15">
                  <c:v>Görlitz</c:v>
                </c:pt>
                <c:pt idx="16">
                  <c:v>Murrhardt</c:v>
                </c:pt>
                <c:pt idx="17">
                  <c:v>Essen</c:v>
                </c:pt>
                <c:pt idx="18">
                  <c:v>Bremerhaven</c:v>
                </c:pt>
                <c:pt idx="19">
                  <c:v>Leipzig</c:v>
                </c:pt>
                <c:pt idx="20">
                  <c:v>Kassel</c:v>
                </c:pt>
                <c:pt idx="21">
                  <c:v>Bamberg</c:v>
                </c:pt>
                <c:pt idx="22">
                  <c:v>Karlsruhe</c:v>
                </c:pt>
                <c:pt idx="23">
                  <c:v>München</c:v>
                </c:pt>
                <c:pt idx="24">
                  <c:v>Regensburg</c:v>
                </c:pt>
                <c:pt idx="25">
                  <c:v>Rostock</c:v>
                </c:pt>
                <c:pt idx="26">
                  <c:v>Frankfurt am Main</c:v>
                </c:pt>
                <c:pt idx="27">
                  <c:v>Baden-Baden</c:v>
                </c:pt>
                <c:pt idx="28">
                  <c:v>Hannover</c:v>
                </c:pt>
                <c:pt idx="29">
                  <c:v>Flensburg</c:v>
                </c:pt>
              </c:strCache>
            </c:strRef>
          </c:cat>
          <c:val>
            <c:numRef>
              <c:f>'Area_to_Built-up'!$C$2:$C$31</c:f>
              <c:numCache>
                <c:formatCode>General</c:formatCode>
                <c:ptCount val="30"/>
                <c:pt idx="0">
                  <c:v>9221</c:v>
                </c:pt>
                <c:pt idx="1">
                  <c:v>31035</c:v>
                </c:pt>
                <c:pt idx="2">
                  <c:v>23840</c:v>
                </c:pt>
                <c:pt idx="3">
                  <c:v>58182</c:v>
                </c:pt>
                <c:pt idx="4">
                  <c:v>46368</c:v>
                </c:pt>
                <c:pt idx="5">
                  <c:v>27770</c:v>
                </c:pt>
                <c:pt idx="6">
                  <c:v>50302</c:v>
                </c:pt>
                <c:pt idx="7">
                  <c:v>8237</c:v>
                </c:pt>
                <c:pt idx="8">
                  <c:v>67529</c:v>
                </c:pt>
                <c:pt idx="9">
                  <c:v>11253</c:v>
                </c:pt>
                <c:pt idx="10">
                  <c:v>9685</c:v>
                </c:pt>
                <c:pt idx="11">
                  <c:v>15442</c:v>
                </c:pt>
                <c:pt idx="12">
                  <c:v>51323</c:v>
                </c:pt>
                <c:pt idx="13">
                  <c:v>26918</c:v>
                </c:pt>
                <c:pt idx="14">
                  <c:v>12078</c:v>
                </c:pt>
                <c:pt idx="15">
                  <c:v>60026</c:v>
                </c:pt>
                <c:pt idx="16">
                  <c:v>18961</c:v>
                </c:pt>
                <c:pt idx="17">
                  <c:v>233826</c:v>
                </c:pt>
                <c:pt idx="18">
                  <c:v>104303</c:v>
                </c:pt>
                <c:pt idx="19">
                  <c:v>254990</c:v>
                </c:pt>
                <c:pt idx="20">
                  <c:v>139560</c:v>
                </c:pt>
                <c:pt idx="21">
                  <c:v>48790</c:v>
                </c:pt>
                <c:pt idx="22">
                  <c:v>139100</c:v>
                </c:pt>
                <c:pt idx="23">
                  <c:v>444579</c:v>
                </c:pt>
                <c:pt idx="24">
                  <c:v>96766</c:v>
                </c:pt>
                <c:pt idx="25">
                  <c:v>126352</c:v>
                </c:pt>
                <c:pt idx="26">
                  <c:v>264202</c:v>
                </c:pt>
                <c:pt idx="27">
                  <c:v>89734</c:v>
                </c:pt>
                <c:pt idx="28">
                  <c:v>260250</c:v>
                </c:pt>
                <c:pt idx="29">
                  <c:v>79654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51-4667-9B7E-342EA92F5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553536"/>
        <c:axId val="700554976"/>
        <c:extLst>
          <c:ext xmlns:c15="http://schemas.microsoft.com/office/drawing/2012/chart" uri="{02D57815-91ED-43cb-92C2-25804820EDAC}">
            <c15:filteredBarSeries>
              <c15:ser>
                <c:idx val="2"/>
                <c:order val="3"/>
                <c:tx>
                  <c:strRef>
                    <c:extLst>
                      <c:ext uri="{02D57815-91ED-43cb-92C2-25804820EDAC}">
                        <c15:formulaRef>
                          <c15:sqref>'Area_to_Built-up'!$D$1</c15:sqref>
                        </c15:formulaRef>
                      </c:ext>
                    </c:extLst>
                    <c:strCache>
                      <c:ptCount val="1"/>
                      <c:pt idx="0">
                        <c:v>Percentage OSM of WC (%)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'Area_to_Built-up'!$A$2:$A$31</c15:sqref>
                        </c15:formulaRef>
                      </c:ext>
                    </c:extLst>
                    <c:strCache>
                      <c:ptCount val="30"/>
                      <c:pt idx="0">
                        <c:v>Osterburg</c:v>
                      </c:pt>
                      <c:pt idx="1">
                        <c:v>Pfullendorf</c:v>
                      </c:pt>
                      <c:pt idx="2">
                        <c:v>Lörrach</c:v>
                      </c:pt>
                      <c:pt idx="3">
                        <c:v>Nordhausen</c:v>
                      </c:pt>
                      <c:pt idx="4">
                        <c:v>Munster</c:v>
                      </c:pt>
                      <c:pt idx="5">
                        <c:v>Waren (Müritz)</c:v>
                      </c:pt>
                      <c:pt idx="6">
                        <c:v>Vechta</c:v>
                      </c:pt>
                      <c:pt idx="7">
                        <c:v>Leutenberg</c:v>
                      </c:pt>
                      <c:pt idx="8">
                        <c:v>Nauen</c:v>
                      </c:pt>
                      <c:pt idx="9">
                        <c:v>Bernkastel-Kues</c:v>
                      </c:pt>
                      <c:pt idx="10">
                        <c:v>Wemding</c:v>
                      </c:pt>
                      <c:pt idx="11">
                        <c:v>Geretsried</c:v>
                      </c:pt>
                      <c:pt idx="12">
                        <c:v>Fulda</c:v>
                      </c:pt>
                      <c:pt idx="13">
                        <c:v>Bad Segeberg</c:v>
                      </c:pt>
                      <c:pt idx="14">
                        <c:v>Herdorf</c:v>
                      </c:pt>
                      <c:pt idx="15">
                        <c:v>Görlitz</c:v>
                      </c:pt>
                      <c:pt idx="16">
                        <c:v>Murrhardt</c:v>
                      </c:pt>
                      <c:pt idx="17">
                        <c:v>Essen</c:v>
                      </c:pt>
                      <c:pt idx="18">
                        <c:v>Bremerhaven</c:v>
                      </c:pt>
                      <c:pt idx="19">
                        <c:v>Leipzig</c:v>
                      </c:pt>
                      <c:pt idx="20">
                        <c:v>Kassel</c:v>
                      </c:pt>
                      <c:pt idx="21">
                        <c:v>Bamberg</c:v>
                      </c:pt>
                      <c:pt idx="22">
                        <c:v>Karlsruhe</c:v>
                      </c:pt>
                      <c:pt idx="23">
                        <c:v>München</c:v>
                      </c:pt>
                      <c:pt idx="24">
                        <c:v>Regensburg</c:v>
                      </c:pt>
                      <c:pt idx="25">
                        <c:v>Rostock</c:v>
                      </c:pt>
                      <c:pt idx="26">
                        <c:v>Frankfurt am Main</c:v>
                      </c:pt>
                      <c:pt idx="27">
                        <c:v>Baden-Baden</c:v>
                      </c:pt>
                      <c:pt idx="28">
                        <c:v>Hannover</c:v>
                      </c:pt>
                      <c:pt idx="29">
                        <c:v>Flensburg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'Area_to_Built-up'!$D$2:$D$31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0.56393015941871816</c:v>
                      </c:pt>
                      <c:pt idx="1">
                        <c:v>5.1039149347510877</c:v>
                      </c:pt>
                      <c:pt idx="2">
                        <c:v>3.8716442953020134</c:v>
                      </c:pt>
                      <c:pt idx="3">
                        <c:v>3.6179574438829882</c:v>
                      </c:pt>
                      <c:pt idx="4">
                        <c:v>7.3261732229123533</c:v>
                      </c:pt>
                      <c:pt idx="5">
                        <c:v>16.867122794382428</c:v>
                      </c:pt>
                      <c:pt idx="6">
                        <c:v>38.765854240388052</c:v>
                      </c:pt>
                      <c:pt idx="7">
                        <c:v>23.649386912710938</c:v>
                      </c:pt>
                      <c:pt idx="8">
                        <c:v>19.58269780390647</c:v>
                      </c:pt>
                      <c:pt idx="9">
                        <c:v>43.224029147782808</c:v>
                      </c:pt>
                      <c:pt idx="10">
                        <c:v>43.727413526071246</c:v>
                      </c:pt>
                      <c:pt idx="11">
                        <c:v>13.120062168112939</c:v>
                      </c:pt>
                      <c:pt idx="12">
                        <c:v>32.583831810299472</c:v>
                      </c:pt>
                      <c:pt idx="13">
                        <c:v>1.3633999554201648</c:v>
                      </c:pt>
                      <c:pt idx="14">
                        <c:v>35.262460672296733</c:v>
                      </c:pt>
                      <c:pt idx="15">
                        <c:v>12.642854762936063</c:v>
                      </c:pt>
                      <c:pt idx="16">
                        <c:v>20.199356574020356</c:v>
                      </c:pt>
                      <c:pt idx="17">
                        <c:v>11.623600455039217</c:v>
                      </c:pt>
                      <c:pt idx="18">
                        <c:v>12.361101789977278</c:v>
                      </c:pt>
                      <c:pt idx="19">
                        <c:v>56.177104984509199</c:v>
                      </c:pt>
                      <c:pt idx="20">
                        <c:v>2.5566064775007167</c:v>
                      </c:pt>
                      <c:pt idx="21">
                        <c:v>5.9684361549497851</c:v>
                      </c:pt>
                      <c:pt idx="22">
                        <c:v>19.283968368080519</c:v>
                      </c:pt>
                      <c:pt idx="23">
                        <c:v>10.343493507340652</c:v>
                      </c:pt>
                      <c:pt idx="24">
                        <c:v>14.206436144926936</c:v>
                      </c:pt>
                      <c:pt idx="25">
                        <c:v>13.040553374699254</c:v>
                      </c:pt>
                      <c:pt idx="26">
                        <c:v>13.250845943634037</c:v>
                      </c:pt>
                      <c:pt idx="27">
                        <c:v>14.493948781955556</c:v>
                      </c:pt>
                      <c:pt idx="28">
                        <c:v>7.8424591738712772</c:v>
                      </c:pt>
                      <c:pt idx="29">
                        <c:v>4.2533959374293824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5451-4667-9B7E-342EA92F597D}"/>
                  </c:ext>
                </c:extLst>
              </c15:ser>
            </c15:filteredBarSeries>
          </c:ext>
        </c:extLst>
      </c:barChart>
      <c:catAx>
        <c:axId val="70055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aseline="0">
                    <a:solidFill>
                      <a:sysClr val="windowText" lastClr="000000"/>
                    </a:solidFill>
                  </a:rPr>
                  <a:t>Study</a:t>
                </a:r>
                <a:r>
                  <a:rPr lang="en-GB" sz="1100" baseline="0"/>
                  <a:t> 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Areas</a:t>
                </a:r>
              </a:p>
            </c:rich>
          </c:tx>
          <c:layout>
            <c:manualLayout>
              <c:xMode val="edge"/>
              <c:yMode val="edge"/>
              <c:x val="0.45083052749719416"/>
              <c:y val="0.9754621693121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554976"/>
        <c:crosses val="autoZero"/>
        <c:auto val="1"/>
        <c:lblAlgn val="ctr"/>
        <c:lblOffset val="100"/>
        <c:noMultiLvlLbl val="0"/>
      </c:catAx>
      <c:valAx>
        <c:axId val="70055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No. of Pixels Which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Changed Class to Built-up</a:t>
                </a:r>
                <a:endParaRPr lang="en-GB" sz="11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4.7502040226653931E-3"/>
              <c:y val="0.3735316137566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55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320136550692104"/>
          <c:y val="1.9024999999999997E-2"/>
          <c:w val="0.15270940890385337"/>
          <c:h val="0.10856375661375661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714375</xdr:colOff>
      <xdr:row>36</xdr:row>
      <xdr:rowOff>185736</xdr:rowOff>
    </xdr:from>
    <xdr:to>
      <xdr:col>6</xdr:col>
      <xdr:colOff>1425832</xdr:colOff>
      <xdr:row>76</xdr:row>
      <xdr:rowOff>125736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996C4B6-CA7C-E0B8-3219-61C7F106C9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2D6CD9-3AA7-489D-B98A-8D49BEF9F358}" name="Tabelle1" displayName="Tabelle1" ref="A1:CE31" totalsRowShown="0" headerRowDxfId="60" headerRowBorderDxfId="59" tableBorderDxfId="58">
  <autoFilter ref="A1:CE31" xr:uid="{F72D6CD9-3AA7-489D-B98A-8D49BEF9F358}"/>
  <tableColumns count="83">
    <tableColumn id="1" xr3:uid="{B268064B-A8DE-4A24-89CB-8CB1C5B28C37}" name="id"/>
    <tableColumn id="2" xr3:uid="{3B8B953A-E6B9-40F6-886A-31C249CF3F1D}" name="file_no"/>
    <tableColumn id="3" xr3:uid="{986D750B-B59B-4A24-81E7-4258AEC15F34}" name="feature_no"/>
    <tableColumn id="4" xr3:uid="{DCB6F308-FA87-40E1-A4F1-437704FE1973}" name="osm_id"/>
    <tableColumn id="5" xr3:uid="{4CCF9FD1-3F01-4B35-9953-6862CAA401C8}" name="boundary"/>
    <tableColumn id="6" xr3:uid="{7B6CE070-3ECE-4401-AF51-D5459A5ADF6D}" name="admin_level"/>
    <tableColumn id="7" xr3:uid="{0453E35B-ECEA-4BE9-BC87-4A1E8E742FAA}" name="parents"/>
    <tableColumn id="8" xr3:uid="{2B4FBD95-0E04-42BB-8783-D44240E722FD}" name="name"/>
    <tableColumn id="9" xr3:uid="{4AC1B512-8E6E-4A55-9240-8FE5CE2EE27F}" name="local_name"/>
    <tableColumn id="10" xr3:uid="{8DC2C046-E2DC-4849-B76D-CFD80E09862A}" name="name_en"/>
    <tableColumn id="11" xr3:uid="{F5B10A5E-34AD-485D-B94D-CD8C6FC47626}" name="all_tags"/>
    <tableColumn id="12" xr3:uid="{551FDAEF-121D-4F6B-A794-318DA118821D}" name="Population"/>
    <tableColumn id="13" xr3:uid="{AFA4C3D7-E17A-444C-A489-5D1603BBB979}" name="X-Coordinate"/>
    <tableColumn id="14" xr3:uid="{544307BE-D2B5-4386-9CA8-89DE8EED7A01}" name="Y-Coordinate"/>
    <tableColumn id="15" xr3:uid="{789FA624-9312-434F-B15D-593679D8D91D}" name="University"/>
    <tableColumn id="16" xr3:uid="{49536A98-82E5-410B-BA53-81AAD3F3588E}" name="Disposable Income"/>
    <tableColumn id="17" xr3:uid="{B6D4BAF3-261B-4809-AC9C-3F3823E2E847}" name="change_accordance"/>
    <tableColumn id="18" xr3:uid="{53A983FD-2A9E-4351-B76D-F9A844C4FE6B}" name="change_accordance_2"/>
    <tableColumn id="19" xr3:uid="{1F7083A5-44CB-41C5-8B96-BE0EBCD80DBC}" name="wc_pixel_no_to_built"/>
    <tableColumn id="20" xr3:uid="{8E654333-E000-42ED-883D-64ABD173C8F5}" name="osm_pixel_no_to_built"/>
    <tableColumn id="21" xr3:uid="{5EB0E409-5931-4FE5-9F92-51975CCDBDB9}" name="wc_change_pixel"/>
    <tableColumn id="22" xr3:uid="{05462689-16BA-4FF1-8144-2D9F17C03861}" name="matching_pixel"/>
    <tableColumn id="23" xr3:uid="{2D0BED79-924A-442E-86DC-6EFB19AA0698}" name="no_osm_data_for_change"/>
    <tableColumn id="24" xr3:uid="{EE467E9D-C5C8-49B3-BD5E-A88A504462D3}" name="other_osm_class_for_change"/>
    <tableColumn id="25" xr3:uid="{269EDC65-5D73-4C60-9B85-A1001058C74C}" name="matching_percent"/>
    <tableColumn id="26" xr3:uid="{560E3F80-9A95-4DC2-BEFC-94B09D9FABCB}" name="no_osm_data_for_change_percent"/>
    <tableColumn id="27" xr3:uid="{D9E28B97-885B-4AE5-BF3F-F02D19F8DE78}" name="other_osm_class_for_change_percent"/>
    <tableColumn id="28" xr3:uid="{921DD307-DCC1-4A95-9A56-7BD06BE21419}" name="pixel_count"/>
    <tableColumn id="29" xr3:uid="{C69773CF-A326-4741-A8D9-7530EF1571AB}" name="WC_Match_Pixel"/>
    <tableColumn id="30" xr3:uid="{C858A824-32A5-4E65-8646-BECF55D8A800}" name="WC_Match_Percent"/>
    <tableColumn id="31" xr3:uid="{7C2DE8F6-3172-4238-B9C1-73EBED1850E5}" name="WC_Match_Pixel_Agg"/>
    <tableColumn id="32" xr3:uid="{9CF30C5F-39CC-4A10-A7FE-44B57A7D6FCC}" name="WC_Match_Percent_Agg"/>
    <tableColumn id="33" xr3:uid="{F65C4E48-B792-4D32-949A-00051D27F345}" name="osm_acc_2020"/>
    <tableColumn id="34" xr3:uid="{0525184E-F626-4ACC-B001-58BA9A40BEB4}" name="osm_acc_2020_no_nan"/>
    <tableColumn id="35" xr3:uid="{85D754B2-76DC-4593-A2F7-F268D3D85A73}" name="osm_acc_agg_2020"/>
    <tableColumn id="36" xr3:uid="{C2A61B9C-C0A7-4429-AA58-F6603DC09C9D}" name="osm_acc_agg_2020_no_nan"/>
    <tableColumn id="37" xr3:uid="{DF386026-B13E-4281-8E64-ABACCC5311B2}" name="osm_nan_pixel_2020"/>
    <tableColumn id="38" xr3:uid="{0B437722-E485-4678-B84B-11AECEF5E2EF}" name="osm_completeness_2020"/>
    <tableColumn id="39" xr3:uid="{EDFBBDAE-8BA5-4462-8AA4-B5167B8DC295}" name="built-up_precision_2020"/>
    <tableColumn id="40" xr3:uid="{E350049F-F8EF-453D-86C5-3E65F827CF8F}" name="built-up_recall_2020"/>
    <tableColumn id="41" xr3:uid="{375FEDD6-47A5-4F2D-A6E8-CD53EBDA1E0A}" name="built-up_precision_2020_agg"/>
    <tableColumn id="42" xr3:uid="{2E949876-DE2E-4EC9-B0CD-748B4B1ACACB}" name="built-up_recall_2020_agg"/>
    <tableColumn id="43" xr3:uid="{FC92A3E0-B5B1-47CD-8BB6-573A564B5DE8}" name="osm_acc_2021"/>
    <tableColumn id="44" xr3:uid="{C17F20B0-A52F-4BBE-8DEF-7A43FDF42D59}" name="osm_acc_2021_no_nan"/>
    <tableColumn id="45" xr3:uid="{79A9F0C6-0C18-43EC-B4D9-390A8319F3A9}" name="osm_acc_agg_2021"/>
    <tableColumn id="46" xr3:uid="{C5460244-3A60-4509-B78C-373A59D49F97}" name="osm_acc_agg_2021_no_nan"/>
    <tableColumn id="47" xr3:uid="{BCA58AEC-EBA6-413C-877D-E23C01CAF586}" name="osm_nan_pixel_2021"/>
    <tableColumn id="48" xr3:uid="{A9665403-EA4A-4CEF-B4A2-437B49D67BDC}" name="osm_completeness_2021"/>
    <tableColumn id="49" xr3:uid="{77837228-2594-4EF9-8897-5A31EF854997}" name="built-up_precision_2021"/>
    <tableColumn id="50" xr3:uid="{C41DC92B-A9B1-4259-8D60-185FB1E6F840}" name="built-up_recall_2021"/>
    <tableColumn id="51" xr3:uid="{F69DC97B-FD38-4B01-9348-8B1642E85F9A}" name="built-up_precision_2021_agg"/>
    <tableColumn id="52" xr3:uid="{2AD85154-9EB5-4503-AA4B-7E7C9A593887}" name="built-up_recall_2021_agg"/>
    <tableColumn id="53" xr3:uid="{860AF1DF-0E89-4FCA-948F-F2693ACF5DD5}" name="OSM_Match_Pixel"/>
    <tableColumn id="54" xr3:uid="{AD0290CE-B0C3-449C-BA11-A97DA1D8A3C4}" name="OSM_Match_Percent"/>
    <tableColumn id="55" xr3:uid="{0603CE4D-6898-464E-ACEC-6A277200BBA5}" name="OSM_Match_Pixel_Agg"/>
    <tableColumn id="56" xr3:uid="{85ABA26D-655B-48C4-A429-04D6248142B8}" name="OSM_Match_Percent_Agg"/>
    <tableColumn id="57" xr3:uid="{FB4DA417-3222-4987-BCB0-5F74DF5CD7D2}" name="geometry"/>
    <tableColumn id="58" xr3:uid="{A0FF2CE5-3749-4FA2-931F-6597E981DCCA}" name="all-filter_value"/>
    <tableColumn id="59" xr3:uid="{58643254-F8B0-4AEF-8BE8-C797A5280987}" name="all-filter_class"/>
    <tableColumn id="60" xr3:uid="{61F75587-4894-4120-A38F-C94AB1FB9A4B}" name="bare_value"/>
    <tableColumn id="61" xr3:uid="{7FAA2AE1-C859-481D-9BFD-E6317A9B3FAE}" name="bare_class"/>
    <tableColumn id="62" xr3:uid="{CFC4C3E1-920A-4F4E-8E3B-4C53000CE866}" name="built-up_value"/>
    <tableColumn id="63" xr3:uid="{B26AC187-3F42-4CD1-9830-B0850DE19DDB}" name="built-up_class"/>
    <tableColumn id="64" xr3:uid="{CC3D13B2-CF07-4F54-ABBD-B80831E0E4A7}" name="cropland_value"/>
    <tableColumn id="65" xr3:uid="{D3B870D3-F83C-4CDA-98C5-1E015EC3FB76}" name="cropland_class"/>
    <tableColumn id="66" xr3:uid="{71CE5FD7-4F92-427B-BFBC-F1287F4C745C}" name="grassland_value"/>
    <tableColumn id="67" xr3:uid="{46454E99-891D-4D92-93C7-405CD39349A1}" name="grassland_class"/>
    <tableColumn id="68" xr3:uid="{1FB792E7-695C-4EC0-900B-E5F143FEF288}" name="mangroves_value"/>
    <tableColumn id="69" xr3:uid="{0318943B-AB68-48EE-8DA6-9903372DA984}" name="mangroves_class"/>
    <tableColumn id="70" xr3:uid="{17CBA942-81BE-4229-AF63-8AD14CCCDB52}" name="moss_value"/>
    <tableColumn id="71" xr3:uid="{2B076A55-96CD-4266-A4AC-6D6606406B95}" name="moss_class"/>
    <tableColumn id="72" xr3:uid="{49CA7E59-0028-4D30-839F-BA19C1DEE5E4}" name="shrubland_value"/>
    <tableColumn id="73" xr3:uid="{8D5F63A7-A771-4C8F-8CA1-26643EC404DF}" name="shrubland_class"/>
    <tableColumn id="74" xr3:uid="{E4BE9173-6885-4A17-AFEA-F128232C5B3C}" name="snow_value"/>
    <tableColumn id="75" xr3:uid="{309426D7-32A4-4014-B4A1-3290BB1A5694}" name="snow_class"/>
    <tableColumn id="76" xr3:uid="{DD55A883-3222-4A21-86EB-94BCFA7D0240}" name="tree_value"/>
    <tableColumn id="77" xr3:uid="{CBD82CF8-C0CD-48A3-94BE-B9AC0F86C2BB}" name="tree_class"/>
    <tableColumn id="78" xr3:uid="{BD4E459C-5CAB-4129-AF0A-6F1020999D1B}" name="water_value"/>
    <tableColumn id="79" xr3:uid="{F3ED100A-0637-4C27-9D4C-387EFA30439D}" name="water_class"/>
    <tableColumn id="80" xr3:uid="{AE340B98-C9A8-451D-8477-70AA1EC0ACB5}" name="wetland_value"/>
    <tableColumn id="81" xr3:uid="{0961642A-04F3-40D5-A8C3-E8D9BC305234}" name="wetland_class"/>
    <tableColumn id="82" xr3:uid="{77070AA9-0735-4DCA-818A-29319DA6CDDA}" name="garden_value"/>
    <tableColumn id="83" xr3:uid="{01C29CBE-9454-4E5D-A72B-E58A67E5C429}" name="garden_clas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26172E-F941-4327-B4BA-BC5620629002}" name="Tabelle2" displayName="Tabelle2" ref="A1:AV31" totalsRowShown="0" headerRowDxfId="57" headerRowBorderDxfId="56">
  <autoFilter ref="A1:AV31" xr:uid="{3F26172E-F941-4327-B4BA-BC5620629002}"/>
  <tableColumns count="48">
    <tableColumn id="1" xr3:uid="{02EE64CA-9565-4D90-B28D-D6880F012DF6}" name="local_name"/>
    <tableColumn id="2" xr3:uid="{8A0112CD-650B-4469-B0D8-DC27C34FB1FA}" name="change_accordance"/>
    <tableColumn id="3" xr3:uid="{51B2D83D-3FFD-4FF9-B4F0-C76B8DDD065F}" name="change_accordance_2"/>
    <tableColumn id="4" xr3:uid="{0C8B805A-32A1-4F77-B5A0-D5173B60FFAA}" name="wc_pixel_no_to_built"/>
    <tableColumn id="5" xr3:uid="{6EF0C1BF-D3FF-40ED-881A-C7A14051F1B4}" name="osm_pixel_no_to_built"/>
    <tableColumn id="6" xr3:uid="{59DA4FCC-315D-4014-9D60-7BD852DD8334}" name="percent_pixel_no_to_built" dataDxfId="55">
      <calculatedColumnFormula>Tabelle2[[#This Row],[osm_pixel_no_to_built]]/Tabelle2[[#This Row],[wc_pixel_no_to_built]]*100</calculatedColumnFormula>
    </tableColumn>
    <tableColumn id="7" xr3:uid="{BF1F365A-073D-490A-A40A-B233B536A966}" name="matching_percent"/>
    <tableColumn id="8" xr3:uid="{EF3E9C93-D6B9-4440-9204-922EAF74558D}" name="wc_change_pixel"/>
    <tableColumn id="9" xr3:uid="{D812766A-8BDA-47C1-8B3A-99C69DF8D9F5}" name="percent_to_built_match_adjusted" dataDxfId="54">
      <calculatedColumnFormula>Tabelle2[[#This Row],[osm_pixel_no_to_built]]/Tabelle2[[#This Row],[wc_change_pixel]]*100</calculatedColumnFormula>
    </tableColumn>
    <tableColumn id="10" xr3:uid="{30AF7671-2DC5-4D95-A8DA-F638B6F43A41}" name="matching_pixel"/>
    <tableColumn id="11" xr3:uid="{641530FF-EBD8-4387-A886-C0B8DD00D756}" name="no_osm_data_for_change"/>
    <tableColumn id="12" xr3:uid="{BCF3CDCD-06C5-408A-BF94-B18B240587A9}" name="other_osm_class_for_change"/>
    <tableColumn id="13" xr3:uid="{6025CDA4-7A07-41BD-9E6E-FF4A673E2EAD}" name="no_osm_data_for_change_percent"/>
    <tableColumn id="14" xr3:uid="{D70F0F5A-2A4F-4705-B25C-404C065BBE4F}" name="other_osm_class_for_change_percent"/>
    <tableColumn id="15" xr3:uid="{B9F3A095-0B4B-4B2B-A567-7914C91A9E87}" name="osm_completeness_2020"/>
    <tableColumn id="16" xr3:uid="{CCED6C17-E147-4D11-A860-96598A20374B}" name="osm_completeness_2021"/>
    <tableColumn id="17" xr3:uid="{8998E98D-3F76-4665-81FD-A6CE083BCD6B}" name="osm_acc_agg_2020_no_nan"/>
    <tableColumn id="18" xr3:uid="{0ABCABC6-8139-4B95-ABCF-3BA99B60E974}" name="osm_acc_agg_2021_no_nan"/>
    <tableColumn id="19" xr3:uid="{FFDDFA7F-D952-4AE7-84BB-21B120690F6E}" name="built-up_precision_2020_agg"/>
    <tableColumn id="20" xr3:uid="{7A320790-F57A-4665-95CF-6360149EE506}" name="built-up_precision_2021_agg"/>
    <tableColumn id="21" xr3:uid="{4F533ACB-9592-43B4-B072-74169A40517D}" name="built-up_recall_2020_agg"/>
    <tableColumn id="22" xr3:uid="{F0A305FB-F058-46D9-B0EA-79C7B92DD130}" name="built-up_recall_2021_agg"/>
    <tableColumn id="23" xr3:uid="{1DDC63C6-4CC9-4F7B-8CA0-EB4A79D6D300}" name="all-filter_value"/>
    <tableColumn id="24" xr3:uid="{7D1801D3-3B52-447F-A2B6-E6ECE42B5B8C}" name="all-filter_class"/>
    <tableColumn id="25" xr3:uid="{C1B08372-4581-45BE-98C1-EA7683719593}" name="bare_value"/>
    <tableColumn id="26" xr3:uid="{7C8CA6FB-B5FB-4C3F-A0BB-C7920F7FD609}" name="bare_class"/>
    <tableColumn id="27" xr3:uid="{264D0A68-B0B8-43D6-A30C-AB5290A6400B}" name="built-up_value"/>
    <tableColumn id="28" xr3:uid="{B47B0186-DD5B-4B92-BC88-0BFDBC9E6080}" name="built-up_class"/>
    <tableColumn id="29" xr3:uid="{1C28FA82-7FD2-4F0C-94A6-A11D95E1612C}" name="cropland_value"/>
    <tableColumn id="30" xr3:uid="{8FE1ABFA-5030-4F76-81A7-005028689D81}" name="cropland_class"/>
    <tableColumn id="31" xr3:uid="{BC38FF5B-7550-41A6-88B8-85848BB03809}" name="grassland_value"/>
    <tableColumn id="32" xr3:uid="{1B5896DE-689D-4EED-AB1D-4D7AC8095562}" name="grassland_class"/>
    <tableColumn id="33" xr3:uid="{0B01EE52-B19A-43AB-B593-B4D8AF92725F}" name="mangroves_value"/>
    <tableColumn id="34" xr3:uid="{928F27EC-E08E-472F-97EE-143823F7A2BD}" name="mangroves_class"/>
    <tableColumn id="35" xr3:uid="{C7B8B888-7EAD-4EF9-B61D-8BC097614235}" name="moss_value"/>
    <tableColumn id="36" xr3:uid="{927F8697-4614-49C4-B00B-2C4F80F2FF15}" name="moss_class"/>
    <tableColumn id="37" xr3:uid="{E0073C63-C350-449B-BE23-1C2E5503C9A0}" name="shrubland_value"/>
    <tableColumn id="38" xr3:uid="{0BBC23C7-9463-404D-B844-5E3EE0A82299}" name="shrubland_class"/>
    <tableColumn id="39" xr3:uid="{D58D61FF-2395-463A-B59F-2896025ABB56}" name="snow_value"/>
    <tableColumn id="40" xr3:uid="{6EEB1DCF-EC88-45CA-A86D-9E62275EEA96}" name="snow_class"/>
    <tableColumn id="41" xr3:uid="{FADD9CC8-52D1-45AF-AB0F-2B4B2E452D69}" name="tree_value"/>
    <tableColumn id="42" xr3:uid="{7F7B18DA-1DDC-4710-BA92-65AFD2D0E231}" name="tree_class"/>
    <tableColumn id="43" xr3:uid="{6531E03D-0573-41BF-81A1-19BC684E6B63}" name="water_value"/>
    <tableColumn id="44" xr3:uid="{F6B3B97E-CE3D-4F7D-99E6-26158890507D}" name="water_class"/>
    <tableColumn id="45" xr3:uid="{0C9395E3-931D-4BFA-A095-9E5A20BAFA00}" name="wetland_value"/>
    <tableColumn id="46" xr3:uid="{2FAD433C-206D-476F-A18C-A5CC5BE8A0DD}" name="wetland_class"/>
    <tableColumn id="47" xr3:uid="{C7F45372-1927-4F72-8CE2-94914763FA65}" name="garden_value"/>
    <tableColumn id="48" xr3:uid="{F8DA27BC-8EA5-4F09-B1AB-43FCBF03433A}" name="garden_class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F97E81-C0DD-4576-991F-4F12650D6C47}" name="Tabelle3" displayName="Tabelle3" ref="A1:D31" totalsRowShown="0" headerRowDxfId="53" headerRowBorderDxfId="52">
  <autoFilter ref="A1:D31" xr:uid="{71F97E81-C0DD-4576-991F-4F12650D6C47}"/>
  <tableColumns count="4">
    <tableColumn id="1" xr3:uid="{23D40CD5-A481-45AF-977C-A0FDE44FD1A2}" name="Study Area"/>
    <tableColumn id="2" xr3:uid="{A54A0A21-0CFB-45DB-A6E0-809A4C516738}" name="Accordance (%)" dataDxfId="51"/>
    <tableColumn id="3" xr3:uid="{4BB2D74C-95FC-492A-AF38-44B9CBD9F4D1}" name="Accordance_2  (%)" dataDxfId="50"/>
    <tableColumn id="4" xr3:uid="{4C122D84-510E-4237-B113-A25D98DC91FC}" name="Accordance_3  (%)" dataDxfId="49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03D55D-034A-4546-954B-27EB98C987D4}" name="Tabelle4" displayName="Tabelle4" ref="A1:J31" totalsRowShown="0" headerRowDxfId="48" headerRowBorderDxfId="47">
  <autoFilter ref="A1:J31" xr:uid="{4A03D55D-034A-4546-954B-27EB98C987D4}"/>
  <tableColumns count="10">
    <tableColumn id="1" xr3:uid="{2A6AB709-DDC3-4B2E-9779-9399C57AA954}" name="Study Area"/>
    <tableColumn id="2" xr3:uid="{90A09D10-4CA1-4CD2-8950-FA29EFED4918}" name="OSM Pixel"/>
    <tableColumn id="3" xr3:uid="{3BAFC428-D175-4FFB-BF87-9576832A01EC}" name="WC Pixel"/>
    <tableColumn id="4" xr3:uid="{EFE60076-8550-4FEA-9E24-439C01650BE2}" name="Percentage OSM of WC (%)"/>
    <tableColumn id="5" xr3:uid="{B8381D4B-D840-4152-8522-52AD1A606D08}" name="Adjusted WC Pixel"/>
    <tableColumn id="6" xr3:uid="{B23D4429-67CF-4426-A909-F2DF7116D16E}" name="Percentage OSM of Adjusted WC (%)">
      <calculatedColumnFormula>Tabelle2[[#This Row],[osm_pixel_no_to_built]]/Tabelle2[[#This Row],[wc_change_pixel]]*100</calculatedColumnFormula>
    </tableColumn>
    <tableColumn id="7" xr3:uid="{370CEF75-2AD6-4330-A0E5-CE98AFE0241E}" name="no_osm_data_for_change"/>
    <tableColumn id="8" xr3:uid="{F0444492-4A7C-44EF-BAEA-1BEF6345481E}" name="other_osm_class_for_change"/>
    <tableColumn id="9" xr3:uid="{229D8F9E-52E0-4E0A-91E3-1FA58B49DE57}" name="no_osm_data_for_change_percent"/>
    <tableColumn id="10" xr3:uid="{D4E457E2-7ED6-4E2A-8CE2-D90064E9AAE1}" name="other_osm_class_for_change_percent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55B342F-6C23-4950-990D-A98716B7A9BB}" name="Tabelle5" displayName="Tabelle5" ref="A1:D31" totalsRowShown="0" headerRowDxfId="44" headerRowBorderDxfId="43">
  <autoFilter ref="A1:D31" xr:uid="{B55B342F-6C23-4950-990D-A98716B7A9BB}"/>
  <tableColumns count="4">
    <tableColumn id="1" xr3:uid="{3CF2C2C4-B926-47A5-B2A5-03CF01212DD2}" name="local_name"/>
    <tableColumn id="2" xr3:uid="{BAF3B63D-318B-4CDC-835F-616B0875BFFC}" name="osm_completeness_2020" dataDxfId="42"/>
    <tableColumn id="3" xr3:uid="{D52B28C7-973A-43BE-8E09-CBE1EE7F965F}" name="osm_completeness_2021" dataDxfId="41"/>
    <tableColumn id="4" xr3:uid="{6ED489BD-0EF5-4D36-87FC-3DB7965FF91B}" name="change" dataDxfId="40">
      <calculatedColumnFormula>Tabelle5[[#This Row],[osm_completeness_2021]]-Tabelle5[[#This Row],[osm_completeness_2020]]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F0AC722-3451-4841-806C-04DB026C079C}" name="Tabelle6" displayName="Tabelle6" ref="A1:Y31" totalsRowShown="0" headerRowDxfId="39" headerRowBorderDxfId="38">
  <autoFilter ref="A1:Y31" xr:uid="{5F0AC722-3451-4841-806C-04DB026C079C}"/>
  <tableColumns count="25">
    <tableColumn id="1" xr3:uid="{D3F250F1-5469-4376-ACF7-1F76A129F6FB}" name="Study Area"/>
    <tableColumn id="2" xr3:uid="{4104246C-BFD9-4F72-92DA-B8AE89277F18}" name="all-filter_value" dataDxfId="37"/>
    <tableColumn id="3" xr3:uid="{DD384B02-2B54-4C12-8255-BDF20DC66D94}" name="bare_value" dataDxfId="36"/>
    <tableColumn id="4" xr3:uid="{1002A75B-3F5A-43F7-B9FF-8942566246FB}" name="built-up_value" dataDxfId="35"/>
    <tableColumn id="5" xr3:uid="{5AF50F4A-239B-43E8-8998-3955779EF5AC}" name="cropland_value" dataDxfId="34"/>
    <tableColumn id="6" xr3:uid="{4E0480E1-E860-450E-B7B9-F5B8DB51C33C}" name="grassland_value" dataDxfId="33"/>
    <tableColumn id="7" xr3:uid="{E106B958-9323-4C6B-B941-79092CB46EA9}" name="moss_value" dataDxfId="32"/>
    <tableColumn id="8" xr3:uid="{BFCAA719-32FE-4BC7-A7CA-340D34B6B069}" name="shrubland_value" dataDxfId="31"/>
    <tableColumn id="9" xr3:uid="{88AF7FB0-BE70-42BD-939E-83558E634465}" name="snow_value" dataDxfId="30"/>
    <tableColumn id="10" xr3:uid="{B1E7F9B4-5C4C-44EC-881B-2381F520F71F}" name="tree_value" dataDxfId="29"/>
    <tableColumn id="11" xr3:uid="{344E334C-21B1-4050-968A-4A8A6C45FC45}" name="water_value" dataDxfId="28"/>
    <tableColumn id="12" xr3:uid="{5B511D13-7BFC-45BB-AEDB-36F89590F306}" name="wetland_value" dataDxfId="27"/>
    <tableColumn id="13" xr3:uid="{E324806A-FCEE-426F-9FB4-C2FAB3824CF9}" name="garden_value" dataDxfId="26"/>
    <tableColumn id="14" xr3:uid="{516967F4-CD98-46D5-93A1-694A1037BFCB}" name="all-filter_class"/>
    <tableColumn id="15" xr3:uid="{9609C898-1A77-4AB2-8008-C28CC2E0B0BA}" name="bare_class"/>
    <tableColumn id="16" xr3:uid="{41F30892-9CE8-42E7-836D-FC5DAE145FF8}" name="built-up_class"/>
    <tableColumn id="17" xr3:uid="{ECD30BCB-D130-43F8-A57E-ACA3544C9C07}" name="cropland_class"/>
    <tableColumn id="18" xr3:uid="{959291A8-3F24-40C4-BB1F-A025B83291C8}" name="grassland_class"/>
    <tableColumn id="19" xr3:uid="{59E026B9-0B9B-43D0-AD8B-C5325ED4A7D9}" name="moss_class"/>
    <tableColumn id="20" xr3:uid="{75F60467-5FD6-4A18-8C20-5474A22A1842}" name="shrubland_class"/>
    <tableColumn id="21" xr3:uid="{F96C11AF-E3CB-46C2-9758-C77E9A714FAE}" name="snow_class"/>
    <tableColumn id="22" xr3:uid="{4CF4DB8C-4691-47CF-A9C6-8BDDB1F2E76A}" name="tree_class"/>
    <tableColumn id="23" xr3:uid="{3F22EF3A-5614-4FED-9574-B42BD9A9FC99}" name="water_class"/>
    <tableColumn id="24" xr3:uid="{0B55E64C-8210-48F0-85B9-363ED7DCF8EE}" name="wetland_class"/>
    <tableColumn id="25" xr3:uid="{D3508559-E9CD-4E48-AE64-DA2FBFEE31A1}" name="garden_class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65C9248-AD8C-4C74-A993-B99A5B91641F}" name="Tabelle7" displayName="Tabelle7" ref="A40:C52" totalsRowShown="0">
  <autoFilter ref="A40:C52" xr:uid="{665C9248-AD8C-4C74-A993-B99A5B91641F}"/>
  <tableColumns count="3">
    <tableColumn id="1" xr3:uid="{DE065EAD-923F-45BC-AA88-2DFFD8D0189B}" name="Filter"/>
    <tableColumn id="2" xr3:uid="{0659C315-9459-4D35-980D-ED4CC12D70B1}" name="Mean Value" dataDxfId="25"/>
    <tableColumn id="3" xr3:uid="{1AAC8557-87CF-4560-A6D4-95031D02DFAA}" name="Median Class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2AB0F02-CD4B-4763-A3E8-0A123632C4F7}" name="Tabelle8" displayName="Tabelle8" ref="A1:D31" totalsRowShown="0" headerRowDxfId="24" headerRowBorderDxfId="23">
  <autoFilter ref="A1:D31" xr:uid="{62AB0F02-CD4B-4763-A3E8-0A123632C4F7}"/>
  <tableColumns count="4">
    <tableColumn id="1" xr3:uid="{A40FD454-63AD-4599-9849-59BD32648B16}" name="local_name"/>
    <tableColumn id="2" xr3:uid="{33990145-4A59-438B-AC39-E4F1468868F0}" name="osm_acc_agg_2020_no_nan" dataDxfId="22"/>
    <tableColumn id="3" xr3:uid="{981BC178-73D6-48AF-AFAB-65D142DF306D}" name="osm_acc_agg_2021_no_nan" dataDxfId="21"/>
    <tableColumn id="4" xr3:uid="{1D22E79C-4A9B-4AF5-BA2E-51CF49192617}" name="change" dataDxfId="20">
      <calculatedColumnFormula>Tabelle8[[#This Row],[osm_acc_agg_2021_no_nan]]-Tabelle8[[#This Row],[osm_acc_agg_2020_no_nan]]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16C3945-CE81-4B7C-96D6-09B8C7FB5802}" name="Tabelle9" displayName="Tabelle9" ref="A1:G31" totalsRowShown="0" headerRowDxfId="19" headerRowBorderDxfId="18">
  <autoFilter ref="A1:G31" xr:uid="{516C3945-CE81-4B7C-96D6-09B8C7FB5802}"/>
  <tableColumns count="7">
    <tableColumn id="1" xr3:uid="{4CD54A80-3E8B-48AB-82F1-95A67AF3BD4D}" name="Study Area"/>
    <tableColumn id="2" xr3:uid="{288AF773-A3ED-41E4-B3F9-75B42AAE2D63}" name="OSM Built-up Precision 2020" dataDxfId="17"/>
    <tableColumn id="3" xr3:uid="{00158F21-A689-487D-8C10-FD230F1577A6}" name="OSM Built-up Precision 2021" dataDxfId="16"/>
    <tableColumn id="4" xr3:uid="{BDD02DBD-C940-422E-B402-15A411355A26}" name="Change Precision" dataDxfId="15">
      <calculatedColumnFormula>Tabelle9[[#This Row],[OSM Built-up Precision 2021]]-Tabelle9[[#This Row],[OSM Built-up Precision 2020]]</calculatedColumnFormula>
    </tableColumn>
    <tableColumn id="5" xr3:uid="{38748DEC-5B98-448E-A4EE-4FCE97AA6A06}" name="OSM Built-up Recall 2020" dataDxfId="14"/>
    <tableColumn id="6" xr3:uid="{98E3705C-64E2-4323-898F-3E58DE2F11FC}" name="OSM Built-up Recall 2021" dataDxfId="13"/>
    <tableColumn id="7" xr3:uid="{3D429F12-463A-4DED-AC20-5A17F5E5CD3F}" name="Change Recall" dataDxfId="12">
      <calculatedColumnFormula>Tabelle9[[#This Row],[OSM Built-up Recall 2021]]-Tabelle9[[#This Row],[OSM Built-up Recall 2020]]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31"/>
  <sheetViews>
    <sheetView workbookViewId="0">
      <selection activeCell="BC49" sqref="BC48:BC49"/>
    </sheetView>
  </sheetViews>
  <sheetFormatPr baseColWidth="10" defaultColWidth="9.140625" defaultRowHeight="15" x14ac:dyDescent="0.25"/>
  <cols>
    <col min="2" max="2" width="9.42578125" customWidth="1"/>
    <col min="3" max="3" width="13" customWidth="1"/>
    <col min="4" max="4" width="9.5703125" customWidth="1"/>
    <col min="5" max="5" width="11.5703125" customWidth="1"/>
    <col min="6" max="6" width="14.140625" customWidth="1"/>
    <col min="7" max="7" width="9.85546875" customWidth="1"/>
    <col min="9" max="9" width="13.28515625" customWidth="1"/>
    <col min="10" max="10" width="11.42578125" customWidth="1"/>
    <col min="11" max="11" width="9.85546875" customWidth="1"/>
    <col min="12" max="12" width="12.85546875" customWidth="1"/>
    <col min="13" max="14" width="14.85546875" customWidth="1"/>
    <col min="15" max="15" width="12.28515625" customWidth="1"/>
    <col min="16" max="16" width="19.85546875" customWidth="1"/>
    <col min="17" max="17" width="20.28515625" customWidth="1"/>
    <col min="18" max="19" width="22.28515625" customWidth="1"/>
    <col min="20" max="20" width="23.5703125" customWidth="1"/>
    <col min="21" max="21" width="28.7109375" customWidth="1"/>
    <col min="22" max="22" width="25.28515625" customWidth="1"/>
    <col min="23" max="23" width="25.85546875" customWidth="1"/>
    <col min="24" max="24" width="28.7109375" customWidth="1"/>
    <col min="25" max="25" width="19.140625" customWidth="1"/>
    <col min="26" max="26" width="33.7109375" customWidth="1"/>
    <col min="27" max="27" width="36.5703125" customWidth="1"/>
    <col min="28" max="28" width="13.5703125" customWidth="1"/>
    <col min="29" max="29" width="18.28515625" customWidth="1"/>
    <col min="30" max="30" width="20.7109375" customWidth="1"/>
    <col min="31" max="31" width="22.5703125" customWidth="1"/>
    <col min="32" max="32" width="25" customWidth="1"/>
    <col min="33" max="33" width="15.5703125" customWidth="1"/>
    <col min="34" max="34" width="28.140625" customWidth="1"/>
    <col min="35" max="35" width="25.5703125" customWidth="1"/>
    <col min="36" max="36" width="27.140625" customWidth="1"/>
    <col min="37" max="37" width="26.28515625" customWidth="1"/>
    <col min="38" max="38" width="29.28515625" customWidth="1"/>
    <col min="39" max="39" width="27.42578125" customWidth="1"/>
    <col min="40" max="40" width="21.140625" customWidth="1"/>
    <col min="41" max="41" width="31.7109375" customWidth="1"/>
    <col min="42" max="42" width="29" customWidth="1"/>
    <col min="43" max="43" width="16.42578125" customWidth="1"/>
    <col min="44" max="44" width="23.140625" customWidth="1"/>
    <col min="45" max="45" width="19.5703125" customWidth="1"/>
    <col min="46" max="46" width="32.140625" customWidth="1"/>
    <col min="47" max="47" width="21.5703125" customWidth="1"/>
    <col min="48" max="48" width="31" customWidth="1"/>
    <col min="49" max="49" width="24.42578125" customWidth="1"/>
    <col min="50" max="50" width="21.140625" customWidth="1"/>
    <col min="51" max="51" width="28.42578125" customWidth="1"/>
    <col min="52" max="52" width="29" customWidth="1"/>
    <col min="53" max="53" width="19.42578125" customWidth="1"/>
    <col min="54" max="54" width="21.85546875" customWidth="1"/>
    <col min="55" max="55" width="23.7109375" customWidth="1"/>
    <col min="56" max="56" width="26.140625" customWidth="1"/>
    <col min="57" max="57" width="11.7109375" customWidth="1"/>
    <col min="58" max="58" width="16.28515625" customWidth="1"/>
    <col min="59" max="59" width="15.5703125" customWidth="1"/>
    <col min="60" max="60" width="13" customWidth="1"/>
    <col min="61" max="61" width="12.28515625" customWidth="1"/>
    <col min="62" max="62" width="16.140625" customWidth="1"/>
    <col min="63" max="63" width="15.42578125" customWidth="1"/>
    <col min="64" max="64" width="16.7109375" customWidth="1"/>
    <col min="65" max="65" width="16" customWidth="1"/>
    <col min="66" max="66" width="17.28515625" customWidth="1"/>
    <col min="67" max="67" width="16.5703125" customWidth="1"/>
    <col min="68" max="68" width="18.7109375" customWidth="1"/>
    <col min="69" max="69" width="18" customWidth="1"/>
    <col min="70" max="70" width="13.5703125" customWidth="1"/>
    <col min="71" max="71" width="12.85546875" customWidth="1"/>
    <col min="72" max="72" width="17.85546875" customWidth="1"/>
    <col min="73" max="73" width="17.140625" customWidth="1"/>
    <col min="74" max="74" width="13.7109375" customWidth="1"/>
    <col min="75" max="75" width="13" customWidth="1"/>
    <col min="76" max="76" width="12.7109375" customWidth="1"/>
    <col min="77" max="77" width="12" customWidth="1"/>
    <col min="78" max="78" width="14.140625" customWidth="1"/>
    <col min="79" max="79" width="13.42578125" customWidth="1"/>
    <col min="80" max="80" width="16.28515625" customWidth="1"/>
    <col min="81" max="81" width="15.5703125" customWidth="1"/>
    <col min="82" max="82" width="15.140625" customWidth="1"/>
    <col min="83" max="83" width="14.42578125" customWidth="1"/>
  </cols>
  <sheetData>
    <row r="1" spans="1:8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</row>
    <row r="2" spans="1:83" x14ac:dyDescent="0.25">
      <c r="A2" t="s">
        <v>83</v>
      </c>
      <c r="B2">
        <v>0</v>
      </c>
      <c r="C2">
        <v>0</v>
      </c>
      <c r="D2">
        <v>-2843649</v>
      </c>
      <c r="E2" t="s">
        <v>84</v>
      </c>
      <c r="F2">
        <v>9</v>
      </c>
      <c r="G2" t="s">
        <v>85</v>
      </c>
      <c r="H2" t="s">
        <v>86</v>
      </c>
      <c r="I2" t="s">
        <v>86</v>
      </c>
      <c r="L2">
        <v>9500</v>
      </c>
      <c r="M2">
        <v>11.746</v>
      </c>
      <c r="N2">
        <v>52.8</v>
      </c>
      <c r="O2" t="b">
        <v>0</v>
      </c>
      <c r="P2">
        <v>20583</v>
      </c>
      <c r="Q2">
        <v>2.168962151610454E-2</v>
      </c>
      <c r="R2">
        <v>91.812167877670532</v>
      </c>
      <c r="S2">
        <v>9221</v>
      </c>
      <c r="T2">
        <v>52</v>
      </c>
      <c r="U2">
        <v>757</v>
      </c>
      <c r="V2">
        <v>2</v>
      </c>
      <c r="W2">
        <v>178</v>
      </c>
      <c r="X2">
        <v>577</v>
      </c>
      <c r="Y2">
        <v>0.26420079260237778</v>
      </c>
      <c r="Z2">
        <v>23.51387054161162</v>
      </c>
      <c r="AA2">
        <v>76.221928665785995</v>
      </c>
      <c r="AB2">
        <v>1443364</v>
      </c>
      <c r="AC2">
        <v>1335128</v>
      </c>
      <c r="AD2">
        <v>92.501129306259543</v>
      </c>
      <c r="AE2">
        <v>1426934</v>
      </c>
      <c r="AF2">
        <v>98.861687003417018</v>
      </c>
      <c r="AG2">
        <v>82.24501927441726</v>
      </c>
      <c r="AH2">
        <v>83.000866999482596</v>
      </c>
      <c r="AI2">
        <v>93.09093201714883</v>
      </c>
      <c r="AJ2">
        <v>93.946455790018319</v>
      </c>
      <c r="AK2">
        <v>13144</v>
      </c>
      <c r="AL2">
        <v>99.08934960273362</v>
      </c>
      <c r="AM2">
        <v>0.3632355579859361</v>
      </c>
      <c r="AN2">
        <v>0.94028134123683982</v>
      </c>
      <c r="AO2">
        <v>0.3632355579859361</v>
      </c>
      <c r="AP2">
        <v>0.94028134123683982</v>
      </c>
      <c r="AQ2">
        <v>81.645724848340407</v>
      </c>
      <c r="AR2">
        <v>82.394451871283863</v>
      </c>
      <c r="AS2">
        <v>93.81216380621936</v>
      </c>
      <c r="AT2">
        <v>94.672462398129554</v>
      </c>
      <c r="AU2">
        <v>13116</v>
      </c>
      <c r="AV2">
        <v>99.091289515326693</v>
      </c>
      <c r="AW2">
        <v>0.41980350277659118</v>
      </c>
      <c r="AX2">
        <v>0.94618065584503108</v>
      </c>
      <c r="AY2">
        <v>0.41980350277659118</v>
      </c>
      <c r="AZ2">
        <v>0.94618065584503108</v>
      </c>
      <c r="BA2">
        <v>1443245</v>
      </c>
      <c r="BB2">
        <v>99.991755371479414</v>
      </c>
      <c r="BC2">
        <v>1443245</v>
      </c>
      <c r="BD2">
        <v>99.991755371479414</v>
      </c>
      <c r="BE2" t="s">
        <v>87</v>
      </c>
      <c r="BF2">
        <v>0.9999738265142637</v>
      </c>
      <c r="BG2">
        <v>5</v>
      </c>
      <c r="BH2">
        <v>0.99999999938154904</v>
      </c>
      <c r="BI2">
        <v>5</v>
      </c>
      <c r="BJ2">
        <v>0.99992828960532709</v>
      </c>
      <c r="BK2">
        <v>5</v>
      </c>
      <c r="BL2">
        <v>1</v>
      </c>
      <c r="BM2">
        <v>5</v>
      </c>
      <c r="BN2">
        <v>1</v>
      </c>
      <c r="BO2">
        <v>5</v>
      </c>
      <c r="BT2">
        <v>1</v>
      </c>
      <c r="BU2">
        <v>5</v>
      </c>
      <c r="BX2">
        <v>0.99909746632478114</v>
      </c>
      <c r="BY2">
        <v>5</v>
      </c>
      <c r="BZ2">
        <v>0.99890113677173165</v>
      </c>
      <c r="CA2">
        <v>5</v>
      </c>
      <c r="CB2">
        <v>0.99370559164359518</v>
      </c>
      <c r="CC2">
        <v>5</v>
      </c>
      <c r="CD2">
        <v>1</v>
      </c>
      <c r="CE2">
        <v>5</v>
      </c>
    </row>
    <row r="3" spans="1:83" x14ac:dyDescent="0.25">
      <c r="A3" t="s">
        <v>88</v>
      </c>
      <c r="B3">
        <v>0</v>
      </c>
      <c r="C3">
        <v>1</v>
      </c>
      <c r="D3">
        <v>-2806037</v>
      </c>
      <c r="E3" t="s">
        <v>84</v>
      </c>
      <c r="F3">
        <v>8</v>
      </c>
      <c r="G3" t="s">
        <v>89</v>
      </c>
      <c r="H3" t="s">
        <v>90</v>
      </c>
      <c r="I3" t="s">
        <v>90</v>
      </c>
      <c r="L3">
        <v>13501</v>
      </c>
      <c r="M3">
        <v>9.2579999999999991</v>
      </c>
      <c r="N3">
        <v>47.918999999999997</v>
      </c>
      <c r="O3" t="b">
        <v>0</v>
      </c>
      <c r="P3">
        <v>23831</v>
      </c>
      <c r="Q3">
        <v>1.037538263251168</v>
      </c>
      <c r="R3">
        <v>78.008699855002419</v>
      </c>
      <c r="S3">
        <v>31035</v>
      </c>
      <c r="T3">
        <v>1584</v>
      </c>
      <c r="U3">
        <v>7135</v>
      </c>
      <c r="V3">
        <v>322</v>
      </c>
      <c r="W3">
        <v>6395</v>
      </c>
      <c r="X3">
        <v>418</v>
      </c>
      <c r="Y3">
        <v>4.512964260686755</v>
      </c>
      <c r="Z3">
        <v>89.62859145059565</v>
      </c>
      <c r="AA3">
        <v>5.8584442887175898</v>
      </c>
      <c r="AB3">
        <v>3365652</v>
      </c>
      <c r="AC3">
        <v>3078285</v>
      </c>
      <c r="AD3">
        <v>91.461773231457087</v>
      </c>
      <c r="AE3">
        <v>3305651</v>
      </c>
      <c r="AF3">
        <v>98.217254784511283</v>
      </c>
      <c r="AG3">
        <v>40.736000038031257</v>
      </c>
      <c r="AH3">
        <v>84.100216165021507</v>
      </c>
      <c r="AI3">
        <v>42.853479801239111</v>
      </c>
      <c r="AJ3">
        <v>88.47179181419132</v>
      </c>
      <c r="AK3">
        <v>1735416</v>
      </c>
      <c r="AL3">
        <v>48.43744986112646</v>
      </c>
      <c r="AM3">
        <v>0.36356659899044458</v>
      </c>
      <c r="AN3">
        <v>0.86119445130775474</v>
      </c>
      <c r="AO3">
        <v>0.36356659899044458</v>
      </c>
      <c r="AP3">
        <v>0.86119445130775474</v>
      </c>
      <c r="AQ3">
        <v>41.539975018213411</v>
      </c>
      <c r="AR3">
        <v>85.561908701961002</v>
      </c>
      <c r="AS3">
        <v>43.316985832165663</v>
      </c>
      <c r="AT3">
        <v>89.222104379958282</v>
      </c>
      <c r="AU3">
        <v>1731641</v>
      </c>
      <c r="AV3">
        <v>48.549612378225667</v>
      </c>
      <c r="AW3">
        <v>0.4378253990017083</v>
      </c>
      <c r="AX3">
        <v>0.8552319184666165</v>
      </c>
      <c r="AY3">
        <v>0.4378253990017083</v>
      </c>
      <c r="AZ3">
        <v>0.8552319184666165</v>
      </c>
      <c r="BA3">
        <v>3361076</v>
      </c>
      <c r="BB3">
        <v>99.864038230928216</v>
      </c>
      <c r="BC3">
        <v>3361076</v>
      </c>
      <c r="BD3">
        <v>99.864038230928216</v>
      </c>
      <c r="BE3" t="s">
        <v>91</v>
      </c>
      <c r="BF3">
        <v>0.98289789610436529</v>
      </c>
      <c r="BG3">
        <v>5</v>
      </c>
      <c r="BH3">
        <v>0.77722540777802263</v>
      </c>
      <c r="BI3">
        <v>3</v>
      </c>
      <c r="BJ3">
        <v>0.99454093334307136</v>
      </c>
      <c r="BK3">
        <v>5</v>
      </c>
      <c r="BL3">
        <v>0.48552984106357461</v>
      </c>
      <c r="BM3">
        <v>3</v>
      </c>
      <c r="BN3">
        <v>0.62194893747681057</v>
      </c>
      <c r="BO3">
        <v>3</v>
      </c>
      <c r="BT3">
        <v>0.62551185133071885</v>
      </c>
      <c r="BU3">
        <v>3</v>
      </c>
      <c r="BX3">
        <v>0.82129127823790737</v>
      </c>
      <c r="BY3">
        <v>3</v>
      </c>
      <c r="BZ3">
        <v>0.99999996576260597</v>
      </c>
      <c r="CA3">
        <v>5</v>
      </c>
      <c r="CB3">
        <v>0.55658357610317422</v>
      </c>
      <c r="CC3">
        <v>3</v>
      </c>
      <c r="CD3">
        <v>0.99841093610906106</v>
      </c>
      <c r="CE3">
        <v>5</v>
      </c>
    </row>
    <row r="4" spans="1:83" x14ac:dyDescent="0.25">
      <c r="A4" t="s">
        <v>92</v>
      </c>
      <c r="B4">
        <v>0</v>
      </c>
      <c r="C4">
        <v>2</v>
      </c>
      <c r="D4">
        <v>-2787952</v>
      </c>
      <c r="E4" t="s">
        <v>84</v>
      </c>
      <c r="F4">
        <v>8</v>
      </c>
      <c r="G4" t="s">
        <v>93</v>
      </c>
      <c r="H4" t="s">
        <v>94</v>
      </c>
      <c r="I4" t="s">
        <v>94</v>
      </c>
      <c r="L4">
        <v>49318</v>
      </c>
      <c r="M4">
        <v>7.6840000000000002</v>
      </c>
      <c r="N4">
        <v>47.628</v>
      </c>
      <c r="O4" t="b">
        <v>0</v>
      </c>
      <c r="P4">
        <v>25706</v>
      </c>
      <c r="Q4">
        <v>0.15939597315436241</v>
      </c>
      <c r="R4">
        <v>83.636744966442961</v>
      </c>
      <c r="S4">
        <v>23840</v>
      </c>
      <c r="T4">
        <v>923</v>
      </c>
      <c r="U4">
        <v>3932</v>
      </c>
      <c r="V4">
        <v>38</v>
      </c>
      <c r="W4">
        <v>2633</v>
      </c>
      <c r="X4">
        <v>1261</v>
      </c>
      <c r="Y4">
        <v>0.9664292980671414</v>
      </c>
      <c r="Z4">
        <v>66.963377416073243</v>
      </c>
      <c r="AA4">
        <v>32.070193285859617</v>
      </c>
      <c r="AB4">
        <v>1177969</v>
      </c>
      <c r="AC4">
        <v>1087772</v>
      </c>
      <c r="AD4">
        <v>92.343007328715771</v>
      </c>
      <c r="AE4">
        <v>1142394</v>
      </c>
      <c r="AF4">
        <v>96.979971459350793</v>
      </c>
      <c r="AG4">
        <v>64.770040637741744</v>
      </c>
      <c r="AH4">
        <v>74.048901307405842</v>
      </c>
      <c r="AI4">
        <v>75.414123801220583</v>
      </c>
      <c r="AJ4">
        <v>86.217840155052443</v>
      </c>
      <c r="AK4">
        <v>147608</v>
      </c>
      <c r="AL4">
        <v>87.46927975184407</v>
      </c>
      <c r="AM4">
        <v>0.4633041389734352</v>
      </c>
      <c r="AN4">
        <v>0.92436898417813029</v>
      </c>
      <c r="AO4">
        <v>0.4633041389734352</v>
      </c>
      <c r="AP4">
        <v>0.92436898417813029</v>
      </c>
      <c r="AQ4">
        <v>65.770066954223751</v>
      </c>
      <c r="AR4">
        <v>75.243454386355097</v>
      </c>
      <c r="AS4">
        <v>76.836656991822366</v>
      </c>
      <c r="AT4">
        <v>87.904053672138062</v>
      </c>
      <c r="AU4">
        <v>148310</v>
      </c>
      <c r="AV4">
        <v>87.409685653866958</v>
      </c>
      <c r="AW4">
        <v>0.52872283171186085</v>
      </c>
      <c r="AX4">
        <v>0.91314233417464485</v>
      </c>
      <c r="AY4">
        <v>0.52872283171186085</v>
      </c>
      <c r="AZ4">
        <v>0.91314233417464485</v>
      </c>
      <c r="BA4">
        <v>1172339</v>
      </c>
      <c r="BB4">
        <v>99.52205872989866</v>
      </c>
      <c r="BC4">
        <v>1173983</v>
      </c>
      <c r="BD4">
        <v>99.661620976443359</v>
      </c>
      <c r="BE4" t="s">
        <v>95</v>
      </c>
      <c r="BF4">
        <v>0.89957354405433243</v>
      </c>
      <c r="BG4">
        <v>3</v>
      </c>
      <c r="BH4">
        <v>0.89300387543857496</v>
      </c>
      <c r="BI4">
        <v>3</v>
      </c>
      <c r="BJ4">
        <v>0.90204580507559018</v>
      </c>
      <c r="BK4">
        <v>3</v>
      </c>
      <c r="BL4">
        <v>1</v>
      </c>
      <c r="BM4">
        <v>5</v>
      </c>
      <c r="BN4">
        <v>0.85322549344413157</v>
      </c>
      <c r="BO4">
        <v>3</v>
      </c>
      <c r="BT4">
        <v>0.89113599726794612</v>
      </c>
      <c r="BU4">
        <v>3</v>
      </c>
      <c r="BX4">
        <v>0.97871166039259572</v>
      </c>
      <c r="BY4">
        <v>5</v>
      </c>
      <c r="BZ4">
        <v>0.81143259734224726</v>
      </c>
      <c r="CA4">
        <v>3</v>
      </c>
      <c r="CB4">
        <v>1</v>
      </c>
      <c r="CC4">
        <v>5</v>
      </c>
      <c r="CD4">
        <v>0.99910822763438611</v>
      </c>
      <c r="CE4">
        <v>5</v>
      </c>
    </row>
    <row r="5" spans="1:83" x14ac:dyDescent="0.25">
      <c r="A5" t="s">
        <v>96</v>
      </c>
      <c r="B5">
        <v>0</v>
      </c>
      <c r="C5">
        <v>3</v>
      </c>
      <c r="D5">
        <v>-2400430</v>
      </c>
      <c r="E5" t="s">
        <v>84</v>
      </c>
      <c r="F5">
        <v>8</v>
      </c>
      <c r="G5" t="s">
        <v>97</v>
      </c>
      <c r="H5" t="s">
        <v>98</v>
      </c>
      <c r="I5" t="s">
        <v>98</v>
      </c>
      <c r="L5">
        <v>40563</v>
      </c>
      <c r="M5">
        <v>10.811</v>
      </c>
      <c r="N5">
        <v>51.51</v>
      </c>
      <c r="O5" t="b">
        <v>0</v>
      </c>
      <c r="P5">
        <v>20092</v>
      </c>
      <c r="Q5">
        <v>0.25781169433845519</v>
      </c>
      <c r="R5">
        <v>84.888797222508686</v>
      </c>
      <c r="S5">
        <v>58182</v>
      </c>
      <c r="T5">
        <v>2105</v>
      </c>
      <c r="U5">
        <v>8813</v>
      </c>
      <c r="V5">
        <v>150</v>
      </c>
      <c r="W5">
        <v>654</v>
      </c>
      <c r="X5">
        <v>8009</v>
      </c>
      <c r="Y5">
        <v>1.702031090434585</v>
      </c>
      <c r="Z5">
        <v>7.4208555542947918</v>
      </c>
      <c r="AA5">
        <v>90.877113355270623</v>
      </c>
      <c r="AB5">
        <v>4509466</v>
      </c>
      <c r="AC5">
        <v>4195025</v>
      </c>
      <c r="AD5">
        <v>93.027090125527053</v>
      </c>
      <c r="AE5">
        <v>4406930</v>
      </c>
      <c r="AF5">
        <v>97.726205275746608</v>
      </c>
      <c r="AG5">
        <v>79.50511213522843</v>
      </c>
      <c r="AH5">
        <v>80.160604893226321</v>
      </c>
      <c r="AI5">
        <v>89.575506279457485</v>
      </c>
      <c r="AJ5">
        <v>90.314026030996359</v>
      </c>
      <c r="AK5">
        <v>36875</v>
      </c>
      <c r="AL5">
        <v>99.182275684083208</v>
      </c>
      <c r="AM5">
        <v>0.46286336446636578</v>
      </c>
      <c r="AN5">
        <v>0.88862865093906029</v>
      </c>
      <c r="AO5">
        <v>0.46286336446636578</v>
      </c>
      <c r="AP5">
        <v>0.88862865093906029</v>
      </c>
      <c r="AQ5">
        <v>80.526452577755322</v>
      </c>
      <c r="AR5">
        <v>81.213208678485813</v>
      </c>
      <c r="AS5">
        <v>91.002881494172485</v>
      </c>
      <c r="AT5">
        <v>91.778984030042039</v>
      </c>
      <c r="AU5">
        <v>38133</v>
      </c>
      <c r="AV5">
        <v>99.154378811149698</v>
      </c>
      <c r="AW5">
        <v>0.53091576524098172</v>
      </c>
      <c r="AX5">
        <v>0.89833623417281594</v>
      </c>
      <c r="AY5">
        <v>0.53091576524098172</v>
      </c>
      <c r="AZ5">
        <v>0.89833623417281594</v>
      </c>
      <c r="BA5">
        <v>4476733</v>
      </c>
      <c r="BB5">
        <v>99.274126914361929</v>
      </c>
      <c r="BC5">
        <v>4484074</v>
      </c>
      <c r="BD5">
        <v>99.436917808006527</v>
      </c>
      <c r="BE5" t="s">
        <v>99</v>
      </c>
      <c r="BF5">
        <v>0.87783755272876085</v>
      </c>
      <c r="BG5">
        <v>3</v>
      </c>
      <c r="BH5">
        <v>0.70163244103756206</v>
      </c>
      <c r="BI5">
        <v>3</v>
      </c>
      <c r="BJ5">
        <v>0.80610761775109696</v>
      </c>
      <c r="BK5">
        <v>3</v>
      </c>
      <c r="BL5">
        <v>1</v>
      </c>
      <c r="BM5">
        <v>5</v>
      </c>
      <c r="BN5">
        <v>0.99999999999982814</v>
      </c>
      <c r="BO5">
        <v>5</v>
      </c>
      <c r="BT5">
        <v>0.98150090466104767</v>
      </c>
      <c r="BU5">
        <v>5</v>
      </c>
      <c r="BX5">
        <v>0.99320420561577893</v>
      </c>
      <c r="BY5">
        <v>5</v>
      </c>
      <c r="BZ5">
        <v>0.75455443858319116</v>
      </c>
      <c r="CA5">
        <v>3</v>
      </c>
      <c r="CB5">
        <v>0.81049152639968558</v>
      </c>
      <c r="CC5">
        <v>3</v>
      </c>
      <c r="CD5">
        <v>1</v>
      </c>
      <c r="CE5">
        <v>5</v>
      </c>
    </row>
    <row r="6" spans="1:83" x14ac:dyDescent="0.25">
      <c r="A6" t="s">
        <v>100</v>
      </c>
      <c r="B6">
        <v>0</v>
      </c>
      <c r="C6">
        <v>4</v>
      </c>
      <c r="D6">
        <v>-1809014</v>
      </c>
      <c r="E6" t="s">
        <v>84</v>
      </c>
      <c r="F6">
        <v>8</v>
      </c>
      <c r="G6" t="s">
        <v>101</v>
      </c>
      <c r="H6" t="s">
        <v>102</v>
      </c>
      <c r="I6" t="s">
        <v>102</v>
      </c>
      <c r="L6">
        <v>15059</v>
      </c>
      <c r="M6">
        <v>10.116</v>
      </c>
      <c r="N6">
        <v>52.991999999999997</v>
      </c>
      <c r="O6" t="b">
        <v>0</v>
      </c>
      <c r="P6">
        <v>22003</v>
      </c>
      <c r="Q6">
        <v>0.38604209799861983</v>
      </c>
      <c r="R6">
        <v>54.080400276052451</v>
      </c>
      <c r="S6">
        <v>46368</v>
      </c>
      <c r="T6">
        <v>3397</v>
      </c>
      <c r="U6">
        <v>21341</v>
      </c>
      <c r="V6">
        <v>179</v>
      </c>
      <c r="W6">
        <v>6038</v>
      </c>
      <c r="X6">
        <v>15124</v>
      </c>
      <c r="Y6">
        <v>0.83876107024038227</v>
      </c>
      <c r="Z6">
        <v>28.292957218499598</v>
      </c>
      <c r="AA6">
        <v>70.868281711260011</v>
      </c>
      <c r="AB6">
        <v>7140525</v>
      </c>
      <c r="AC6">
        <v>6742623</v>
      </c>
      <c r="AD6">
        <v>94.427552595922577</v>
      </c>
      <c r="AE6">
        <v>7022397</v>
      </c>
      <c r="AF6">
        <v>98.345667860556475</v>
      </c>
      <c r="AG6">
        <v>75.626904184216144</v>
      </c>
      <c r="AH6">
        <v>78.019940735475345</v>
      </c>
      <c r="AI6">
        <v>90.885992276478262</v>
      </c>
      <c r="AJ6">
        <v>93.761866991451299</v>
      </c>
      <c r="AK6">
        <v>219015</v>
      </c>
      <c r="AL6">
        <v>96.932788555463361</v>
      </c>
      <c r="AM6">
        <v>0.23983977545172799</v>
      </c>
      <c r="AN6">
        <v>0.4911314343875825</v>
      </c>
      <c r="AO6">
        <v>0.23983977545172799</v>
      </c>
      <c r="AP6">
        <v>0.4911314343875825</v>
      </c>
      <c r="AQ6">
        <v>75.480416355940221</v>
      </c>
      <c r="AR6">
        <v>77.989178720697439</v>
      </c>
      <c r="AS6">
        <v>91.362763942427208</v>
      </c>
      <c r="AT6">
        <v>94.399412053085385</v>
      </c>
      <c r="AU6">
        <v>229697</v>
      </c>
      <c r="AV6">
        <v>96.783191712093995</v>
      </c>
      <c r="AW6">
        <v>0.28086161407012539</v>
      </c>
      <c r="AX6">
        <v>0.55190573524107245</v>
      </c>
      <c r="AY6">
        <v>0.28086161407012539</v>
      </c>
      <c r="AZ6">
        <v>0.55190573524107245</v>
      </c>
      <c r="BA6">
        <v>7076448</v>
      </c>
      <c r="BB6">
        <v>99.102629008371238</v>
      </c>
      <c r="BC6">
        <v>7115852</v>
      </c>
      <c r="BD6">
        <v>99.654465182882205</v>
      </c>
      <c r="BE6" t="s">
        <v>103</v>
      </c>
      <c r="BF6">
        <v>0.98205128274491826</v>
      </c>
      <c r="BG6">
        <v>5</v>
      </c>
      <c r="BH6">
        <v>0.91553537677702679</v>
      </c>
      <c r="BI6">
        <v>3</v>
      </c>
      <c r="BJ6">
        <v>0.98446715113267214</v>
      </c>
      <c r="BK6">
        <v>5</v>
      </c>
      <c r="BL6">
        <v>0.99999999999999978</v>
      </c>
      <c r="BM6">
        <v>5</v>
      </c>
      <c r="BN6">
        <v>0.99999967757831143</v>
      </c>
      <c r="BO6">
        <v>5</v>
      </c>
      <c r="BT6">
        <v>0.9603907457976788</v>
      </c>
      <c r="BU6">
        <v>3</v>
      </c>
      <c r="BX6">
        <v>0.91973144084391822</v>
      </c>
      <c r="BY6">
        <v>3</v>
      </c>
      <c r="BZ6">
        <v>0.98534002668452891</v>
      </c>
      <c r="CA6">
        <v>5</v>
      </c>
      <c r="CB6">
        <v>0.99915818680915414</v>
      </c>
      <c r="CC6">
        <v>5</v>
      </c>
      <c r="CD6">
        <v>0.89891114837748931</v>
      </c>
      <c r="CE6">
        <v>3</v>
      </c>
    </row>
    <row r="7" spans="1:83" x14ac:dyDescent="0.25">
      <c r="A7" t="s">
        <v>104</v>
      </c>
      <c r="B7">
        <v>0</v>
      </c>
      <c r="C7">
        <v>5</v>
      </c>
      <c r="D7">
        <v>-1424311</v>
      </c>
      <c r="E7" t="s">
        <v>84</v>
      </c>
      <c r="F7">
        <v>8</v>
      </c>
      <c r="G7" t="s">
        <v>105</v>
      </c>
      <c r="H7" t="s">
        <v>106</v>
      </c>
      <c r="I7" t="s">
        <v>106</v>
      </c>
      <c r="L7">
        <v>21116</v>
      </c>
      <c r="M7">
        <v>12.692</v>
      </c>
      <c r="N7">
        <v>53.481999999999999</v>
      </c>
      <c r="O7" t="b">
        <v>0</v>
      </c>
      <c r="P7">
        <v>21261</v>
      </c>
      <c r="Q7">
        <v>1.24954987396471</v>
      </c>
      <c r="R7">
        <v>81.080302484695707</v>
      </c>
      <c r="S7">
        <v>27770</v>
      </c>
      <c r="T7">
        <v>4684</v>
      </c>
      <c r="U7">
        <v>5411</v>
      </c>
      <c r="V7">
        <v>347</v>
      </c>
      <c r="W7">
        <v>1648</v>
      </c>
      <c r="X7">
        <v>3416</v>
      </c>
      <c r="Y7">
        <v>6.4128626871188326</v>
      </c>
      <c r="Z7">
        <v>30.45647754574016</v>
      </c>
      <c r="AA7">
        <v>63.130659767140997</v>
      </c>
      <c r="AB7">
        <v>5842675</v>
      </c>
      <c r="AC7">
        <v>5432190</v>
      </c>
      <c r="AD7">
        <v>92.974365337794765</v>
      </c>
      <c r="AE7">
        <v>5720002</v>
      </c>
      <c r="AF7">
        <v>97.900396650506821</v>
      </c>
      <c r="AG7">
        <v>68.813719743097124</v>
      </c>
      <c r="AH7">
        <v>88.742041095064977</v>
      </c>
      <c r="AI7">
        <v>73.368414296533686</v>
      </c>
      <c r="AJ7">
        <v>94.615766461830702</v>
      </c>
      <c r="AK7">
        <v>1312058</v>
      </c>
      <c r="AL7">
        <v>77.543539560218562</v>
      </c>
      <c r="AM7">
        <v>0.40644925632333428</v>
      </c>
      <c r="AN7">
        <v>0.88892937730375188</v>
      </c>
      <c r="AO7">
        <v>0.40644925632333428</v>
      </c>
      <c r="AP7">
        <v>0.88892937730375188</v>
      </c>
      <c r="AQ7">
        <v>69.831917743157035</v>
      </c>
      <c r="AR7">
        <v>87.973373731571641</v>
      </c>
      <c r="AS7">
        <v>75.727453606438829</v>
      </c>
      <c r="AT7">
        <v>95.400495835764431</v>
      </c>
      <c r="AU7">
        <v>1204849</v>
      </c>
      <c r="AV7">
        <v>79.378469622219271</v>
      </c>
      <c r="AW7">
        <v>0.45578122756354011</v>
      </c>
      <c r="AX7">
        <v>0.89254581924752074</v>
      </c>
      <c r="AY7">
        <v>0.45578122756354011</v>
      </c>
      <c r="AZ7">
        <v>0.89254581924752074</v>
      </c>
      <c r="BA7">
        <v>5709533</v>
      </c>
      <c r="BB7">
        <v>97.721215025651773</v>
      </c>
      <c r="BC7">
        <v>5721717</v>
      </c>
      <c r="BD7">
        <v>97.929749643784731</v>
      </c>
      <c r="BE7" t="s">
        <v>107</v>
      </c>
      <c r="BF7">
        <v>0.87062910216801626</v>
      </c>
      <c r="BG7">
        <v>3</v>
      </c>
      <c r="BH7">
        <v>0.87911400160408792</v>
      </c>
      <c r="BI7">
        <v>3</v>
      </c>
      <c r="BJ7">
        <v>0.90518585873050283</v>
      </c>
      <c r="BK7">
        <v>3</v>
      </c>
      <c r="BL7">
        <v>0.74622156140932316</v>
      </c>
      <c r="BM7">
        <v>3</v>
      </c>
      <c r="BN7">
        <v>0.57461265785512017</v>
      </c>
      <c r="BO7">
        <v>3</v>
      </c>
      <c r="BR7">
        <v>0.99999999999690092</v>
      </c>
      <c r="BS7">
        <v>5</v>
      </c>
      <c r="BT7">
        <v>0.75319498997903911</v>
      </c>
      <c r="BU7">
        <v>3</v>
      </c>
      <c r="BX7">
        <v>0.69814711396923201</v>
      </c>
      <c r="BY7">
        <v>3</v>
      </c>
      <c r="BZ7">
        <v>0.95462464885709031</v>
      </c>
      <c r="CA7">
        <v>3</v>
      </c>
      <c r="CB7">
        <v>0.69627300176195661</v>
      </c>
      <c r="CC7">
        <v>3</v>
      </c>
      <c r="CD7">
        <v>0.91945979134695199</v>
      </c>
      <c r="CE7">
        <v>3</v>
      </c>
    </row>
    <row r="8" spans="1:83" x14ac:dyDescent="0.25">
      <c r="A8" t="s">
        <v>108</v>
      </c>
      <c r="B8">
        <v>0</v>
      </c>
      <c r="C8">
        <v>6</v>
      </c>
      <c r="D8">
        <v>-1336408</v>
      </c>
      <c r="E8" t="s">
        <v>84</v>
      </c>
      <c r="F8">
        <v>8</v>
      </c>
      <c r="G8" t="s">
        <v>109</v>
      </c>
      <c r="H8" t="s">
        <v>110</v>
      </c>
      <c r="I8" t="s">
        <v>110</v>
      </c>
      <c r="L8">
        <v>33309</v>
      </c>
      <c r="M8">
        <v>8.2850000000000001</v>
      </c>
      <c r="N8">
        <v>52.741</v>
      </c>
      <c r="O8" t="b">
        <v>1</v>
      </c>
      <c r="P8">
        <v>23468</v>
      </c>
      <c r="Q8">
        <v>1.6957576239513339</v>
      </c>
      <c r="R8">
        <v>89.610751063576004</v>
      </c>
      <c r="S8">
        <v>50302</v>
      </c>
      <c r="T8">
        <v>19500</v>
      </c>
      <c r="U8">
        <v>5485</v>
      </c>
      <c r="V8">
        <v>853</v>
      </c>
      <c r="W8">
        <v>3486</v>
      </c>
      <c r="X8">
        <v>1146</v>
      </c>
      <c r="Y8">
        <v>15.551504102096629</v>
      </c>
      <c r="Z8">
        <v>63.555150410209663</v>
      </c>
      <c r="AA8">
        <v>20.893345487693711</v>
      </c>
      <c r="AB8">
        <v>3103552</v>
      </c>
      <c r="AC8">
        <v>2679301</v>
      </c>
      <c r="AD8">
        <v>86.330146876868824</v>
      </c>
      <c r="AE8">
        <v>3019187</v>
      </c>
      <c r="AF8">
        <v>97.281663075083003</v>
      </c>
      <c r="AG8">
        <v>28.60474063266863</v>
      </c>
      <c r="AH8">
        <v>65.807018324141609</v>
      </c>
      <c r="AI8">
        <v>32.509621233992533</v>
      </c>
      <c r="AJ8">
        <v>74.790443574690144</v>
      </c>
      <c r="AK8">
        <v>1754512</v>
      </c>
      <c r="AL8">
        <v>43.467613882416018</v>
      </c>
      <c r="AM8">
        <v>0.36727709384699692</v>
      </c>
      <c r="AN8">
        <v>0.93477199148083434</v>
      </c>
      <c r="AO8">
        <v>0.36727709384699692</v>
      </c>
      <c r="AP8">
        <v>0.93477199148083434</v>
      </c>
      <c r="AQ8">
        <v>39.320398047140827</v>
      </c>
      <c r="AR8">
        <v>68.3348377877129</v>
      </c>
      <c r="AS8">
        <v>47.583671870166818</v>
      </c>
      <c r="AT8">
        <v>82.695564136794104</v>
      </c>
      <c r="AU8">
        <v>1317744</v>
      </c>
      <c r="AV8">
        <v>57.540779081516916</v>
      </c>
      <c r="AW8">
        <v>0.45204373288561089</v>
      </c>
      <c r="AX8">
        <v>0.93652351433386749</v>
      </c>
      <c r="AY8">
        <v>0.45204373288561089</v>
      </c>
      <c r="AZ8">
        <v>0.93652351433386749</v>
      </c>
      <c r="BA8">
        <v>2614895</v>
      </c>
      <c r="BB8">
        <v>84.254911791392573</v>
      </c>
      <c r="BC8">
        <v>2626473</v>
      </c>
      <c r="BD8">
        <v>84.627968211906861</v>
      </c>
      <c r="BE8" t="s">
        <v>111</v>
      </c>
      <c r="BF8">
        <v>0.76450123884148358</v>
      </c>
      <c r="BG8">
        <v>3</v>
      </c>
      <c r="BH8">
        <v>0.86704383361248849</v>
      </c>
      <c r="BI8">
        <v>3</v>
      </c>
      <c r="BJ8">
        <v>0.8111071687182998</v>
      </c>
      <c r="BK8">
        <v>3</v>
      </c>
      <c r="BL8">
        <v>9.1073483438915234E-2</v>
      </c>
      <c r="BM8">
        <v>1</v>
      </c>
      <c r="BN8">
        <v>0.35338059746499217</v>
      </c>
      <c r="BO8">
        <v>3</v>
      </c>
      <c r="BT8">
        <v>0.7423216209753053</v>
      </c>
      <c r="BU8">
        <v>3</v>
      </c>
      <c r="BX8">
        <v>0.7839929392054239</v>
      </c>
      <c r="BY8">
        <v>3</v>
      </c>
      <c r="BZ8">
        <v>0.73109261931927327</v>
      </c>
      <c r="CA8">
        <v>3</v>
      </c>
      <c r="CB8">
        <v>0.91249646839463439</v>
      </c>
      <c r="CC8">
        <v>3</v>
      </c>
      <c r="CD8">
        <v>0.32871072628742343</v>
      </c>
      <c r="CE8">
        <v>3</v>
      </c>
    </row>
    <row r="9" spans="1:83" x14ac:dyDescent="0.25">
      <c r="A9" t="s">
        <v>112</v>
      </c>
      <c r="B9">
        <v>0</v>
      </c>
      <c r="C9">
        <v>7</v>
      </c>
      <c r="D9">
        <v>-1273355</v>
      </c>
      <c r="E9" t="s">
        <v>84</v>
      </c>
      <c r="F9">
        <v>8</v>
      </c>
      <c r="G9" t="s">
        <v>113</v>
      </c>
      <c r="H9" t="s">
        <v>114</v>
      </c>
      <c r="I9" t="s">
        <v>114</v>
      </c>
      <c r="L9">
        <v>2030</v>
      </c>
      <c r="M9">
        <v>11.474</v>
      </c>
      <c r="N9">
        <v>50.564999999999998</v>
      </c>
      <c r="O9" t="b">
        <v>0</v>
      </c>
      <c r="P9">
        <v>21290</v>
      </c>
      <c r="Q9">
        <v>0.83768362267815955</v>
      </c>
      <c r="R9">
        <v>80.963943183197756</v>
      </c>
      <c r="S9">
        <v>8237</v>
      </c>
      <c r="T9">
        <v>1948</v>
      </c>
      <c r="U9">
        <v>1630</v>
      </c>
      <c r="V9">
        <v>69</v>
      </c>
      <c r="W9">
        <v>1155</v>
      </c>
      <c r="X9">
        <v>406</v>
      </c>
      <c r="Y9">
        <v>4.2331288343558278</v>
      </c>
      <c r="Z9">
        <v>70.858895705521476</v>
      </c>
      <c r="AA9">
        <v>24.907975460122699</v>
      </c>
      <c r="AB9">
        <v>1986460</v>
      </c>
      <c r="AC9">
        <v>1833119</v>
      </c>
      <c r="AD9">
        <v>92.280690273149219</v>
      </c>
      <c r="AE9">
        <v>1968938</v>
      </c>
      <c r="AF9">
        <v>99.117928375099424</v>
      </c>
      <c r="AG9">
        <v>68.824441468743387</v>
      </c>
      <c r="AH9">
        <v>87.932832043447689</v>
      </c>
      <c r="AI9">
        <v>73.636720598451518</v>
      </c>
      <c r="AJ9">
        <v>94.081190438059437</v>
      </c>
      <c r="AK9">
        <v>431671</v>
      </c>
      <c r="AL9">
        <v>78.269333387030201</v>
      </c>
      <c r="AM9">
        <v>0.18660066884159501</v>
      </c>
      <c r="AN9">
        <v>0.85333458048826116</v>
      </c>
      <c r="AO9">
        <v>0.18660066884159501</v>
      </c>
      <c r="AP9">
        <v>0.85333458048826116</v>
      </c>
      <c r="AQ9">
        <v>69.604270914088374</v>
      </c>
      <c r="AR9">
        <v>88.681401779065666</v>
      </c>
      <c r="AS9">
        <v>74.215992267652013</v>
      </c>
      <c r="AT9">
        <v>94.557103210566382</v>
      </c>
      <c r="AU9">
        <v>427327</v>
      </c>
      <c r="AV9">
        <v>78.488013853790164</v>
      </c>
      <c r="AW9">
        <v>0.2459842995169082</v>
      </c>
      <c r="AX9">
        <v>0.85323791237563273</v>
      </c>
      <c r="AY9">
        <v>0.2459842995169082</v>
      </c>
      <c r="AZ9">
        <v>0.85323791237563273</v>
      </c>
      <c r="BA9">
        <v>1979581</v>
      </c>
      <c r="BB9">
        <v>99.653705586822795</v>
      </c>
      <c r="BC9">
        <v>1979773</v>
      </c>
      <c r="BD9">
        <v>99.66337102181771</v>
      </c>
      <c r="BE9" t="s">
        <v>115</v>
      </c>
      <c r="BF9">
        <v>0.82848376128122581</v>
      </c>
      <c r="BG9">
        <v>3</v>
      </c>
      <c r="BH9">
        <v>0.83073724267711502</v>
      </c>
      <c r="BI9">
        <v>3</v>
      </c>
      <c r="BJ9">
        <v>0.82702571662471036</v>
      </c>
      <c r="BK9">
        <v>3</v>
      </c>
      <c r="BL9">
        <v>0.83065678973380752</v>
      </c>
      <c r="BM9">
        <v>3</v>
      </c>
      <c r="BN9">
        <v>0.67374083255714867</v>
      </c>
      <c r="BO9">
        <v>3</v>
      </c>
      <c r="BT9">
        <v>0.83455386244066032</v>
      </c>
      <c r="BU9">
        <v>3</v>
      </c>
      <c r="BX9">
        <v>0.98890758625720177</v>
      </c>
      <c r="BY9">
        <v>5</v>
      </c>
      <c r="BZ9">
        <v>0.85242652382234307</v>
      </c>
      <c r="CA9">
        <v>3</v>
      </c>
    </row>
    <row r="10" spans="1:83" x14ac:dyDescent="0.25">
      <c r="A10" t="s">
        <v>116</v>
      </c>
      <c r="B10">
        <v>0</v>
      </c>
      <c r="C10">
        <v>8</v>
      </c>
      <c r="D10">
        <v>-1262688</v>
      </c>
      <c r="E10" t="s">
        <v>84</v>
      </c>
      <c r="F10">
        <v>8</v>
      </c>
      <c r="G10" t="s">
        <v>117</v>
      </c>
      <c r="H10" t="s">
        <v>118</v>
      </c>
      <c r="I10" t="s">
        <v>118</v>
      </c>
      <c r="L10">
        <v>18854</v>
      </c>
      <c r="M10">
        <v>12.827999999999999</v>
      </c>
      <c r="N10">
        <v>52.618000000000002</v>
      </c>
      <c r="O10" t="b">
        <v>0</v>
      </c>
      <c r="P10">
        <v>22437</v>
      </c>
      <c r="Q10">
        <v>1.7355506523123401</v>
      </c>
      <c r="R10">
        <v>83.684046853944224</v>
      </c>
      <c r="S10">
        <v>67529</v>
      </c>
      <c r="T10">
        <v>13224</v>
      </c>
      <c r="U10">
        <v>12051</v>
      </c>
      <c r="V10">
        <v>1172</v>
      </c>
      <c r="W10">
        <v>6106</v>
      </c>
      <c r="X10">
        <v>4773</v>
      </c>
      <c r="Y10">
        <v>9.725333997178657</v>
      </c>
      <c r="Z10">
        <v>50.667994357314747</v>
      </c>
      <c r="AA10">
        <v>39.606671645506587</v>
      </c>
      <c r="AB10">
        <v>11658460</v>
      </c>
      <c r="AC10">
        <v>10655438</v>
      </c>
      <c r="AD10">
        <v>91.396616705808484</v>
      </c>
      <c r="AE10">
        <v>11482177</v>
      </c>
      <c r="AF10">
        <v>98.487939230395781</v>
      </c>
      <c r="AG10">
        <v>74.128212474031727</v>
      </c>
      <c r="AH10">
        <v>77.2235297523697</v>
      </c>
      <c r="AI10">
        <v>89.563441483695101</v>
      </c>
      <c r="AJ10">
        <v>93.303276273708562</v>
      </c>
      <c r="AK10">
        <v>467301</v>
      </c>
      <c r="AL10">
        <v>95.991743334882997</v>
      </c>
      <c r="AM10">
        <v>0.28842834411915191</v>
      </c>
      <c r="AN10">
        <v>0.85678257674449676</v>
      </c>
      <c r="AO10">
        <v>0.28842834411915191</v>
      </c>
      <c r="AP10">
        <v>0.85678257674449676</v>
      </c>
      <c r="AQ10">
        <v>74.081045009375174</v>
      </c>
      <c r="AR10">
        <v>77.114712557880395</v>
      </c>
      <c r="AS10">
        <v>90.156958980860253</v>
      </c>
      <c r="AT10">
        <v>93.848945786628718</v>
      </c>
      <c r="AU10">
        <v>458640</v>
      </c>
      <c r="AV10">
        <v>96.066032735026752</v>
      </c>
      <c r="AW10">
        <v>0.33329392278134401</v>
      </c>
      <c r="AX10">
        <v>0.87094893744771762</v>
      </c>
      <c r="AY10">
        <v>0.33329392278134401</v>
      </c>
      <c r="AZ10">
        <v>0.87094893744771762</v>
      </c>
      <c r="BA10">
        <v>11600024</v>
      </c>
      <c r="BB10">
        <v>99.498767418681368</v>
      </c>
      <c r="BC10">
        <v>11615275</v>
      </c>
      <c r="BD10">
        <v>99.629582294745617</v>
      </c>
      <c r="BE10" t="s">
        <v>119</v>
      </c>
      <c r="BF10">
        <v>0.72684254022469641</v>
      </c>
      <c r="BG10">
        <v>3</v>
      </c>
      <c r="BH10">
        <v>0.82529730625077247</v>
      </c>
      <c r="BI10">
        <v>3</v>
      </c>
      <c r="BJ10">
        <v>0.72028525846772118</v>
      </c>
      <c r="BK10">
        <v>3</v>
      </c>
      <c r="BL10">
        <v>0.95945193895271275</v>
      </c>
      <c r="BM10">
        <v>3</v>
      </c>
      <c r="BN10">
        <v>0.8983453146453908</v>
      </c>
      <c r="BO10">
        <v>3</v>
      </c>
      <c r="BR10">
        <v>0.98901226957152633</v>
      </c>
      <c r="BS10">
        <v>5</v>
      </c>
      <c r="BT10">
        <v>0.80613551383497528</v>
      </c>
      <c r="BU10">
        <v>3</v>
      </c>
      <c r="BX10">
        <v>0.83967957942565297</v>
      </c>
      <c r="BY10">
        <v>3</v>
      </c>
      <c r="BZ10">
        <v>0.92894019797716443</v>
      </c>
      <c r="CA10">
        <v>3</v>
      </c>
      <c r="CB10">
        <v>0.89092027898015147</v>
      </c>
      <c r="CC10">
        <v>3</v>
      </c>
      <c r="CD10">
        <v>0.99371785336283358</v>
      </c>
      <c r="CE10">
        <v>5</v>
      </c>
    </row>
    <row r="11" spans="1:83" x14ac:dyDescent="0.25">
      <c r="A11" t="s">
        <v>120</v>
      </c>
      <c r="B11">
        <v>0</v>
      </c>
      <c r="C11">
        <v>9</v>
      </c>
      <c r="D11">
        <v>-1258355</v>
      </c>
      <c r="E11" t="s">
        <v>84</v>
      </c>
      <c r="F11">
        <v>8</v>
      </c>
      <c r="G11" t="s">
        <v>121</v>
      </c>
      <c r="H11" t="s">
        <v>122</v>
      </c>
      <c r="I11" t="s">
        <v>122</v>
      </c>
      <c r="L11">
        <v>7114</v>
      </c>
      <c r="M11">
        <v>7.0510000000000002</v>
      </c>
      <c r="N11">
        <v>49.923000000000002</v>
      </c>
      <c r="O11" t="b">
        <v>0</v>
      </c>
      <c r="P11">
        <v>22967</v>
      </c>
      <c r="Q11">
        <v>1.6973251577357149</v>
      </c>
      <c r="R11">
        <v>79.063360881542692</v>
      </c>
      <c r="S11">
        <v>11253</v>
      </c>
      <c r="T11">
        <v>4864</v>
      </c>
      <c r="U11">
        <v>2541</v>
      </c>
      <c r="V11">
        <v>191</v>
      </c>
      <c r="W11">
        <v>1741</v>
      </c>
      <c r="X11">
        <v>609</v>
      </c>
      <c r="Y11">
        <v>7.5167256985438797</v>
      </c>
      <c r="Z11">
        <v>68.516332152695796</v>
      </c>
      <c r="AA11">
        <v>23.966942148760332</v>
      </c>
      <c r="AB11">
        <v>1236852</v>
      </c>
      <c r="AC11">
        <v>1110880</v>
      </c>
      <c r="AD11">
        <v>89.815111266343919</v>
      </c>
      <c r="AE11">
        <v>1206092</v>
      </c>
      <c r="AF11">
        <v>97.513041172266369</v>
      </c>
      <c r="AG11">
        <v>62.713242974907267</v>
      </c>
      <c r="AH11">
        <v>73.750696460932588</v>
      </c>
      <c r="AI11">
        <v>75.414762639345696</v>
      </c>
      <c r="AJ11">
        <v>88.687667935033744</v>
      </c>
      <c r="AK11">
        <v>185106</v>
      </c>
      <c r="AL11">
        <v>85.034102705901759</v>
      </c>
      <c r="AM11">
        <v>0.35413143047616702</v>
      </c>
      <c r="AN11">
        <v>0.86583157259281618</v>
      </c>
      <c r="AO11">
        <v>0.35413143047616702</v>
      </c>
      <c r="AP11">
        <v>0.86583157259281618</v>
      </c>
      <c r="AQ11">
        <v>63.402411929640728</v>
      </c>
      <c r="AR11">
        <v>73.334187440325508</v>
      </c>
      <c r="AS11">
        <v>77.624889639180765</v>
      </c>
      <c r="AT11">
        <v>89.78456865570729</v>
      </c>
      <c r="AU11">
        <v>167509</v>
      </c>
      <c r="AV11">
        <v>86.456827494316215</v>
      </c>
      <c r="AW11">
        <v>0.38082914086687308</v>
      </c>
      <c r="AX11">
        <v>0.87407880310327124</v>
      </c>
      <c r="AY11">
        <v>0.38082914086687308</v>
      </c>
      <c r="AZ11">
        <v>0.87407880310327124</v>
      </c>
      <c r="BA11">
        <v>1205354</v>
      </c>
      <c r="BB11">
        <v>97.453373564500851</v>
      </c>
      <c r="BC11">
        <v>1212112</v>
      </c>
      <c r="BD11">
        <v>97.999760682765597</v>
      </c>
      <c r="BE11" t="s">
        <v>123</v>
      </c>
      <c r="BF11">
        <v>0.86861424190288239</v>
      </c>
      <c r="BG11">
        <v>3</v>
      </c>
      <c r="BH11">
        <v>0.89897469228042837</v>
      </c>
      <c r="BI11">
        <v>3</v>
      </c>
      <c r="BJ11">
        <v>0.9127509759385134</v>
      </c>
      <c r="BK11">
        <v>3</v>
      </c>
      <c r="BL11">
        <v>0.87224755725565428</v>
      </c>
      <c r="BM11">
        <v>3</v>
      </c>
      <c r="BN11">
        <v>0.68088223899377731</v>
      </c>
      <c r="BO11">
        <v>3</v>
      </c>
      <c r="BT11">
        <v>0.75376666924306424</v>
      </c>
      <c r="BU11">
        <v>3</v>
      </c>
      <c r="BX11">
        <v>0.69891223093108901</v>
      </c>
      <c r="BY11">
        <v>3</v>
      </c>
      <c r="BZ11">
        <v>0.83540581318801266</v>
      </c>
      <c r="CA11">
        <v>3</v>
      </c>
      <c r="CB11">
        <v>0.83777821419873222</v>
      </c>
      <c r="CC11">
        <v>3</v>
      </c>
      <c r="CD11">
        <v>0.9987571675319562</v>
      </c>
      <c r="CE11">
        <v>5</v>
      </c>
    </row>
    <row r="12" spans="1:83" x14ac:dyDescent="0.25">
      <c r="A12" t="s">
        <v>124</v>
      </c>
      <c r="B12">
        <v>0</v>
      </c>
      <c r="C12">
        <v>10</v>
      </c>
      <c r="D12">
        <v>-962647</v>
      </c>
      <c r="E12" t="s">
        <v>84</v>
      </c>
      <c r="F12">
        <v>8</v>
      </c>
      <c r="G12" t="s">
        <v>125</v>
      </c>
      <c r="H12" t="s">
        <v>126</v>
      </c>
      <c r="I12" t="s">
        <v>126</v>
      </c>
      <c r="L12">
        <v>5771</v>
      </c>
      <c r="M12">
        <v>10.709</v>
      </c>
      <c r="N12">
        <v>48.878</v>
      </c>
      <c r="O12" t="b">
        <v>0</v>
      </c>
      <c r="P12">
        <v>25647</v>
      </c>
      <c r="Q12">
        <v>4.4605059370160047</v>
      </c>
      <c r="R12">
        <v>86.391326794011363</v>
      </c>
      <c r="S12">
        <v>9685</v>
      </c>
      <c r="T12">
        <v>4235</v>
      </c>
      <c r="U12">
        <v>1711</v>
      </c>
      <c r="V12">
        <v>432</v>
      </c>
      <c r="W12">
        <v>678</v>
      </c>
      <c r="X12">
        <v>601</v>
      </c>
      <c r="Y12">
        <v>25.248392752776159</v>
      </c>
      <c r="Z12">
        <v>39.625949736995913</v>
      </c>
      <c r="AA12">
        <v>35.125657510227938</v>
      </c>
      <c r="AB12">
        <v>967836</v>
      </c>
      <c r="AC12">
        <v>878901</v>
      </c>
      <c r="AD12">
        <v>90.810943176323264</v>
      </c>
      <c r="AE12">
        <v>952080</v>
      </c>
      <c r="AF12">
        <v>98.372038237883274</v>
      </c>
      <c r="AG12">
        <v>56.633768531032111</v>
      </c>
      <c r="AH12">
        <v>75.164694718249976</v>
      </c>
      <c r="AI12">
        <v>69.133096929645106</v>
      </c>
      <c r="AJ12">
        <v>91.75388218773827</v>
      </c>
      <c r="AK12">
        <v>238608</v>
      </c>
      <c r="AL12">
        <v>75.34623634582718</v>
      </c>
      <c r="AM12">
        <v>0.44004752228995259</v>
      </c>
      <c r="AN12">
        <v>0.88414947016174006</v>
      </c>
      <c r="AO12">
        <v>0.44004752228995259</v>
      </c>
      <c r="AP12">
        <v>0.88414947016174006</v>
      </c>
      <c r="AQ12">
        <v>59.163742617550909</v>
      </c>
      <c r="AR12">
        <v>78.273255416581236</v>
      </c>
      <c r="AS12">
        <v>70.254051306213043</v>
      </c>
      <c r="AT12">
        <v>92.945663317613295</v>
      </c>
      <c r="AU12">
        <v>236286</v>
      </c>
      <c r="AV12">
        <v>75.586153025925881</v>
      </c>
      <c r="AW12">
        <v>0.52858992633537538</v>
      </c>
      <c r="AX12">
        <v>0.91843911292609604</v>
      </c>
      <c r="AY12">
        <v>0.52858992633537538</v>
      </c>
      <c r="AZ12">
        <v>0.91843911292609604</v>
      </c>
      <c r="BA12">
        <v>957717</v>
      </c>
      <c r="BB12">
        <v>98.954471625358025</v>
      </c>
      <c r="BC12">
        <v>959857</v>
      </c>
      <c r="BD12">
        <v>99.175583466620381</v>
      </c>
      <c r="BE12" t="s">
        <v>127</v>
      </c>
      <c r="BF12">
        <v>0.95986278810653303</v>
      </c>
      <c r="BG12">
        <v>3</v>
      </c>
      <c r="BH12">
        <v>0.99574772049701865</v>
      </c>
      <c r="BI12">
        <v>5</v>
      </c>
      <c r="BJ12">
        <v>0.96327767932919295</v>
      </c>
      <c r="BK12">
        <v>3</v>
      </c>
      <c r="BL12">
        <v>1</v>
      </c>
      <c r="BM12">
        <v>5</v>
      </c>
      <c r="BN12">
        <v>0.86620903095653823</v>
      </c>
      <c r="BO12">
        <v>3</v>
      </c>
      <c r="BT12">
        <v>1</v>
      </c>
      <c r="BU12">
        <v>5</v>
      </c>
      <c r="BX12">
        <v>0.87260566080155688</v>
      </c>
      <c r="BY12">
        <v>3</v>
      </c>
      <c r="BZ12">
        <v>0.9015227183225778</v>
      </c>
      <c r="CA12">
        <v>3</v>
      </c>
      <c r="CB12">
        <v>0.78699889608090523</v>
      </c>
      <c r="CC12">
        <v>3</v>
      </c>
      <c r="CD12">
        <v>0.99764373289864527</v>
      </c>
      <c r="CE12">
        <v>5</v>
      </c>
    </row>
    <row r="13" spans="1:83" x14ac:dyDescent="0.25">
      <c r="A13" t="s">
        <v>128</v>
      </c>
      <c r="B13">
        <v>0</v>
      </c>
      <c r="C13">
        <v>11</v>
      </c>
      <c r="D13">
        <v>-935148</v>
      </c>
      <c r="E13" t="s">
        <v>84</v>
      </c>
      <c r="F13">
        <v>8</v>
      </c>
      <c r="G13" t="s">
        <v>129</v>
      </c>
      <c r="H13" t="s">
        <v>130</v>
      </c>
      <c r="I13" t="s">
        <v>130</v>
      </c>
      <c r="L13">
        <v>25221</v>
      </c>
      <c r="M13">
        <v>11.454000000000001</v>
      </c>
      <c r="N13">
        <v>47.871000000000002</v>
      </c>
      <c r="O13" t="b">
        <v>0</v>
      </c>
      <c r="P13">
        <v>27287</v>
      </c>
      <c r="Q13">
        <v>1.800284937184303</v>
      </c>
      <c r="R13">
        <v>87.398005439709877</v>
      </c>
      <c r="S13">
        <v>15442</v>
      </c>
      <c r="T13">
        <v>2026</v>
      </c>
      <c r="U13">
        <v>2194</v>
      </c>
      <c r="V13">
        <v>278</v>
      </c>
      <c r="W13">
        <v>1393</v>
      </c>
      <c r="X13">
        <v>523</v>
      </c>
      <c r="Y13">
        <v>12.670920692798539</v>
      </c>
      <c r="Z13">
        <v>63.491340018231547</v>
      </c>
      <c r="AA13">
        <v>23.837739288969921</v>
      </c>
      <c r="AB13">
        <v>888792</v>
      </c>
      <c r="AC13">
        <v>825406</v>
      </c>
      <c r="AD13">
        <v>92.868297644443246</v>
      </c>
      <c r="AE13">
        <v>862472</v>
      </c>
      <c r="AF13">
        <v>97.03867721581652</v>
      </c>
      <c r="AG13">
        <v>54.644056202126038</v>
      </c>
      <c r="AH13">
        <v>81.275447107668981</v>
      </c>
      <c r="AI13">
        <v>58.707886659645901</v>
      </c>
      <c r="AJ13">
        <v>87.319830712410237</v>
      </c>
      <c r="AK13">
        <v>291229</v>
      </c>
      <c r="AL13">
        <v>67.23316591508474</v>
      </c>
      <c r="AM13">
        <v>0.54938434050333107</v>
      </c>
      <c r="AN13">
        <v>0.9543803084622603</v>
      </c>
      <c r="AO13">
        <v>0.54938434050333107</v>
      </c>
      <c r="AP13">
        <v>0.9543803084622603</v>
      </c>
      <c r="AQ13">
        <v>56.918604127849939</v>
      </c>
      <c r="AR13">
        <v>83.214570050597771</v>
      </c>
      <c r="AS13">
        <v>60.851132773472308</v>
      </c>
      <c r="AT13">
        <v>88.963897277985041</v>
      </c>
      <c r="AU13">
        <v>280860</v>
      </c>
      <c r="AV13">
        <v>68.399805578808099</v>
      </c>
      <c r="AW13">
        <v>0.62265849401481521</v>
      </c>
      <c r="AX13">
        <v>0.94525406578274795</v>
      </c>
      <c r="AY13">
        <v>0.62265849401481521</v>
      </c>
      <c r="AZ13">
        <v>0.94525406578274795</v>
      </c>
      <c r="BA13">
        <v>869992</v>
      </c>
      <c r="BB13">
        <v>97.884769439868947</v>
      </c>
      <c r="BC13">
        <v>870489</v>
      </c>
      <c r="BD13">
        <v>97.940688034995816</v>
      </c>
      <c r="BE13" t="s">
        <v>131</v>
      </c>
      <c r="BF13">
        <v>0.94395238951892624</v>
      </c>
      <c r="BG13">
        <v>3</v>
      </c>
      <c r="BH13">
        <v>0.77248497670001903</v>
      </c>
      <c r="BI13">
        <v>3</v>
      </c>
      <c r="BJ13">
        <v>0.97367674419407779</v>
      </c>
      <c r="BK13">
        <v>5</v>
      </c>
      <c r="BL13">
        <v>0.75225393424666631</v>
      </c>
      <c r="BM13">
        <v>3</v>
      </c>
      <c r="BN13">
        <v>0.59726827799086224</v>
      </c>
      <c r="BO13">
        <v>3</v>
      </c>
      <c r="BT13">
        <v>0.64843764992459052</v>
      </c>
      <c r="BU13">
        <v>3</v>
      </c>
      <c r="BV13">
        <v>1</v>
      </c>
      <c r="BW13">
        <v>5</v>
      </c>
      <c r="BX13">
        <v>0.7917744994655187</v>
      </c>
      <c r="BY13">
        <v>3</v>
      </c>
      <c r="BZ13">
        <v>0.88427653892873237</v>
      </c>
      <c r="CA13">
        <v>3</v>
      </c>
      <c r="CB13">
        <v>0.79705971626054661</v>
      </c>
      <c r="CC13">
        <v>3</v>
      </c>
    </row>
    <row r="14" spans="1:83" x14ac:dyDescent="0.25">
      <c r="A14" t="s">
        <v>132</v>
      </c>
      <c r="B14">
        <v>0</v>
      </c>
      <c r="C14">
        <v>12</v>
      </c>
      <c r="D14">
        <v>-454863</v>
      </c>
      <c r="E14" t="s">
        <v>84</v>
      </c>
      <c r="F14">
        <v>8</v>
      </c>
      <c r="G14" t="s">
        <v>133</v>
      </c>
      <c r="H14" t="s">
        <v>134</v>
      </c>
      <c r="I14" t="s">
        <v>134</v>
      </c>
      <c r="L14">
        <v>68462</v>
      </c>
      <c r="M14">
        <v>9.6519999999999992</v>
      </c>
      <c r="N14">
        <v>50.563000000000002</v>
      </c>
      <c r="O14" t="b">
        <v>1</v>
      </c>
      <c r="P14">
        <v>23782</v>
      </c>
      <c r="Q14">
        <v>2.322545447460203</v>
      </c>
      <c r="R14">
        <v>85.242483876624519</v>
      </c>
      <c r="S14">
        <v>51323</v>
      </c>
      <c r="T14">
        <v>16723</v>
      </c>
      <c r="U14">
        <v>8605</v>
      </c>
      <c r="V14">
        <v>1192</v>
      </c>
      <c r="W14">
        <v>6001</v>
      </c>
      <c r="X14">
        <v>1412</v>
      </c>
      <c r="Y14">
        <v>13.85241138872748</v>
      </c>
      <c r="Z14">
        <v>69.73852411388728</v>
      </c>
      <c r="AA14">
        <v>16.409064497385241</v>
      </c>
      <c r="AB14">
        <v>3122677</v>
      </c>
      <c r="AC14">
        <v>2864932</v>
      </c>
      <c r="AD14">
        <v>91.746024324641965</v>
      </c>
      <c r="AE14">
        <v>3036217</v>
      </c>
      <c r="AF14">
        <v>97.231221801038018</v>
      </c>
      <c r="AG14">
        <v>48.162650187643493</v>
      </c>
      <c r="AH14">
        <v>77.050414924366848</v>
      </c>
      <c r="AI14">
        <v>50.946959932135151</v>
      </c>
      <c r="AJ14">
        <v>81.504742505079605</v>
      </c>
      <c r="AK14">
        <v>1170755</v>
      </c>
      <c r="AL14">
        <v>62.507969924523103</v>
      </c>
      <c r="AM14">
        <v>0.4630962074783771</v>
      </c>
      <c r="AN14">
        <v>0.86061521397977603</v>
      </c>
      <c r="AO14">
        <v>0.4630962074783771</v>
      </c>
      <c r="AP14">
        <v>0.86061521397977603</v>
      </c>
      <c r="AQ14">
        <v>49.585339758162633</v>
      </c>
      <c r="AR14">
        <v>77.912804924378705</v>
      </c>
      <c r="AS14">
        <v>52.727003145057907</v>
      </c>
      <c r="AT14">
        <v>82.849260090261495</v>
      </c>
      <c r="AU14">
        <v>1135340</v>
      </c>
      <c r="AV14">
        <v>63.642092986242247</v>
      </c>
      <c r="AW14">
        <v>0.50547315473482979</v>
      </c>
      <c r="AX14">
        <v>0.87474032156845771</v>
      </c>
      <c r="AY14">
        <v>0.50547315473482979</v>
      </c>
      <c r="AZ14">
        <v>0.87474032156845771</v>
      </c>
      <c r="BA14">
        <v>3063776</v>
      </c>
      <c r="BB14">
        <v>98.113765848981487</v>
      </c>
      <c r="BC14">
        <v>3069213</v>
      </c>
      <c r="BD14">
        <v>98.28787927794005</v>
      </c>
      <c r="BE14" t="s">
        <v>135</v>
      </c>
      <c r="BF14">
        <v>0.92007885460475491</v>
      </c>
      <c r="BG14">
        <v>3</v>
      </c>
      <c r="BH14">
        <v>0.86797942638549819</v>
      </c>
      <c r="BI14">
        <v>3</v>
      </c>
      <c r="BJ14">
        <v>0.93321228824760105</v>
      </c>
      <c r="BK14">
        <v>3</v>
      </c>
      <c r="BL14">
        <v>0.92390880680474086</v>
      </c>
      <c r="BM14">
        <v>3</v>
      </c>
      <c r="BN14">
        <v>0.81438455023455669</v>
      </c>
      <c r="BO14">
        <v>3</v>
      </c>
      <c r="BT14">
        <v>0.76474450594870469</v>
      </c>
      <c r="BU14">
        <v>3</v>
      </c>
      <c r="BX14">
        <v>0.73260966519326776</v>
      </c>
      <c r="BY14">
        <v>3</v>
      </c>
      <c r="BZ14">
        <v>0.81145018022750404</v>
      </c>
      <c r="CA14">
        <v>3</v>
      </c>
      <c r="CB14">
        <v>0.4204445236287036</v>
      </c>
      <c r="CC14">
        <v>3</v>
      </c>
      <c r="CD14">
        <v>0.772679683357548</v>
      </c>
      <c r="CE14">
        <v>3</v>
      </c>
    </row>
    <row r="15" spans="1:83" x14ac:dyDescent="0.25">
      <c r="A15" t="s">
        <v>136</v>
      </c>
      <c r="B15">
        <v>0</v>
      </c>
      <c r="C15">
        <v>13</v>
      </c>
      <c r="D15">
        <v>-442912</v>
      </c>
      <c r="E15" t="s">
        <v>84</v>
      </c>
      <c r="F15">
        <v>8</v>
      </c>
      <c r="G15" t="s">
        <v>137</v>
      </c>
      <c r="H15" t="s">
        <v>138</v>
      </c>
      <c r="I15" t="s">
        <v>138</v>
      </c>
      <c r="L15">
        <v>17529</v>
      </c>
      <c r="M15">
        <v>10.313000000000001</v>
      </c>
      <c r="N15">
        <v>53.942</v>
      </c>
      <c r="O15" t="b">
        <v>0</v>
      </c>
      <c r="P15">
        <v>24432</v>
      </c>
      <c r="Q15">
        <v>0.1485994501820343</v>
      </c>
      <c r="R15">
        <v>89.742922951185079</v>
      </c>
      <c r="S15">
        <v>26918</v>
      </c>
      <c r="T15">
        <v>367</v>
      </c>
      <c r="U15">
        <v>2793</v>
      </c>
      <c r="V15">
        <v>40</v>
      </c>
      <c r="W15">
        <v>2008</v>
      </c>
      <c r="X15">
        <v>745</v>
      </c>
      <c r="Y15">
        <v>1.432151808091658</v>
      </c>
      <c r="Z15">
        <v>71.894020766201223</v>
      </c>
      <c r="AA15">
        <v>26.67382742570712</v>
      </c>
      <c r="AB15">
        <v>852368</v>
      </c>
      <c r="AC15">
        <v>746020</v>
      </c>
      <c r="AD15">
        <v>87.523229403262434</v>
      </c>
      <c r="AE15">
        <v>817073</v>
      </c>
      <c r="AF15">
        <v>95.859182888142215</v>
      </c>
      <c r="AG15">
        <v>61.196689692714877</v>
      </c>
      <c r="AH15">
        <v>67.616710610574017</v>
      </c>
      <c r="AI15">
        <v>73.468384547519378</v>
      </c>
      <c r="AJ15">
        <v>81.17580414757893</v>
      </c>
      <c r="AK15">
        <v>80930</v>
      </c>
      <c r="AL15">
        <v>90.505274717023639</v>
      </c>
      <c r="AM15">
        <v>0.31468275075006841</v>
      </c>
      <c r="AN15">
        <v>0.934001594016308</v>
      </c>
      <c r="AO15">
        <v>0.31468275075006841</v>
      </c>
      <c r="AP15">
        <v>0.934001594016308</v>
      </c>
      <c r="AQ15">
        <v>62.477357197830038</v>
      </c>
      <c r="AR15">
        <v>69.015090251210438</v>
      </c>
      <c r="AS15">
        <v>76.218605109530159</v>
      </c>
      <c r="AT15">
        <v>84.194244865374841</v>
      </c>
      <c r="AU15">
        <v>80744</v>
      </c>
      <c r="AV15">
        <v>90.5270962776641</v>
      </c>
      <c r="AW15">
        <v>0.42872325058296712</v>
      </c>
      <c r="AX15">
        <v>0.92580379225061826</v>
      </c>
      <c r="AY15">
        <v>0.42872325058296712</v>
      </c>
      <c r="AZ15">
        <v>0.92580379225061826</v>
      </c>
      <c r="BA15">
        <v>850844</v>
      </c>
      <c r="BB15">
        <v>99.821203987010307</v>
      </c>
      <c r="BC15">
        <v>850851</v>
      </c>
      <c r="BD15">
        <v>99.822025228539786</v>
      </c>
      <c r="BE15" t="s">
        <v>139</v>
      </c>
      <c r="BF15">
        <v>0.85740188514692317</v>
      </c>
      <c r="BG15">
        <v>3</v>
      </c>
      <c r="BH15">
        <v>0.79664979336216801</v>
      </c>
      <c r="BI15">
        <v>3</v>
      </c>
      <c r="BJ15">
        <v>0.86857909074101936</v>
      </c>
      <c r="BK15">
        <v>3</v>
      </c>
      <c r="BL15">
        <v>0.99749693917206672</v>
      </c>
      <c r="BM15">
        <v>5</v>
      </c>
      <c r="BN15">
        <v>0.83922697691414472</v>
      </c>
      <c r="BO15">
        <v>3</v>
      </c>
      <c r="BT15">
        <v>0.64858790924647081</v>
      </c>
      <c r="BU15">
        <v>3</v>
      </c>
      <c r="BX15">
        <v>0.77148449657795992</v>
      </c>
      <c r="BY15">
        <v>3</v>
      </c>
      <c r="BZ15">
        <v>0.91651492838143356</v>
      </c>
      <c r="CA15">
        <v>3</v>
      </c>
      <c r="CB15">
        <v>0.86791452863127994</v>
      </c>
      <c r="CC15">
        <v>3</v>
      </c>
    </row>
    <row r="16" spans="1:83" x14ac:dyDescent="0.25">
      <c r="A16" t="s">
        <v>140</v>
      </c>
      <c r="B16">
        <v>0</v>
      </c>
      <c r="C16">
        <v>14</v>
      </c>
      <c r="D16">
        <v>-421958</v>
      </c>
      <c r="E16" t="s">
        <v>84</v>
      </c>
      <c r="F16">
        <v>8</v>
      </c>
      <c r="G16" t="s">
        <v>141</v>
      </c>
      <c r="H16" t="s">
        <v>142</v>
      </c>
      <c r="I16" t="s">
        <v>142</v>
      </c>
      <c r="L16">
        <v>6615</v>
      </c>
      <c r="M16">
        <v>7.9489999999999998</v>
      </c>
      <c r="N16">
        <v>50.777000000000001</v>
      </c>
      <c r="O16" t="b">
        <v>0</v>
      </c>
      <c r="P16">
        <v>22904</v>
      </c>
      <c r="Q16">
        <v>2.4672959099188612</v>
      </c>
      <c r="R16">
        <v>90.9504884914721</v>
      </c>
      <c r="S16">
        <v>12078</v>
      </c>
      <c r="T16">
        <v>4259</v>
      </c>
      <c r="U16">
        <v>1269</v>
      </c>
      <c r="V16">
        <v>298</v>
      </c>
      <c r="W16">
        <v>733</v>
      </c>
      <c r="X16">
        <v>238</v>
      </c>
      <c r="Y16">
        <v>23.483057525610722</v>
      </c>
      <c r="Z16">
        <v>57.762017336485407</v>
      </c>
      <c r="AA16">
        <v>18.754925137903861</v>
      </c>
      <c r="AB16">
        <v>871279</v>
      </c>
      <c r="AC16">
        <v>806784</v>
      </c>
      <c r="AD16">
        <v>92.597663894114277</v>
      </c>
      <c r="AE16">
        <v>852281</v>
      </c>
      <c r="AF16">
        <v>97.819527384454346</v>
      </c>
      <c r="AG16">
        <v>79.090165148018031</v>
      </c>
      <c r="AH16">
        <v>84.978949367494465</v>
      </c>
      <c r="AI16">
        <v>81.652719737305731</v>
      </c>
      <c r="AJ16">
        <v>87.732303040318058</v>
      </c>
      <c r="AK16">
        <v>60377</v>
      </c>
      <c r="AL16">
        <v>93.070302394525754</v>
      </c>
      <c r="AM16">
        <v>0.26477715899789761</v>
      </c>
      <c r="AN16">
        <v>0.88387667086335753</v>
      </c>
      <c r="AO16">
        <v>0.26477715899789761</v>
      </c>
      <c r="AP16">
        <v>0.88387667086335753</v>
      </c>
      <c r="AQ16">
        <v>77.634603841019924</v>
      </c>
      <c r="AR16">
        <v>83.456179010045631</v>
      </c>
      <c r="AS16">
        <v>83.066159060415785</v>
      </c>
      <c r="AT16">
        <v>89.295029500235657</v>
      </c>
      <c r="AU16">
        <v>60777</v>
      </c>
      <c r="AV16">
        <v>93.024392875301714</v>
      </c>
      <c r="AW16">
        <v>0.34251015401938312</v>
      </c>
      <c r="AX16">
        <v>0.89853360059077958</v>
      </c>
      <c r="AY16">
        <v>0.34251015401938312</v>
      </c>
      <c r="AZ16">
        <v>0.89853360059077958</v>
      </c>
      <c r="BA16">
        <v>860943</v>
      </c>
      <c r="BB16">
        <v>98.813698023250879</v>
      </c>
      <c r="BC16">
        <v>861089</v>
      </c>
      <c r="BD16">
        <v>98.830454997767646</v>
      </c>
      <c r="BE16" t="s">
        <v>143</v>
      </c>
      <c r="BF16">
        <v>0.68593665609807264</v>
      </c>
      <c r="BG16">
        <v>3</v>
      </c>
      <c r="BH16">
        <v>0.75222471723051176</v>
      </c>
      <c r="BI16">
        <v>3</v>
      </c>
      <c r="BJ16">
        <v>0.69366090224548804</v>
      </c>
      <c r="BK16">
        <v>3</v>
      </c>
      <c r="BL16">
        <v>0.99996992424992581</v>
      </c>
      <c r="BM16">
        <v>5</v>
      </c>
      <c r="BN16">
        <v>0.82667187248053309</v>
      </c>
      <c r="BO16">
        <v>3</v>
      </c>
      <c r="BT16">
        <v>0.64432837329853432</v>
      </c>
      <c r="BU16">
        <v>3</v>
      </c>
      <c r="BX16">
        <v>0.75755635270268062</v>
      </c>
      <c r="BY16">
        <v>3</v>
      </c>
      <c r="BZ16">
        <v>0.47390860853913408</v>
      </c>
      <c r="CA16">
        <v>3</v>
      </c>
    </row>
    <row r="17" spans="1:83" x14ac:dyDescent="0.25">
      <c r="A17" t="s">
        <v>144</v>
      </c>
      <c r="B17">
        <v>0</v>
      </c>
      <c r="C17">
        <v>15</v>
      </c>
      <c r="D17">
        <v>-409676</v>
      </c>
      <c r="E17" t="s">
        <v>84</v>
      </c>
      <c r="F17">
        <v>8</v>
      </c>
      <c r="G17" t="s">
        <v>145</v>
      </c>
      <c r="H17" t="s">
        <v>146</v>
      </c>
      <c r="I17" t="s">
        <v>146</v>
      </c>
      <c r="J17" t="s">
        <v>146</v>
      </c>
      <c r="L17">
        <v>55519</v>
      </c>
      <c r="M17">
        <v>14.965999999999999</v>
      </c>
      <c r="N17">
        <v>51.142000000000003</v>
      </c>
      <c r="O17" t="b">
        <v>0</v>
      </c>
      <c r="P17">
        <v>20718</v>
      </c>
      <c r="Q17">
        <v>2.6305267717322489</v>
      </c>
      <c r="R17">
        <v>78.409355945756843</v>
      </c>
      <c r="S17">
        <v>60026</v>
      </c>
      <c r="T17">
        <v>7589</v>
      </c>
      <c r="U17">
        <v>14369</v>
      </c>
      <c r="V17">
        <v>1579</v>
      </c>
      <c r="W17">
        <v>9252</v>
      </c>
      <c r="X17">
        <v>3538</v>
      </c>
      <c r="Y17">
        <v>10.988934511796231</v>
      </c>
      <c r="Z17">
        <v>64.388614378175234</v>
      </c>
      <c r="AA17">
        <v>24.622451110028539</v>
      </c>
      <c r="AB17">
        <v>2687256</v>
      </c>
      <c r="AC17">
        <v>2433150</v>
      </c>
      <c r="AD17">
        <v>90.54403450955175</v>
      </c>
      <c r="AE17">
        <v>2585043</v>
      </c>
      <c r="AF17">
        <v>96.19638024810439</v>
      </c>
      <c r="AG17">
        <v>50.840113483791647</v>
      </c>
      <c r="AH17">
        <v>75.122660946613138</v>
      </c>
      <c r="AI17">
        <v>56.03745977309196</v>
      </c>
      <c r="AJ17">
        <v>82.802393668644157</v>
      </c>
      <c r="AK17">
        <v>868625</v>
      </c>
      <c r="AL17">
        <v>67.676135061192525</v>
      </c>
      <c r="AM17">
        <v>0.42475263075231662</v>
      </c>
      <c r="AN17">
        <v>0.85300104296336166</v>
      </c>
      <c r="AO17">
        <v>0.42475263075231662</v>
      </c>
      <c r="AP17">
        <v>0.85300104296336166</v>
      </c>
      <c r="AQ17">
        <v>54.300632317873699</v>
      </c>
      <c r="AR17">
        <v>77.605633653003395</v>
      </c>
      <c r="AS17">
        <v>59.672468867871167</v>
      </c>
      <c r="AT17">
        <v>85.282980334760069</v>
      </c>
      <c r="AU17">
        <v>806984</v>
      </c>
      <c r="AV17">
        <v>69.969961923984911</v>
      </c>
      <c r="AW17">
        <v>0.51180794200253654</v>
      </c>
      <c r="AX17">
        <v>0.85046914232853177</v>
      </c>
      <c r="AY17">
        <v>0.51180794200253654</v>
      </c>
      <c r="AZ17">
        <v>0.85046914232853177</v>
      </c>
      <c r="BA17">
        <v>2603954</v>
      </c>
      <c r="BB17">
        <v>96.900109256431094</v>
      </c>
      <c r="BC17">
        <v>2605302</v>
      </c>
      <c r="BD17">
        <v>96.950271950271954</v>
      </c>
      <c r="BE17" t="s">
        <v>147</v>
      </c>
      <c r="BF17">
        <v>0.94401023212705071</v>
      </c>
      <c r="BG17">
        <v>3</v>
      </c>
      <c r="BH17">
        <v>0.7345203723232856</v>
      </c>
      <c r="BI17">
        <v>3</v>
      </c>
      <c r="BJ17">
        <v>0.95148340061992065</v>
      </c>
      <c r="BK17">
        <v>3</v>
      </c>
      <c r="BL17">
        <v>1</v>
      </c>
      <c r="BM17">
        <v>5</v>
      </c>
      <c r="BN17">
        <v>0.84427099273639905</v>
      </c>
      <c r="BO17">
        <v>3</v>
      </c>
      <c r="BT17">
        <v>0.80643887234655109</v>
      </c>
      <c r="BU17">
        <v>3</v>
      </c>
      <c r="BX17">
        <v>0.78179170408653864</v>
      </c>
      <c r="BY17">
        <v>3</v>
      </c>
      <c r="BZ17">
        <v>0.90231287598801679</v>
      </c>
      <c r="CA17">
        <v>3</v>
      </c>
      <c r="CB17">
        <v>0.78620220673177843</v>
      </c>
      <c r="CC17">
        <v>3</v>
      </c>
      <c r="CD17">
        <v>0.59601189230288121</v>
      </c>
      <c r="CE17">
        <v>3</v>
      </c>
    </row>
    <row r="18" spans="1:83" x14ac:dyDescent="0.25">
      <c r="A18" t="s">
        <v>148</v>
      </c>
      <c r="B18">
        <v>0</v>
      </c>
      <c r="C18">
        <v>16</v>
      </c>
      <c r="D18">
        <v>-66285</v>
      </c>
      <c r="E18" t="s">
        <v>84</v>
      </c>
      <c r="F18">
        <v>8</v>
      </c>
      <c r="G18" t="s">
        <v>149</v>
      </c>
      <c r="H18" t="s">
        <v>150</v>
      </c>
      <c r="I18" t="s">
        <v>150</v>
      </c>
      <c r="L18">
        <v>13924</v>
      </c>
      <c r="M18">
        <v>9.6080000000000005</v>
      </c>
      <c r="N18">
        <v>48.975000000000001</v>
      </c>
      <c r="O18" t="b">
        <v>0</v>
      </c>
      <c r="P18">
        <v>26166</v>
      </c>
      <c r="Q18">
        <v>1.3079478930436159</v>
      </c>
      <c r="R18">
        <v>88.154633194451776</v>
      </c>
      <c r="S18">
        <v>18961</v>
      </c>
      <c r="T18">
        <v>3830</v>
      </c>
      <c r="U18">
        <v>2237</v>
      </c>
      <c r="V18">
        <v>248</v>
      </c>
      <c r="W18">
        <v>1379</v>
      </c>
      <c r="X18">
        <v>610</v>
      </c>
      <c r="Y18">
        <v>11.08627626285203</v>
      </c>
      <c r="Z18">
        <v>61.64506034868127</v>
      </c>
      <c r="AA18">
        <v>27.268663388466699</v>
      </c>
      <c r="AB18">
        <v>2382933</v>
      </c>
      <c r="AC18">
        <v>2273187</v>
      </c>
      <c r="AD18">
        <v>95.394499131952088</v>
      </c>
      <c r="AE18">
        <v>2358848</v>
      </c>
      <c r="AF18">
        <v>98.989270785204624</v>
      </c>
      <c r="AG18">
        <v>72.520251303750456</v>
      </c>
      <c r="AH18">
        <v>85.813423193388815</v>
      </c>
      <c r="AI18">
        <v>77.60490957991685</v>
      </c>
      <c r="AJ18">
        <v>91.830114043215843</v>
      </c>
      <c r="AK18">
        <v>369135</v>
      </c>
      <c r="AL18">
        <v>84.509216163442275</v>
      </c>
      <c r="AM18">
        <v>0.29794584288535308</v>
      </c>
      <c r="AN18">
        <v>0.93227368929418619</v>
      </c>
      <c r="AO18">
        <v>0.29794584288535308</v>
      </c>
      <c r="AP18">
        <v>0.93227368929418619</v>
      </c>
      <c r="AQ18">
        <v>68.829505487565115</v>
      </c>
      <c r="AR18">
        <v>78.395356773793281</v>
      </c>
      <c r="AS18">
        <v>81.71413128275114</v>
      </c>
      <c r="AT18">
        <v>93.070674124328562</v>
      </c>
      <c r="AU18">
        <v>290767</v>
      </c>
      <c r="AV18">
        <v>87.797936408619123</v>
      </c>
      <c r="AW18">
        <v>0.37297861968103629</v>
      </c>
      <c r="AX18">
        <v>0.9267347291919017</v>
      </c>
      <c r="AY18">
        <v>0.37297861968103629</v>
      </c>
      <c r="AZ18">
        <v>0.9267347291919017</v>
      </c>
      <c r="BA18">
        <v>2103730</v>
      </c>
      <c r="BB18">
        <v>88.28322072001184</v>
      </c>
      <c r="BC18">
        <v>2292863</v>
      </c>
      <c r="BD18">
        <v>96.220204260883548</v>
      </c>
      <c r="BE18" t="s">
        <v>151</v>
      </c>
      <c r="BF18">
        <v>0.89451216199815886</v>
      </c>
      <c r="BG18">
        <v>3</v>
      </c>
      <c r="BH18">
        <v>0.80665455581718248</v>
      </c>
      <c r="BI18">
        <v>3</v>
      </c>
      <c r="BJ18">
        <v>0.96009596490099514</v>
      </c>
      <c r="BK18">
        <v>3</v>
      </c>
      <c r="BL18">
        <v>0.98101495234380265</v>
      </c>
      <c r="BM18">
        <v>5</v>
      </c>
      <c r="BN18">
        <v>0.60857541036905494</v>
      </c>
      <c r="BO18">
        <v>3</v>
      </c>
      <c r="BT18">
        <v>0.53026469272247356</v>
      </c>
      <c r="BU18">
        <v>3</v>
      </c>
      <c r="BX18">
        <v>0.9972315477508189</v>
      </c>
      <c r="BY18">
        <v>5</v>
      </c>
      <c r="BZ18">
        <v>0.99694696954502104</v>
      </c>
      <c r="CA18">
        <v>5</v>
      </c>
      <c r="CB18">
        <v>0.81537445308555911</v>
      </c>
      <c r="CC18">
        <v>3</v>
      </c>
      <c r="CD18">
        <v>0.99999975550526143</v>
      </c>
      <c r="CE18">
        <v>5</v>
      </c>
    </row>
    <row r="19" spans="1:83" x14ac:dyDescent="0.25">
      <c r="A19" t="s">
        <v>152</v>
      </c>
      <c r="B19">
        <v>0</v>
      </c>
      <c r="C19">
        <v>17</v>
      </c>
      <c r="D19">
        <v>-62713</v>
      </c>
      <c r="E19" t="s">
        <v>84</v>
      </c>
      <c r="F19">
        <v>6</v>
      </c>
      <c r="G19" t="s">
        <v>153</v>
      </c>
      <c r="H19" t="s">
        <v>154</v>
      </c>
      <c r="I19" t="s">
        <v>154</v>
      </c>
      <c r="L19">
        <v>579432</v>
      </c>
      <c r="M19">
        <v>7.0170000000000003</v>
      </c>
      <c r="N19">
        <v>51.433999999999997</v>
      </c>
      <c r="O19" t="b">
        <v>1</v>
      </c>
      <c r="P19">
        <v>21636</v>
      </c>
      <c r="Q19">
        <v>0.83095977350679562</v>
      </c>
      <c r="R19">
        <v>88.056503553924713</v>
      </c>
      <c r="S19">
        <v>233826</v>
      </c>
      <c r="T19">
        <v>27179</v>
      </c>
      <c r="U19">
        <v>28987</v>
      </c>
      <c r="V19">
        <v>1943</v>
      </c>
      <c r="W19">
        <v>13822</v>
      </c>
      <c r="X19">
        <v>13222</v>
      </c>
      <c r="Y19">
        <v>6.7030047952530438</v>
      </c>
      <c r="Z19">
        <v>47.683444302618419</v>
      </c>
      <c r="AA19">
        <v>45.613550902128537</v>
      </c>
      <c r="AB19">
        <v>6543720</v>
      </c>
      <c r="AC19">
        <v>5861702</v>
      </c>
      <c r="AD19">
        <v>89.577518597984024</v>
      </c>
      <c r="AE19">
        <v>6144961</v>
      </c>
      <c r="AF19">
        <v>93.906233763058324</v>
      </c>
      <c r="AG19">
        <v>53.311984620368847</v>
      </c>
      <c r="AH19">
        <v>57.599920615304043</v>
      </c>
      <c r="AI19">
        <v>63.622908681911817</v>
      </c>
      <c r="AJ19">
        <v>68.740162563610539</v>
      </c>
      <c r="AK19">
        <v>487137</v>
      </c>
      <c r="AL19">
        <v>92.555656415616809</v>
      </c>
      <c r="AM19">
        <v>0.45178960486492492</v>
      </c>
      <c r="AN19">
        <v>0.91264232857603944</v>
      </c>
      <c r="AO19">
        <v>0.45178960486492492</v>
      </c>
      <c r="AP19">
        <v>0.91264232857603944</v>
      </c>
      <c r="AQ19">
        <v>54.664212405176258</v>
      </c>
      <c r="AR19">
        <v>59.075520822581353</v>
      </c>
      <c r="AS19">
        <v>65.169460184726731</v>
      </c>
      <c r="AT19">
        <v>70.428524124764564</v>
      </c>
      <c r="AU19">
        <v>488635</v>
      </c>
      <c r="AV19">
        <v>92.532764238078641</v>
      </c>
      <c r="AW19">
        <v>0.48483359646547181</v>
      </c>
      <c r="AX19">
        <v>0.91327048006361389</v>
      </c>
      <c r="AY19">
        <v>0.48483359646547181</v>
      </c>
      <c r="AZ19">
        <v>0.91327048006361389</v>
      </c>
      <c r="BA19">
        <v>6451639</v>
      </c>
      <c r="BB19">
        <v>98.592834045466489</v>
      </c>
      <c r="BC19">
        <v>6467365</v>
      </c>
      <c r="BD19">
        <v>98.833156064134769</v>
      </c>
      <c r="BE19" t="s">
        <v>155</v>
      </c>
      <c r="BF19">
        <v>0.97487417704774681</v>
      </c>
      <c r="BG19">
        <v>5</v>
      </c>
      <c r="BH19">
        <v>0.74218255473929562</v>
      </c>
      <c r="BI19">
        <v>3</v>
      </c>
      <c r="BJ19">
        <v>0.98543823621301008</v>
      </c>
      <c r="BK19">
        <v>5</v>
      </c>
      <c r="BL19">
        <v>0.9995066853889113</v>
      </c>
      <c r="BM19">
        <v>5</v>
      </c>
      <c r="BN19">
        <v>0.80232868882905584</v>
      </c>
      <c r="BO19">
        <v>3</v>
      </c>
      <c r="BT19">
        <v>0.79635128157506319</v>
      </c>
      <c r="BU19">
        <v>3</v>
      </c>
      <c r="BX19">
        <v>0.80163267834776808</v>
      </c>
      <c r="BY19">
        <v>3</v>
      </c>
      <c r="BZ19">
        <v>0.95470268844115536</v>
      </c>
      <c r="CA19">
        <v>3</v>
      </c>
      <c r="CB19">
        <v>0.9943418424288365</v>
      </c>
      <c r="CC19">
        <v>5</v>
      </c>
      <c r="CD19">
        <v>0.75758885142273569</v>
      </c>
      <c r="CE19">
        <v>3</v>
      </c>
    </row>
    <row r="20" spans="1:83" x14ac:dyDescent="0.25">
      <c r="A20" t="s">
        <v>156</v>
      </c>
      <c r="B20">
        <v>0</v>
      </c>
      <c r="C20">
        <v>18</v>
      </c>
      <c r="D20">
        <v>-62658</v>
      </c>
      <c r="E20" t="s">
        <v>84</v>
      </c>
      <c r="F20">
        <v>6</v>
      </c>
      <c r="G20" t="s">
        <v>157</v>
      </c>
      <c r="H20" t="s">
        <v>158</v>
      </c>
      <c r="I20" t="s">
        <v>158</v>
      </c>
      <c r="L20">
        <v>113173</v>
      </c>
      <c r="M20">
        <v>8.5760000000000005</v>
      </c>
      <c r="N20">
        <v>53.542999999999999</v>
      </c>
      <c r="O20" t="b">
        <v>0</v>
      </c>
      <c r="P20">
        <v>18892</v>
      </c>
      <c r="Q20">
        <v>0.8475307517521069</v>
      </c>
      <c r="R20">
        <v>89.734715204740041</v>
      </c>
      <c r="S20">
        <v>104303</v>
      </c>
      <c r="T20">
        <v>12893</v>
      </c>
      <c r="U20">
        <v>10718</v>
      </c>
      <c r="V20">
        <v>884</v>
      </c>
      <c r="W20">
        <v>4529</v>
      </c>
      <c r="X20">
        <v>5305</v>
      </c>
      <c r="Y20">
        <v>8.2478074267587242</v>
      </c>
      <c r="Z20">
        <v>42.256017913789883</v>
      </c>
      <c r="AA20">
        <v>49.496174659451391</v>
      </c>
      <c r="AB20">
        <v>3532050</v>
      </c>
      <c r="AC20">
        <v>3155754</v>
      </c>
      <c r="AD20">
        <v>89.346243682847074</v>
      </c>
      <c r="AE20">
        <v>3376926</v>
      </c>
      <c r="AF20">
        <v>95.608102943050071</v>
      </c>
      <c r="AG20">
        <v>62.110559023796377</v>
      </c>
      <c r="AH20">
        <v>68.255814315272005</v>
      </c>
      <c r="AI20">
        <v>74.042921249699177</v>
      </c>
      <c r="AJ20">
        <v>81.368771487686871</v>
      </c>
      <c r="AK20">
        <v>318000</v>
      </c>
      <c r="AL20">
        <v>90.996729944366592</v>
      </c>
      <c r="AM20">
        <v>0.51133545118947243</v>
      </c>
      <c r="AN20">
        <v>0.90627515832975525</v>
      </c>
      <c r="AO20">
        <v>0.51133545118947243</v>
      </c>
      <c r="AP20">
        <v>0.90627515832975525</v>
      </c>
      <c r="AQ20">
        <v>65.265072691496442</v>
      </c>
      <c r="AR20">
        <v>71.885082160349114</v>
      </c>
      <c r="AS20">
        <v>76.157330728613687</v>
      </c>
      <c r="AT20">
        <v>83.882170826917232</v>
      </c>
      <c r="AU20">
        <v>325272</v>
      </c>
      <c r="AV20">
        <v>90.790843844226444</v>
      </c>
      <c r="AW20">
        <v>0.5907533742703992</v>
      </c>
      <c r="AX20">
        <v>0.90963316563818186</v>
      </c>
      <c r="AY20">
        <v>0.5907533742703992</v>
      </c>
      <c r="AZ20">
        <v>0.90963316563818186</v>
      </c>
      <c r="BA20">
        <v>3488495</v>
      </c>
      <c r="BB20">
        <v>98.766863436248073</v>
      </c>
      <c r="BC20">
        <v>3491355</v>
      </c>
      <c r="BD20">
        <v>98.847836242408803</v>
      </c>
      <c r="BE20" t="s">
        <v>159</v>
      </c>
      <c r="BF20">
        <v>0.94005879821714511</v>
      </c>
      <c r="BG20">
        <v>3</v>
      </c>
      <c r="BH20">
        <v>0.90448707219573266</v>
      </c>
      <c r="BI20">
        <v>3</v>
      </c>
      <c r="BJ20">
        <v>0.92540126488282981</v>
      </c>
      <c r="BK20">
        <v>3</v>
      </c>
      <c r="BL20">
        <v>1</v>
      </c>
      <c r="BM20">
        <v>5</v>
      </c>
      <c r="BN20">
        <v>0.99612307551232016</v>
      </c>
      <c r="BO20">
        <v>5</v>
      </c>
      <c r="BT20">
        <v>0.90267460954302392</v>
      </c>
      <c r="BU20">
        <v>3</v>
      </c>
      <c r="BX20">
        <v>0.99997585683680068</v>
      </c>
      <c r="BY20">
        <v>5</v>
      </c>
      <c r="BZ20">
        <v>0.96204975017126615</v>
      </c>
      <c r="CA20">
        <v>3</v>
      </c>
      <c r="CB20">
        <v>0.90824678084707611</v>
      </c>
      <c r="CC20">
        <v>3</v>
      </c>
      <c r="CD20">
        <v>0.795626954646937</v>
      </c>
      <c r="CE20">
        <v>3</v>
      </c>
    </row>
    <row r="21" spans="1:83" x14ac:dyDescent="0.25">
      <c r="A21" t="s">
        <v>160</v>
      </c>
      <c r="B21">
        <v>0</v>
      </c>
      <c r="C21">
        <v>19</v>
      </c>
      <c r="D21">
        <v>-62649</v>
      </c>
      <c r="E21" t="s">
        <v>84</v>
      </c>
      <c r="F21">
        <v>6</v>
      </c>
      <c r="G21" t="s">
        <v>161</v>
      </c>
      <c r="H21" t="s">
        <v>162</v>
      </c>
      <c r="I21" t="s">
        <v>162</v>
      </c>
      <c r="L21">
        <v>601866</v>
      </c>
      <c r="M21">
        <v>12.375</v>
      </c>
      <c r="N21">
        <v>51.341999999999999</v>
      </c>
      <c r="O21" t="b">
        <v>1</v>
      </c>
      <c r="P21">
        <v>20051</v>
      </c>
      <c r="Q21">
        <v>4.471940076081415</v>
      </c>
      <c r="R21">
        <v>75.717479116828116</v>
      </c>
      <c r="S21">
        <v>254990</v>
      </c>
      <c r="T21">
        <v>143246</v>
      </c>
      <c r="U21">
        <v>72515</v>
      </c>
      <c r="V21">
        <v>11403</v>
      </c>
      <c r="W21">
        <v>29176</v>
      </c>
      <c r="X21">
        <v>31936</v>
      </c>
      <c r="Y21">
        <v>15.725022409156731</v>
      </c>
      <c r="Z21">
        <v>40.234434254981728</v>
      </c>
      <c r="AA21">
        <v>44.04054333586155</v>
      </c>
      <c r="AB21">
        <v>9253440</v>
      </c>
      <c r="AC21">
        <v>8151692</v>
      </c>
      <c r="AD21">
        <v>88.093638690043917</v>
      </c>
      <c r="AE21">
        <v>8801644</v>
      </c>
      <c r="AF21">
        <v>95.11753466818827</v>
      </c>
      <c r="AG21">
        <v>64.749217588269886</v>
      </c>
      <c r="AH21">
        <v>73.094296721466065</v>
      </c>
      <c r="AI21">
        <v>72.384421361137058</v>
      </c>
      <c r="AJ21">
        <v>81.713549137018276</v>
      </c>
      <c r="AK21">
        <v>1056453</v>
      </c>
      <c r="AL21">
        <v>88.583132327004876</v>
      </c>
      <c r="AM21">
        <v>0.52504049492345573</v>
      </c>
      <c r="AN21">
        <v>0.85399176924788733</v>
      </c>
      <c r="AO21">
        <v>0.52504049492345573</v>
      </c>
      <c r="AP21">
        <v>0.85399176924788733</v>
      </c>
      <c r="AQ21">
        <v>66.012099284158111</v>
      </c>
      <c r="AR21">
        <v>73.273530691408212</v>
      </c>
      <c r="AS21">
        <v>74.434123958225257</v>
      </c>
      <c r="AT21">
        <v>82.621990899931745</v>
      </c>
      <c r="AU21">
        <v>917019</v>
      </c>
      <c r="AV21">
        <v>90.089966542172419</v>
      </c>
      <c r="AW21">
        <v>0.55984352184203989</v>
      </c>
      <c r="AX21">
        <v>0.86040057075718446</v>
      </c>
      <c r="AY21">
        <v>0.55984352184203989</v>
      </c>
      <c r="AZ21">
        <v>0.86040057075718446</v>
      </c>
      <c r="BA21">
        <v>8919033</v>
      </c>
      <c r="BB21">
        <v>96.386133156966494</v>
      </c>
      <c r="BC21">
        <v>8946932</v>
      </c>
      <c r="BD21">
        <v>96.687631842860597</v>
      </c>
      <c r="BE21" t="s">
        <v>163</v>
      </c>
      <c r="BF21">
        <v>0.8295394291018372</v>
      </c>
      <c r="BG21">
        <v>3</v>
      </c>
      <c r="BH21">
        <v>0.79518984294242068</v>
      </c>
      <c r="BI21">
        <v>3</v>
      </c>
      <c r="BJ21">
        <v>0.91358195652714369</v>
      </c>
      <c r="BK21">
        <v>3</v>
      </c>
      <c r="BL21">
        <v>0.94645103311178458</v>
      </c>
      <c r="BM21">
        <v>3</v>
      </c>
      <c r="BN21">
        <v>0.70410085230053499</v>
      </c>
      <c r="BO21">
        <v>3</v>
      </c>
      <c r="BT21">
        <v>0.69349338370629243</v>
      </c>
      <c r="BU21">
        <v>3</v>
      </c>
      <c r="BX21">
        <v>0.61549893381003573</v>
      </c>
      <c r="BY21">
        <v>3</v>
      </c>
      <c r="BZ21">
        <v>0.84711286720361534</v>
      </c>
      <c r="CA21">
        <v>3</v>
      </c>
      <c r="CB21">
        <v>0.71901329325887831</v>
      </c>
      <c r="CC21">
        <v>3</v>
      </c>
      <c r="CD21">
        <v>3.7225073618998961E-2</v>
      </c>
      <c r="CE21">
        <v>1</v>
      </c>
    </row>
    <row r="22" spans="1:83" x14ac:dyDescent="0.25">
      <c r="A22" t="s">
        <v>164</v>
      </c>
      <c r="B22">
        <v>0</v>
      </c>
      <c r="C22">
        <v>20</v>
      </c>
      <c r="D22">
        <v>-62598</v>
      </c>
      <c r="E22" t="s">
        <v>84</v>
      </c>
      <c r="F22">
        <v>6</v>
      </c>
      <c r="G22" t="s">
        <v>165</v>
      </c>
      <c r="H22" t="s">
        <v>166</v>
      </c>
      <c r="I22" t="s">
        <v>166</v>
      </c>
      <c r="L22">
        <v>200406</v>
      </c>
      <c r="M22">
        <v>9.4610000000000003</v>
      </c>
      <c r="N22">
        <v>51.311</v>
      </c>
      <c r="O22" t="b">
        <v>1</v>
      </c>
      <c r="P22">
        <v>20556</v>
      </c>
      <c r="Q22">
        <v>0.32817426196617938</v>
      </c>
      <c r="R22">
        <v>85.968042419031249</v>
      </c>
      <c r="S22">
        <v>139560</v>
      </c>
      <c r="T22">
        <v>3568</v>
      </c>
      <c r="U22">
        <v>19935</v>
      </c>
      <c r="V22">
        <v>458</v>
      </c>
      <c r="W22">
        <v>11518</v>
      </c>
      <c r="X22">
        <v>7959</v>
      </c>
      <c r="Y22">
        <v>2.2974667669927258</v>
      </c>
      <c r="Z22">
        <v>57.777777777777771</v>
      </c>
      <c r="AA22">
        <v>39.924755455229487</v>
      </c>
      <c r="AB22">
        <v>3442670</v>
      </c>
      <c r="AC22">
        <v>3062583</v>
      </c>
      <c r="AD22">
        <v>88.959528505491377</v>
      </c>
      <c r="AE22">
        <v>3246535</v>
      </c>
      <c r="AF22">
        <v>94.302823099512878</v>
      </c>
      <c r="AG22">
        <v>62.486848870208298</v>
      </c>
      <c r="AH22">
        <v>66.920280781871426</v>
      </c>
      <c r="AI22">
        <v>70.897297736930938</v>
      </c>
      <c r="AJ22">
        <v>75.927449647622794</v>
      </c>
      <c r="AK22">
        <v>228075</v>
      </c>
      <c r="AL22">
        <v>93.375054826631654</v>
      </c>
      <c r="AM22">
        <v>0.45909263140444978</v>
      </c>
      <c r="AN22">
        <v>0.90658763318996827</v>
      </c>
      <c r="AO22">
        <v>0.45909263140444978</v>
      </c>
      <c r="AP22">
        <v>0.90658763318996827</v>
      </c>
      <c r="AQ22">
        <v>64.359407088103126</v>
      </c>
      <c r="AR22">
        <v>68.845598733506606</v>
      </c>
      <c r="AS22">
        <v>73.672730758393925</v>
      </c>
      <c r="AT22">
        <v>78.808110404914345</v>
      </c>
      <c r="AU22">
        <v>224335</v>
      </c>
      <c r="AV22">
        <v>93.483691437169412</v>
      </c>
      <c r="AW22">
        <v>0.5276959054821394</v>
      </c>
      <c r="AX22">
        <v>0.90124982017429844</v>
      </c>
      <c r="AY22">
        <v>0.5276959054821394</v>
      </c>
      <c r="AZ22">
        <v>0.90124982017429844</v>
      </c>
      <c r="BA22">
        <v>3433613</v>
      </c>
      <c r="BB22">
        <v>99.736919309721813</v>
      </c>
      <c r="BC22">
        <v>3434643</v>
      </c>
      <c r="BD22">
        <v>99.766837948452803</v>
      </c>
      <c r="BE22" t="s">
        <v>167</v>
      </c>
      <c r="BF22">
        <v>0.95064200908911967</v>
      </c>
      <c r="BG22">
        <v>3</v>
      </c>
      <c r="BH22">
        <v>0.91252400655016741</v>
      </c>
      <c r="BI22">
        <v>3</v>
      </c>
      <c r="BJ22">
        <v>0.94442823385867991</v>
      </c>
      <c r="BK22">
        <v>3</v>
      </c>
      <c r="BL22">
        <v>0.99970879066770069</v>
      </c>
      <c r="BM22">
        <v>5</v>
      </c>
      <c r="BN22">
        <v>0.99689074844707204</v>
      </c>
      <c r="BO22">
        <v>5</v>
      </c>
      <c r="BT22">
        <v>0.99281782926124795</v>
      </c>
      <c r="BU22">
        <v>5</v>
      </c>
      <c r="BX22">
        <v>0.99299253222627115</v>
      </c>
      <c r="BY22">
        <v>5</v>
      </c>
      <c r="BZ22">
        <v>0.94172109191075981</v>
      </c>
      <c r="CA22">
        <v>3</v>
      </c>
      <c r="CB22">
        <v>0.95908559086710254</v>
      </c>
      <c r="CC22">
        <v>3</v>
      </c>
      <c r="CD22">
        <v>0.99937591209940668</v>
      </c>
      <c r="CE22">
        <v>5</v>
      </c>
    </row>
    <row r="23" spans="1:83" x14ac:dyDescent="0.25">
      <c r="A23" t="s">
        <v>168</v>
      </c>
      <c r="B23">
        <v>0</v>
      </c>
      <c r="C23">
        <v>21</v>
      </c>
      <c r="D23">
        <v>-62525</v>
      </c>
      <c r="E23" t="s">
        <v>84</v>
      </c>
      <c r="F23">
        <v>6</v>
      </c>
      <c r="G23" t="s">
        <v>169</v>
      </c>
      <c r="H23" t="s">
        <v>170</v>
      </c>
      <c r="I23" t="s">
        <v>170</v>
      </c>
      <c r="L23">
        <v>77749</v>
      </c>
      <c r="M23">
        <v>10.898</v>
      </c>
      <c r="N23">
        <v>49.887</v>
      </c>
      <c r="O23" t="b">
        <v>1</v>
      </c>
      <c r="P23">
        <v>23319</v>
      </c>
      <c r="Q23">
        <v>0.64357450297192054</v>
      </c>
      <c r="R23">
        <v>79.124820659971306</v>
      </c>
      <c r="S23">
        <v>48790</v>
      </c>
      <c r="T23">
        <v>2912</v>
      </c>
      <c r="U23">
        <v>10313</v>
      </c>
      <c r="V23">
        <v>314</v>
      </c>
      <c r="W23">
        <v>6893</v>
      </c>
      <c r="X23">
        <v>3106</v>
      </c>
      <c r="Y23">
        <v>3.0447008629884609</v>
      </c>
      <c r="Z23">
        <v>66.837971492291288</v>
      </c>
      <c r="AA23">
        <v>30.117327644720259</v>
      </c>
      <c r="AB23">
        <v>1664163</v>
      </c>
      <c r="AC23">
        <v>1509100</v>
      </c>
      <c r="AD23">
        <v>90.682222835142952</v>
      </c>
      <c r="AE23">
        <v>1582362</v>
      </c>
      <c r="AF23">
        <v>95.084556020053327</v>
      </c>
      <c r="AG23">
        <v>67.299957996902947</v>
      </c>
      <c r="AH23">
        <v>79.241882875680119</v>
      </c>
      <c r="AI23">
        <v>72.395853050452388</v>
      </c>
      <c r="AJ23">
        <v>85.242010230866654</v>
      </c>
      <c r="AK23">
        <v>250793</v>
      </c>
      <c r="AL23">
        <v>84.92978151779603</v>
      </c>
      <c r="AM23">
        <v>0.6134080604373825</v>
      </c>
      <c r="AN23">
        <v>0.89317361794853589</v>
      </c>
      <c r="AO23">
        <v>0.6134080604373825</v>
      </c>
      <c r="AP23">
        <v>0.89317361794853589</v>
      </c>
      <c r="AQ23">
        <v>70.317510964971589</v>
      </c>
      <c r="AR23">
        <v>81.712031282731658</v>
      </c>
      <c r="AS23">
        <v>75.875079544491726</v>
      </c>
      <c r="AT23">
        <v>88.170169680888208</v>
      </c>
      <c r="AU23">
        <v>232063</v>
      </c>
      <c r="AV23">
        <v>86.055272229943824</v>
      </c>
      <c r="AW23">
        <v>0.6863465101980466</v>
      </c>
      <c r="AX23">
        <v>0.88581940993149277</v>
      </c>
      <c r="AY23">
        <v>0.6863465101980466</v>
      </c>
      <c r="AZ23">
        <v>0.88581940993149277</v>
      </c>
      <c r="BA23">
        <v>1629138</v>
      </c>
      <c r="BB23">
        <v>97.895338377310395</v>
      </c>
      <c r="BC23">
        <v>1634454</v>
      </c>
      <c r="BD23">
        <v>98.214778239871933</v>
      </c>
      <c r="BE23" t="s">
        <v>171</v>
      </c>
      <c r="BF23">
        <v>0.94884001735342949</v>
      </c>
      <c r="BG23">
        <v>3</v>
      </c>
      <c r="BH23">
        <v>0.77508803050177844</v>
      </c>
      <c r="BI23">
        <v>3</v>
      </c>
      <c r="BJ23">
        <v>0.95670638031840571</v>
      </c>
      <c r="BK23">
        <v>3</v>
      </c>
      <c r="BL23">
        <v>0.99982818503563453</v>
      </c>
      <c r="BM23">
        <v>5</v>
      </c>
      <c r="BN23">
        <v>0.7520519497284649</v>
      </c>
      <c r="BO23">
        <v>3</v>
      </c>
      <c r="BT23">
        <v>0.46345185824261531</v>
      </c>
      <c r="BU23">
        <v>3</v>
      </c>
      <c r="BX23">
        <v>0.92174095691453972</v>
      </c>
      <c r="BY23">
        <v>3</v>
      </c>
      <c r="BZ23">
        <v>0.96159347597826439</v>
      </c>
      <c r="CA23">
        <v>3</v>
      </c>
      <c r="CB23">
        <v>0.78557448624898507</v>
      </c>
      <c r="CC23">
        <v>3</v>
      </c>
      <c r="CD23">
        <v>0.45025562897113169</v>
      </c>
      <c r="CE23">
        <v>3</v>
      </c>
    </row>
    <row r="24" spans="1:83" x14ac:dyDescent="0.25">
      <c r="A24" t="s">
        <v>172</v>
      </c>
      <c r="B24">
        <v>0</v>
      </c>
      <c r="C24">
        <v>22</v>
      </c>
      <c r="D24">
        <v>-62518</v>
      </c>
      <c r="E24" t="s">
        <v>84</v>
      </c>
      <c r="F24">
        <v>6</v>
      </c>
      <c r="G24" t="s">
        <v>173</v>
      </c>
      <c r="H24" t="s">
        <v>174</v>
      </c>
      <c r="I24" t="s">
        <v>174</v>
      </c>
      <c r="L24">
        <v>306502</v>
      </c>
      <c r="M24">
        <v>8.4130000000000003</v>
      </c>
      <c r="N24">
        <v>49.012</v>
      </c>
      <c r="O24" t="b">
        <v>1</v>
      </c>
      <c r="P24">
        <v>23466</v>
      </c>
      <c r="Q24">
        <v>1.159597411933861</v>
      </c>
      <c r="R24">
        <v>83.445003594536303</v>
      </c>
      <c r="S24">
        <v>139100</v>
      </c>
      <c r="T24">
        <v>26824</v>
      </c>
      <c r="U24">
        <v>23832</v>
      </c>
      <c r="V24">
        <v>1613</v>
      </c>
      <c r="W24">
        <v>11469</v>
      </c>
      <c r="X24">
        <v>10750</v>
      </c>
      <c r="Y24">
        <v>6.7682108089963071</v>
      </c>
      <c r="Z24">
        <v>48.124370594159117</v>
      </c>
      <c r="AA24">
        <v>45.107418596844582</v>
      </c>
      <c r="AB24">
        <v>5748114</v>
      </c>
      <c r="AC24">
        <v>5200692</v>
      </c>
      <c r="AD24">
        <v>90.476493681231801</v>
      </c>
      <c r="AE24">
        <v>5516666</v>
      </c>
      <c r="AF24">
        <v>95.973496698221368</v>
      </c>
      <c r="AG24">
        <v>67.493390005834954</v>
      </c>
      <c r="AH24">
        <v>72.311386535935966</v>
      </c>
      <c r="AI24">
        <v>78.525878227188954</v>
      </c>
      <c r="AJ24">
        <v>84.131425804352034</v>
      </c>
      <c r="AK24">
        <v>382988</v>
      </c>
      <c r="AL24">
        <v>93.337153716853905</v>
      </c>
      <c r="AM24">
        <v>0.56799552447149049</v>
      </c>
      <c r="AN24">
        <v>0.89991964629135268</v>
      </c>
      <c r="AO24">
        <v>0.56799552447149049</v>
      </c>
      <c r="AP24">
        <v>0.89991964629135268</v>
      </c>
      <c r="AQ24">
        <v>70.160717063022759</v>
      </c>
      <c r="AR24">
        <v>74.225653150255624</v>
      </c>
      <c r="AS24">
        <v>81.644274974365501</v>
      </c>
      <c r="AT24">
        <v>86.374539623188113</v>
      </c>
      <c r="AU24">
        <v>314793</v>
      </c>
      <c r="AV24">
        <v>94.523542852490394</v>
      </c>
      <c r="AW24">
        <v>0.62385801248347916</v>
      </c>
      <c r="AX24">
        <v>0.89951802033634254</v>
      </c>
      <c r="AY24">
        <v>0.62385801248347916</v>
      </c>
      <c r="AZ24">
        <v>0.89951802033634254</v>
      </c>
      <c r="BA24">
        <v>5371289</v>
      </c>
      <c r="BB24">
        <v>93.444371492980125</v>
      </c>
      <c r="BC24">
        <v>5570318</v>
      </c>
      <c r="BD24">
        <v>96.906881109177718</v>
      </c>
      <c r="BE24" t="s">
        <v>175</v>
      </c>
      <c r="BF24">
        <v>0.95726511853075924</v>
      </c>
      <c r="BG24">
        <v>3</v>
      </c>
      <c r="BH24">
        <v>0.68195096936848165</v>
      </c>
      <c r="BI24">
        <v>3</v>
      </c>
      <c r="BJ24">
        <v>0.98585999967883775</v>
      </c>
      <c r="BK24">
        <v>5</v>
      </c>
      <c r="BL24">
        <v>0.90712429518441551</v>
      </c>
      <c r="BM24">
        <v>3</v>
      </c>
      <c r="BN24">
        <v>0.81045453447537552</v>
      </c>
      <c r="BO24">
        <v>3</v>
      </c>
      <c r="BT24">
        <v>0.71854791674062857</v>
      </c>
      <c r="BU24">
        <v>3</v>
      </c>
      <c r="BX24">
        <v>0.77662219555226053</v>
      </c>
      <c r="BY24">
        <v>3</v>
      </c>
      <c r="BZ24">
        <v>0.88959471675036117</v>
      </c>
      <c r="CA24">
        <v>3</v>
      </c>
      <c r="CB24">
        <v>0.58605374645327057</v>
      </c>
      <c r="CC24">
        <v>3</v>
      </c>
      <c r="CD24">
        <v>0.810746039163321</v>
      </c>
      <c r="CE24">
        <v>3</v>
      </c>
    </row>
    <row r="25" spans="1:83" x14ac:dyDescent="0.25">
      <c r="A25" t="s">
        <v>176</v>
      </c>
      <c r="B25">
        <v>0</v>
      </c>
      <c r="C25">
        <v>23</v>
      </c>
      <c r="D25">
        <v>-62428</v>
      </c>
      <c r="E25" t="s">
        <v>84</v>
      </c>
      <c r="F25">
        <v>6</v>
      </c>
      <c r="G25" t="s">
        <v>177</v>
      </c>
      <c r="H25" t="s">
        <v>178</v>
      </c>
      <c r="I25" t="s">
        <v>179</v>
      </c>
      <c r="J25" t="s">
        <v>178</v>
      </c>
      <c r="L25">
        <v>1487708</v>
      </c>
      <c r="M25">
        <v>11.547000000000001</v>
      </c>
      <c r="N25">
        <v>48.152999999999999</v>
      </c>
      <c r="O25" t="b">
        <v>1</v>
      </c>
      <c r="P25">
        <v>31859</v>
      </c>
      <c r="Q25">
        <v>1.374108988503731</v>
      </c>
      <c r="R25">
        <v>86.268582186742961</v>
      </c>
      <c r="S25">
        <v>444579</v>
      </c>
      <c r="T25">
        <v>45985</v>
      </c>
      <c r="U25">
        <v>65882</v>
      </c>
      <c r="V25">
        <v>6109</v>
      </c>
      <c r="W25">
        <v>37005</v>
      </c>
      <c r="X25">
        <v>22768</v>
      </c>
      <c r="Y25">
        <v>9.2726389605658603</v>
      </c>
      <c r="Z25">
        <v>56.168604474666829</v>
      </c>
      <c r="AA25">
        <v>34.558756564767307</v>
      </c>
      <c r="AB25">
        <v>9730694</v>
      </c>
      <c r="AC25">
        <v>8654139</v>
      </c>
      <c r="AD25">
        <v>88.936503398421536</v>
      </c>
      <c r="AE25">
        <v>9087599</v>
      </c>
      <c r="AF25">
        <v>93.391067481928829</v>
      </c>
      <c r="AG25">
        <v>60.230041146088872</v>
      </c>
      <c r="AH25">
        <v>66.86845782705845</v>
      </c>
      <c r="AI25">
        <v>66.838809236011329</v>
      </c>
      <c r="AJ25">
        <v>74.205629143908638</v>
      </c>
      <c r="AK25">
        <v>966022</v>
      </c>
      <c r="AL25">
        <v>90.072424433447395</v>
      </c>
      <c r="AM25">
        <v>0.52379458770067733</v>
      </c>
      <c r="AN25">
        <v>0.90160732264429522</v>
      </c>
      <c r="AO25">
        <v>0.52379458770067733</v>
      </c>
      <c r="AP25">
        <v>0.90160732264429522</v>
      </c>
      <c r="AQ25">
        <v>64.458475418094537</v>
      </c>
      <c r="AR25">
        <v>70.449159008311469</v>
      </c>
      <c r="AS25">
        <v>71.483986650900746</v>
      </c>
      <c r="AT25">
        <v>78.127611760169529</v>
      </c>
      <c r="AU25">
        <v>827455</v>
      </c>
      <c r="AV25">
        <v>91.496444138516736</v>
      </c>
      <c r="AW25">
        <v>0.59647331756701361</v>
      </c>
      <c r="AX25">
        <v>0.90330819514984473</v>
      </c>
      <c r="AY25">
        <v>0.59647331756701361</v>
      </c>
      <c r="AZ25">
        <v>0.90330819514984473</v>
      </c>
      <c r="BA25">
        <v>9476582</v>
      </c>
      <c r="BB25">
        <v>97.388552142324073</v>
      </c>
      <c r="BC25">
        <v>9495142</v>
      </c>
      <c r="BD25">
        <v>97.579288794817714</v>
      </c>
      <c r="BE25" t="s">
        <v>180</v>
      </c>
      <c r="BF25">
        <v>0.93700601153677776</v>
      </c>
      <c r="BG25">
        <v>3</v>
      </c>
      <c r="BH25">
        <v>0.811274278802806</v>
      </c>
      <c r="BI25">
        <v>3</v>
      </c>
      <c r="BJ25">
        <v>0.96272292154005146</v>
      </c>
      <c r="BK25">
        <v>3</v>
      </c>
      <c r="BL25">
        <v>0.92689153472910502</v>
      </c>
      <c r="BM25">
        <v>3</v>
      </c>
      <c r="BN25">
        <v>0.86599419166048164</v>
      </c>
      <c r="BO25">
        <v>3</v>
      </c>
      <c r="BT25">
        <v>0.73848038000102267</v>
      </c>
      <c r="BU25">
        <v>3</v>
      </c>
      <c r="BX25">
        <v>0.80142034553047103</v>
      </c>
      <c r="BY25">
        <v>3</v>
      </c>
      <c r="BZ25">
        <v>0.94139467227299933</v>
      </c>
      <c r="CA25">
        <v>3</v>
      </c>
      <c r="CB25">
        <v>0.87654480601847451</v>
      </c>
      <c r="CC25">
        <v>3</v>
      </c>
      <c r="CD25">
        <v>0.97722360670341579</v>
      </c>
      <c r="CE25">
        <v>5</v>
      </c>
    </row>
    <row r="26" spans="1:83" x14ac:dyDescent="0.25">
      <c r="A26" t="s">
        <v>181</v>
      </c>
      <c r="B26">
        <v>0</v>
      </c>
      <c r="C26">
        <v>24</v>
      </c>
      <c r="D26">
        <v>-62411</v>
      </c>
      <c r="E26" t="s">
        <v>84</v>
      </c>
      <c r="F26">
        <v>6</v>
      </c>
      <c r="G26" t="s">
        <v>182</v>
      </c>
      <c r="H26" t="s">
        <v>183</v>
      </c>
      <c r="I26" t="s">
        <v>183</v>
      </c>
      <c r="L26">
        <v>153542</v>
      </c>
      <c r="M26">
        <v>12.114000000000001</v>
      </c>
      <c r="N26">
        <v>49.012999999999998</v>
      </c>
      <c r="O26" t="b">
        <v>1</v>
      </c>
      <c r="P26">
        <v>24180</v>
      </c>
      <c r="Q26">
        <v>2.3065952917347001</v>
      </c>
      <c r="R26">
        <v>84.367443110183331</v>
      </c>
      <c r="S26">
        <v>96766</v>
      </c>
      <c r="T26">
        <v>13747</v>
      </c>
      <c r="U26">
        <v>16579</v>
      </c>
      <c r="V26">
        <v>2232</v>
      </c>
      <c r="W26">
        <v>8435</v>
      </c>
      <c r="X26">
        <v>5912</v>
      </c>
      <c r="Y26">
        <v>13.462814403763799</v>
      </c>
      <c r="Z26">
        <v>50.877616261535671</v>
      </c>
      <c r="AA26">
        <v>35.659569334700528</v>
      </c>
      <c r="AB26">
        <v>2570784</v>
      </c>
      <c r="AC26">
        <v>2264756</v>
      </c>
      <c r="AD26">
        <v>88.095927156851758</v>
      </c>
      <c r="AE26">
        <v>2421120</v>
      </c>
      <c r="AF26">
        <v>94.178274020687851</v>
      </c>
      <c r="AG26">
        <v>66.340540473256411</v>
      </c>
      <c r="AH26">
        <v>70.755639489223427</v>
      </c>
      <c r="AI26">
        <v>77.093096891843118</v>
      </c>
      <c r="AJ26">
        <v>82.22380058820869</v>
      </c>
      <c r="AK26">
        <v>160415</v>
      </c>
      <c r="AL26">
        <v>93.760074747625623</v>
      </c>
      <c r="AM26">
        <v>0.6075190943000448</v>
      </c>
      <c r="AN26">
        <v>0.90876611977263888</v>
      </c>
      <c r="AO26">
        <v>0.6075190943000448</v>
      </c>
      <c r="AP26">
        <v>0.90876611977263888</v>
      </c>
      <c r="AQ26">
        <v>68.911468252486401</v>
      </c>
      <c r="AR26">
        <v>73.681782904789912</v>
      </c>
      <c r="AS26">
        <v>79.568178423391473</v>
      </c>
      <c r="AT26">
        <v>85.076191197107249</v>
      </c>
      <c r="AU26">
        <v>166438</v>
      </c>
      <c r="AV26">
        <v>93.525788242030444</v>
      </c>
      <c r="AW26">
        <v>0.68229150700570285</v>
      </c>
      <c r="AX26">
        <v>0.90484428095595903</v>
      </c>
      <c r="AY26">
        <v>0.68229150700570285</v>
      </c>
      <c r="AZ26">
        <v>0.90484428095595903</v>
      </c>
      <c r="BA26">
        <v>2524695</v>
      </c>
      <c r="BB26">
        <v>98.207200604951638</v>
      </c>
      <c r="BC26">
        <v>2531080</v>
      </c>
      <c r="BD26">
        <v>98.455568418039007</v>
      </c>
      <c r="BE26" t="s">
        <v>184</v>
      </c>
      <c r="BF26">
        <v>0.98266403650608081</v>
      </c>
      <c r="BG26">
        <v>5</v>
      </c>
      <c r="BH26">
        <v>0.83281720541833559</v>
      </c>
      <c r="BI26">
        <v>3</v>
      </c>
      <c r="BJ26">
        <v>0.90340818668693124</v>
      </c>
      <c r="BK26">
        <v>3</v>
      </c>
      <c r="BL26">
        <v>0.92363621328383305</v>
      </c>
      <c r="BM26">
        <v>3</v>
      </c>
      <c r="BN26">
        <v>0.77623921519455485</v>
      </c>
      <c r="BO26">
        <v>3</v>
      </c>
      <c r="BT26">
        <v>0.8570837881383746</v>
      </c>
      <c r="BU26">
        <v>3</v>
      </c>
      <c r="BX26">
        <v>0.67656542899587846</v>
      </c>
      <c r="BY26">
        <v>3</v>
      </c>
      <c r="BZ26">
        <v>0.88610824929327359</v>
      </c>
      <c r="CA26">
        <v>3</v>
      </c>
      <c r="CB26">
        <v>0.74005861059487221</v>
      </c>
      <c r="CC26">
        <v>3</v>
      </c>
      <c r="CD26">
        <v>0.92885728508947252</v>
      </c>
      <c r="CE26">
        <v>3</v>
      </c>
    </row>
    <row r="27" spans="1:83" x14ac:dyDescent="0.25">
      <c r="A27" t="s">
        <v>185</v>
      </c>
      <c r="B27">
        <v>0</v>
      </c>
      <c r="C27">
        <v>25</v>
      </c>
      <c r="D27">
        <v>-62405</v>
      </c>
      <c r="E27" t="s">
        <v>84</v>
      </c>
      <c r="F27">
        <v>6</v>
      </c>
      <c r="G27" t="s">
        <v>186</v>
      </c>
      <c r="H27" t="s">
        <v>187</v>
      </c>
      <c r="I27" t="s">
        <v>187</v>
      </c>
      <c r="J27" t="s">
        <v>187</v>
      </c>
      <c r="L27">
        <v>208400</v>
      </c>
      <c r="M27">
        <v>12.141</v>
      </c>
      <c r="N27">
        <v>54.146999999999998</v>
      </c>
      <c r="O27" t="b">
        <v>1</v>
      </c>
      <c r="P27">
        <v>20350</v>
      </c>
      <c r="Q27">
        <v>1.2797581360010131</v>
      </c>
      <c r="R27">
        <v>83.994713182221091</v>
      </c>
      <c r="S27">
        <v>126352</v>
      </c>
      <c r="T27">
        <v>16477</v>
      </c>
      <c r="U27">
        <v>21401</v>
      </c>
      <c r="V27">
        <v>1617</v>
      </c>
      <c r="W27">
        <v>7070</v>
      </c>
      <c r="X27">
        <v>12714</v>
      </c>
      <c r="Y27">
        <v>7.5557216952478861</v>
      </c>
      <c r="Z27">
        <v>33.035839446754821</v>
      </c>
      <c r="AA27">
        <v>59.40843885799729</v>
      </c>
      <c r="AB27">
        <v>8292190</v>
      </c>
      <c r="AC27">
        <v>7537644</v>
      </c>
      <c r="AD27">
        <v>90.9005220575023</v>
      </c>
      <c r="AE27">
        <v>8075714</v>
      </c>
      <c r="AF27">
        <v>97.389398940448785</v>
      </c>
      <c r="AG27">
        <v>57.696169528194609</v>
      </c>
      <c r="AH27">
        <v>72.234316779634483</v>
      </c>
      <c r="AI27">
        <v>68.191937232504316</v>
      </c>
      <c r="AJ27">
        <v>85.374783736077305</v>
      </c>
      <c r="AK27">
        <v>1668917</v>
      </c>
      <c r="AL27">
        <v>79.873628076539489</v>
      </c>
      <c r="AM27">
        <v>0.39962426876432289</v>
      </c>
      <c r="AN27">
        <v>0.90251936841198954</v>
      </c>
      <c r="AO27">
        <v>0.39962426876432289</v>
      </c>
      <c r="AP27">
        <v>0.90251936841198954</v>
      </c>
      <c r="AQ27">
        <v>58.879789295710779</v>
      </c>
      <c r="AR27">
        <v>73.6261182635577</v>
      </c>
      <c r="AS27">
        <v>69.335676100041127</v>
      </c>
      <c r="AT27">
        <v>86.700661627490533</v>
      </c>
      <c r="AU27">
        <v>1660815</v>
      </c>
      <c r="AV27">
        <v>79.971334472557913</v>
      </c>
      <c r="AW27">
        <v>0.45565271990972939</v>
      </c>
      <c r="AX27">
        <v>0.8950360886037444</v>
      </c>
      <c r="AY27">
        <v>0.45565271990972939</v>
      </c>
      <c r="AZ27">
        <v>0.8950360886037444</v>
      </c>
      <c r="BA27">
        <v>8207785</v>
      </c>
      <c r="BB27">
        <v>98.982114495688108</v>
      </c>
      <c r="BC27">
        <v>8229776</v>
      </c>
      <c r="BD27">
        <v>99.247315847803776</v>
      </c>
      <c r="BE27" t="s">
        <v>188</v>
      </c>
      <c r="BF27">
        <v>0.91994331734414603</v>
      </c>
      <c r="BG27">
        <v>3</v>
      </c>
      <c r="BH27">
        <v>0.83953765173979777</v>
      </c>
      <c r="BI27">
        <v>3</v>
      </c>
      <c r="BJ27">
        <v>0.92398381621730163</v>
      </c>
      <c r="BK27">
        <v>3</v>
      </c>
      <c r="BL27">
        <v>0.99988821737792333</v>
      </c>
      <c r="BM27">
        <v>5</v>
      </c>
      <c r="BN27">
        <v>0.99954055294731259</v>
      </c>
      <c r="BO27">
        <v>5</v>
      </c>
      <c r="BR27">
        <v>1</v>
      </c>
      <c r="BS27">
        <v>5</v>
      </c>
      <c r="BT27">
        <v>0.98992944907011082</v>
      </c>
      <c r="BU27">
        <v>5</v>
      </c>
      <c r="BX27">
        <v>0.68226461821944639</v>
      </c>
      <c r="BY27">
        <v>3</v>
      </c>
      <c r="BZ27">
        <v>0.94571126514173098</v>
      </c>
      <c r="CA27">
        <v>3</v>
      </c>
      <c r="CB27">
        <v>0.99999743627690252</v>
      </c>
      <c r="CC27">
        <v>5</v>
      </c>
      <c r="CD27">
        <v>2.8814730088839419E-2</v>
      </c>
      <c r="CE27">
        <v>1</v>
      </c>
    </row>
    <row r="28" spans="1:83" x14ac:dyDescent="0.25">
      <c r="A28" t="s">
        <v>189</v>
      </c>
      <c r="B28">
        <v>0</v>
      </c>
      <c r="C28">
        <v>26</v>
      </c>
      <c r="D28">
        <v>-62400</v>
      </c>
      <c r="E28" t="s">
        <v>84</v>
      </c>
      <c r="F28">
        <v>6</v>
      </c>
      <c r="G28" t="s">
        <v>190</v>
      </c>
      <c r="H28" t="s">
        <v>191</v>
      </c>
      <c r="I28" t="s">
        <v>192</v>
      </c>
      <c r="J28" t="s">
        <v>191</v>
      </c>
      <c r="L28">
        <v>759224</v>
      </c>
      <c r="M28">
        <v>8.6440000000000001</v>
      </c>
      <c r="N28">
        <v>50.116999999999997</v>
      </c>
      <c r="O28" t="b">
        <v>1</v>
      </c>
      <c r="P28">
        <v>24246</v>
      </c>
      <c r="Q28">
        <v>1.1033224578163681</v>
      </c>
      <c r="R28">
        <v>80.751848964050225</v>
      </c>
      <c r="S28">
        <v>264202</v>
      </c>
      <c r="T28">
        <v>35009</v>
      </c>
      <c r="U28">
        <v>52743</v>
      </c>
      <c r="V28">
        <v>2915</v>
      </c>
      <c r="W28">
        <v>28154</v>
      </c>
      <c r="X28">
        <v>21674</v>
      </c>
      <c r="Y28">
        <v>5.5267997648977119</v>
      </c>
      <c r="Z28">
        <v>53.379595396545511</v>
      </c>
      <c r="AA28">
        <v>41.093604838556772</v>
      </c>
      <c r="AB28">
        <v>9995144</v>
      </c>
      <c r="AC28">
        <v>9132946</v>
      </c>
      <c r="AD28">
        <v>91.373831132397882</v>
      </c>
      <c r="AE28">
        <v>9552566</v>
      </c>
      <c r="AF28">
        <v>95.572069797093476</v>
      </c>
      <c r="AG28">
        <v>61.454972534662829</v>
      </c>
      <c r="AH28">
        <v>71.632754542679038</v>
      </c>
      <c r="AI28">
        <v>68.941628054583305</v>
      </c>
      <c r="AJ28">
        <v>80.359302372499798</v>
      </c>
      <c r="AK28">
        <v>1420138</v>
      </c>
      <c r="AL28">
        <v>85.791720459455107</v>
      </c>
      <c r="AM28">
        <v>0.58000593764806108</v>
      </c>
      <c r="AN28">
        <v>0.86215545231988522</v>
      </c>
      <c r="AO28">
        <v>0.58000593764806108</v>
      </c>
      <c r="AP28">
        <v>0.86215545231988522</v>
      </c>
      <c r="AQ28">
        <v>63.712328706820031</v>
      </c>
      <c r="AR28">
        <v>72.159111447020351</v>
      </c>
      <c r="AS28">
        <v>72.709337654364958</v>
      </c>
      <c r="AT28">
        <v>82.348915908935112</v>
      </c>
      <c r="AU28">
        <v>1170009</v>
      </c>
      <c r="AV28">
        <v>88.294225675988258</v>
      </c>
      <c r="AW28">
        <v>0.61474569918255528</v>
      </c>
      <c r="AX28">
        <v>0.86067718783762925</v>
      </c>
      <c r="AY28">
        <v>0.61474569918255528</v>
      </c>
      <c r="AZ28">
        <v>0.86067718783762925</v>
      </c>
      <c r="BA28">
        <v>9612810</v>
      </c>
      <c r="BB28">
        <v>96.174802484086271</v>
      </c>
      <c r="BC28">
        <v>9636639</v>
      </c>
      <c r="BD28">
        <v>96.413208253928104</v>
      </c>
      <c r="BE28" t="s">
        <v>193</v>
      </c>
      <c r="BF28">
        <v>0.95641140682043668</v>
      </c>
      <c r="BG28">
        <v>3</v>
      </c>
      <c r="BH28">
        <v>0.79897190548279295</v>
      </c>
      <c r="BI28">
        <v>3</v>
      </c>
      <c r="BJ28">
        <v>0.96966040471415105</v>
      </c>
      <c r="BK28">
        <v>3</v>
      </c>
      <c r="BL28">
        <v>0.8362529855758738</v>
      </c>
      <c r="BM28">
        <v>3</v>
      </c>
      <c r="BN28">
        <v>0.84559739182110516</v>
      </c>
      <c r="BO28">
        <v>3</v>
      </c>
      <c r="BT28">
        <v>0.78187960470556817</v>
      </c>
      <c r="BU28">
        <v>3</v>
      </c>
      <c r="BX28">
        <v>0.86064333544600768</v>
      </c>
      <c r="BY28">
        <v>3</v>
      </c>
      <c r="BZ28">
        <v>0.9600021644912925</v>
      </c>
      <c r="CA28">
        <v>3</v>
      </c>
      <c r="CB28">
        <v>0.89511634261836981</v>
      </c>
      <c r="CC28">
        <v>3</v>
      </c>
      <c r="CD28">
        <v>0.94090636217142165</v>
      </c>
      <c r="CE28">
        <v>3</v>
      </c>
    </row>
    <row r="29" spans="1:83" x14ac:dyDescent="0.25">
      <c r="A29" t="s">
        <v>194</v>
      </c>
      <c r="B29">
        <v>0</v>
      </c>
      <c r="C29">
        <v>27</v>
      </c>
      <c r="D29">
        <v>-62340</v>
      </c>
      <c r="E29" t="s">
        <v>84</v>
      </c>
      <c r="F29">
        <v>6</v>
      </c>
      <c r="G29" t="s">
        <v>173</v>
      </c>
      <c r="H29" t="s">
        <v>195</v>
      </c>
      <c r="I29" t="s">
        <v>195</v>
      </c>
      <c r="L29">
        <v>55527</v>
      </c>
      <c r="M29">
        <v>8.2319999999999993</v>
      </c>
      <c r="N29">
        <v>48.747999999999998</v>
      </c>
      <c r="O29" t="b">
        <v>0</v>
      </c>
      <c r="P29">
        <v>31996</v>
      </c>
      <c r="Q29">
        <v>0.9126975282501617</v>
      </c>
      <c r="R29">
        <v>89.409811219827489</v>
      </c>
      <c r="S29">
        <v>89734</v>
      </c>
      <c r="T29">
        <v>13006</v>
      </c>
      <c r="U29">
        <v>10085</v>
      </c>
      <c r="V29">
        <v>819</v>
      </c>
      <c r="W29">
        <v>5479</v>
      </c>
      <c r="X29">
        <v>3787</v>
      </c>
      <c r="Y29">
        <v>8.1209717402082298</v>
      </c>
      <c r="Z29">
        <v>54.328210213187901</v>
      </c>
      <c r="AA29">
        <v>37.550818046603872</v>
      </c>
      <c r="AB29">
        <v>5565825</v>
      </c>
      <c r="AC29">
        <v>5169954</v>
      </c>
      <c r="AD29">
        <v>92.887469512605946</v>
      </c>
      <c r="AE29">
        <v>5427782</v>
      </c>
      <c r="AF29">
        <v>97.519810630050358</v>
      </c>
      <c r="AG29">
        <v>70.333724110980853</v>
      </c>
      <c r="AH29">
        <v>78.625879071284572</v>
      </c>
      <c r="AI29">
        <v>78.82049830887604</v>
      </c>
      <c r="AJ29">
        <v>88.113220886657402</v>
      </c>
      <c r="AK29">
        <v>586991</v>
      </c>
      <c r="AL29">
        <v>89.453656915192269</v>
      </c>
      <c r="AM29">
        <v>0.46575084180604542</v>
      </c>
      <c r="AN29">
        <v>0.90198389782241561</v>
      </c>
      <c r="AO29">
        <v>0.46575084180604542</v>
      </c>
      <c r="AP29">
        <v>0.90198389782241561</v>
      </c>
      <c r="AQ29">
        <v>71.303589315150944</v>
      </c>
      <c r="AR29">
        <v>79.524759054167006</v>
      </c>
      <c r="AS29">
        <v>80.259997394815684</v>
      </c>
      <c r="AT29">
        <v>89.513824140050261</v>
      </c>
      <c r="AU29">
        <v>575388</v>
      </c>
      <c r="AV29">
        <v>89.662125560900677</v>
      </c>
      <c r="AW29">
        <v>0.53213815218390337</v>
      </c>
      <c r="AX29">
        <v>0.9136441263417765</v>
      </c>
      <c r="AY29">
        <v>0.53213815218390337</v>
      </c>
      <c r="AZ29">
        <v>0.9136441263417765</v>
      </c>
      <c r="BA29">
        <v>5511972</v>
      </c>
      <c r="BB29">
        <v>99.032434544744035</v>
      </c>
      <c r="BC29">
        <v>5523645</v>
      </c>
      <c r="BD29">
        <v>99.24216086563986</v>
      </c>
      <c r="BE29" t="s">
        <v>196</v>
      </c>
      <c r="BF29">
        <v>0.90181167249018412</v>
      </c>
      <c r="BG29">
        <v>3</v>
      </c>
      <c r="BH29">
        <v>0.83581426378620605</v>
      </c>
      <c r="BI29">
        <v>3</v>
      </c>
      <c r="BJ29">
        <v>0.89333342914948954</v>
      </c>
      <c r="BK29">
        <v>3</v>
      </c>
      <c r="BL29">
        <v>0.8789648603583825</v>
      </c>
      <c r="BM29">
        <v>3</v>
      </c>
      <c r="BN29">
        <v>0.85150644805889597</v>
      </c>
      <c r="BO29">
        <v>3</v>
      </c>
      <c r="BT29">
        <v>0.8595521980379911</v>
      </c>
      <c r="BU29">
        <v>3</v>
      </c>
      <c r="BX29">
        <v>1</v>
      </c>
      <c r="BY29">
        <v>5</v>
      </c>
      <c r="BZ29">
        <v>0.85755293674767752</v>
      </c>
      <c r="CA29">
        <v>3</v>
      </c>
      <c r="CB29">
        <v>0.75322592175766823</v>
      </c>
      <c r="CC29">
        <v>3</v>
      </c>
      <c r="CD29">
        <v>0.67154313620313089</v>
      </c>
      <c r="CE29">
        <v>3</v>
      </c>
    </row>
    <row r="30" spans="1:83" x14ac:dyDescent="0.25">
      <c r="A30" t="s">
        <v>197</v>
      </c>
      <c r="B30">
        <v>0</v>
      </c>
      <c r="C30">
        <v>28</v>
      </c>
      <c r="D30">
        <v>-59418</v>
      </c>
      <c r="E30" t="s">
        <v>84</v>
      </c>
      <c r="F30">
        <v>8</v>
      </c>
      <c r="G30" t="s">
        <v>198</v>
      </c>
      <c r="H30" t="s">
        <v>199</v>
      </c>
      <c r="I30" t="s">
        <v>200</v>
      </c>
      <c r="J30" t="s">
        <v>199</v>
      </c>
      <c r="L30">
        <v>535932</v>
      </c>
      <c r="M30">
        <v>9.77</v>
      </c>
      <c r="N30">
        <v>52.378999999999998</v>
      </c>
      <c r="O30" t="b">
        <v>1</v>
      </c>
      <c r="P30">
        <v>22753</v>
      </c>
      <c r="Q30">
        <v>0.9525456292026897</v>
      </c>
      <c r="R30">
        <v>83.594236311239186</v>
      </c>
      <c r="S30">
        <v>260250</v>
      </c>
      <c r="T30">
        <v>20410</v>
      </c>
      <c r="U30">
        <v>44020</v>
      </c>
      <c r="V30">
        <v>2479</v>
      </c>
      <c r="W30">
        <v>28181</v>
      </c>
      <c r="X30">
        <v>13360</v>
      </c>
      <c r="Y30">
        <v>5.631531122217174</v>
      </c>
      <c r="Z30">
        <v>64.01862789641072</v>
      </c>
      <c r="AA30">
        <v>30.349840981372111</v>
      </c>
      <c r="AB30">
        <v>6754048</v>
      </c>
      <c r="AC30">
        <v>6053841</v>
      </c>
      <c r="AD30">
        <v>89.632780223060308</v>
      </c>
      <c r="AE30">
        <v>6371235</v>
      </c>
      <c r="AF30">
        <v>94.332095359701313</v>
      </c>
      <c r="AG30">
        <v>56.551626520865703</v>
      </c>
      <c r="AH30">
        <v>66.926978473110751</v>
      </c>
      <c r="AI30">
        <v>63.770778650077688</v>
      </c>
      <c r="AJ30">
        <v>75.470606108075657</v>
      </c>
      <c r="AK30">
        <v>1047046</v>
      </c>
      <c r="AL30">
        <v>84.497504311488456</v>
      </c>
      <c r="AM30">
        <v>0.5463956777141199</v>
      </c>
      <c r="AN30">
        <v>0.88469898212884246</v>
      </c>
      <c r="AO30">
        <v>0.5463956777141199</v>
      </c>
      <c r="AP30">
        <v>0.88469898212884246</v>
      </c>
      <c r="AQ30">
        <v>59.909375829132387</v>
      </c>
      <c r="AR30">
        <v>69.679450707349304</v>
      </c>
      <c r="AS30">
        <v>67.655856162111974</v>
      </c>
      <c r="AT30">
        <v>78.689234018341907</v>
      </c>
      <c r="AU30">
        <v>947016</v>
      </c>
      <c r="AV30">
        <v>85.97854205359512</v>
      </c>
      <c r="AW30">
        <v>0.61228551295614231</v>
      </c>
      <c r="AX30">
        <v>0.88207236366324571</v>
      </c>
      <c r="AY30">
        <v>0.61228551295614231</v>
      </c>
      <c r="AZ30">
        <v>0.88207236366324571</v>
      </c>
      <c r="BA30">
        <v>6577238</v>
      </c>
      <c r="BB30">
        <v>97.382162519425393</v>
      </c>
      <c r="BC30">
        <v>6586253</v>
      </c>
      <c r="BD30">
        <v>97.515638029223368</v>
      </c>
      <c r="BE30" t="s">
        <v>201</v>
      </c>
      <c r="BF30">
        <v>0.96333583390990685</v>
      </c>
      <c r="BG30">
        <v>3</v>
      </c>
      <c r="BH30">
        <v>0.72380451344411034</v>
      </c>
      <c r="BI30">
        <v>3</v>
      </c>
      <c r="BJ30">
        <v>0.96391483474255535</v>
      </c>
      <c r="BK30">
        <v>3</v>
      </c>
      <c r="BL30">
        <v>0.99984163767102874</v>
      </c>
      <c r="BM30">
        <v>5</v>
      </c>
      <c r="BN30">
        <v>0.8203873611766126</v>
      </c>
      <c r="BO30">
        <v>3</v>
      </c>
      <c r="BT30">
        <v>0.75937018868605655</v>
      </c>
      <c r="BU30">
        <v>3</v>
      </c>
      <c r="BX30">
        <v>0.9967464413239816</v>
      </c>
      <c r="BY30">
        <v>5</v>
      </c>
      <c r="BZ30">
        <v>0.93416155963012815</v>
      </c>
      <c r="CA30">
        <v>3</v>
      </c>
      <c r="CB30">
        <v>0.94036209999149456</v>
      </c>
      <c r="CC30">
        <v>3</v>
      </c>
      <c r="CD30">
        <v>0.53410737392688001</v>
      </c>
      <c r="CE30">
        <v>3</v>
      </c>
    </row>
    <row r="31" spans="1:83" x14ac:dyDescent="0.25">
      <c r="A31" t="s">
        <v>202</v>
      </c>
      <c r="B31">
        <v>0</v>
      </c>
      <c r="C31">
        <v>29</v>
      </c>
      <c r="D31">
        <v>-27020</v>
      </c>
      <c r="E31" t="s">
        <v>84</v>
      </c>
      <c r="F31">
        <v>6</v>
      </c>
      <c r="G31" t="s">
        <v>203</v>
      </c>
      <c r="H31" t="s">
        <v>204</v>
      </c>
      <c r="I31" t="s">
        <v>204</v>
      </c>
      <c r="J31" t="s">
        <v>204</v>
      </c>
      <c r="L31">
        <v>91113</v>
      </c>
      <c r="M31">
        <v>9.44</v>
      </c>
      <c r="N31">
        <v>54.79</v>
      </c>
      <c r="O31" t="b">
        <v>1</v>
      </c>
      <c r="P31">
        <v>19510</v>
      </c>
      <c r="Q31">
        <v>0.42307982022246221</v>
      </c>
      <c r="R31">
        <v>91.346322846310287</v>
      </c>
      <c r="S31">
        <v>79654</v>
      </c>
      <c r="T31">
        <v>3388</v>
      </c>
      <c r="U31">
        <v>7149</v>
      </c>
      <c r="V31">
        <v>337</v>
      </c>
      <c r="W31">
        <v>4655</v>
      </c>
      <c r="X31">
        <v>2157</v>
      </c>
      <c r="Y31">
        <v>4.7139460064344663</v>
      </c>
      <c r="Z31">
        <v>65.114001958315853</v>
      </c>
      <c r="AA31">
        <v>30.172052035249681</v>
      </c>
      <c r="AB31">
        <v>1838080</v>
      </c>
      <c r="AC31">
        <v>1610896</v>
      </c>
      <c r="AD31">
        <v>87.640146239554312</v>
      </c>
      <c r="AE31">
        <v>1741466</v>
      </c>
      <c r="AF31">
        <v>94.743754352367688</v>
      </c>
      <c r="AG31">
        <v>42.970599756267411</v>
      </c>
      <c r="AH31">
        <v>57.978361451407963</v>
      </c>
      <c r="AI31">
        <v>51.289334522980504</v>
      </c>
      <c r="AJ31">
        <v>69.20246848874433</v>
      </c>
      <c r="AK31">
        <v>475789</v>
      </c>
      <c r="AL31">
        <v>74.114891626044567</v>
      </c>
      <c r="AM31">
        <v>0.38139161454840731</v>
      </c>
      <c r="AN31">
        <v>0.9231091973059512</v>
      </c>
      <c r="AO31">
        <v>0.38139161454840731</v>
      </c>
      <c r="AP31">
        <v>0.9231091973059512</v>
      </c>
      <c r="AQ31">
        <v>49.688914519498603</v>
      </c>
      <c r="AR31">
        <v>61.90603360861526</v>
      </c>
      <c r="AS31">
        <v>60.789138666434539</v>
      </c>
      <c r="AT31">
        <v>75.735493474028971</v>
      </c>
      <c r="AU31">
        <v>362744</v>
      </c>
      <c r="AV31">
        <v>80.265059192200553</v>
      </c>
      <c r="AW31">
        <v>0.48059575966796308</v>
      </c>
      <c r="AX31">
        <v>0.92664500643952696</v>
      </c>
      <c r="AY31">
        <v>0.48059575966796308</v>
      </c>
      <c r="AZ31">
        <v>0.92664500643952696</v>
      </c>
      <c r="BA31">
        <v>1708953</v>
      </c>
      <c r="BB31">
        <v>92.974897719359333</v>
      </c>
      <c r="BC31">
        <v>1718948</v>
      </c>
      <c r="BD31">
        <v>93.518671657381617</v>
      </c>
      <c r="BE31" t="s">
        <v>205</v>
      </c>
      <c r="BF31">
        <v>0.99999988286569708</v>
      </c>
      <c r="BG31">
        <v>5</v>
      </c>
      <c r="BH31">
        <v>0.72851622113676484</v>
      </c>
      <c r="BI31">
        <v>3</v>
      </c>
      <c r="BJ31">
        <v>0.99999999999520017</v>
      </c>
      <c r="BK31">
        <v>5</v>
      </c>
      <c r="BL31">
        <v>0.82749377314634731</v>
      </c>
      <c r="BM31">
        <v>3</v>
      </c>
      <c r="BN31">
        <v>0.8243693112266357</v>
      </c>
      <c r="BO31">
        <v>3</v>
      </c>
      <c r="BT31">
        <v>0.80800123969161408</v>
      </c>
      <c r="BU31">
        <v>3</v>
      </c>
      <c r="BX31">
        <v>0.80983397228063536</v>
      </c>
      <c r="BY31">
        <v>3</v>
      </c>
      <c r="BZ31">
        <v>0.93088613973933365</v>
      </c>
      <c r="CA31">
        <v>3</v>
      </c>
      <c r="CB31">
        <v>0.74647407235934105</v>
      </c>
      <c r="CC31">
        <v>3</v>
      </c>
      <c r="CD31">
        <v>0.18635287725083879</v>
      </c>
      <c r="CE31">
        <v>1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CBE1C-CAB4-4450-B9D6-927FC80C0932}">
  <dimension ref="A1:AV37"/>
  <sheetViews>
    <sheetView workbookViewId="0">
      <pane xSplit="1" topLeftCell="B1" activePane="topRight" state="frozen"/>
      <selection pane="topRight" activeCell="N45" sqref="N45"/>
    </sheetView>
  </sheetViews>
  <sheetFormatPr baseColWidth="10" defaultRowHeight="15" x14ac:dyDescent="0.25"/>
  <cols>
    <col min="1" max="1" width="17.5703125" customWidth="1"/>
    <col min="2" max="2" width="20.28515625" customWidth="1"/>
    <col min="3" max="4" width="22.28515625" customWidth="1"/>
    <col min="5" max="5" width="23.5703125" customWidth="1"/>
    <col min="6" max="6" width="26.7109375" customWidth="1"/>
    <col min="7" max="7" width="19.140625" customWidth="1"/>
    <col min="8" max="8" width="28.7109375" customWidth="1"/>
    <col min="9" max="9" width="33.140625" customWidth="1"/>
    <col min="10" max="10" width="25.28515625" customWidth="1"/>
    <col min="11" max="11" width="25.85546875" customWidth="1"/>
    <col min="12" max="12" width="28.7109375" customWidth="1"/>
    <col min="13" max="13" width="33.7109375" customWidth="1"/>
    <col min="14" max="14" width="36.5703125" customWidth="1"/>
    <col min="15" max="15" width="29.28515625" customWidth="1"/>
    <col min="16" max="16" width="31" customWidth="1"/>
    <col min="17" max="17" width="27.140625" customWidth="1"/>
    <col min="18" max="18" width="32.140625" customWidth="1"/>
    <col min="19" max="19" width="31.7109375" customWidth="1"/>
    <col min="20" max="20" width="28.42578125" customWidth="1"/>
    <col min="21" max="22" width="29" customWidth="1"/>
    <col min="23" max="23" width="16.28515625" customWidth="1"/>
    <col min="24" max="24" width="15.5703125" customWidth="1"/>
    <col min="25" max="25" width="13" customWidth="1"/>
    <col min="26" max="26" width="12.28515625" customWidth="1"/>
    <col min="27" max="27" width="16.140625" customWidth="1"/>
    <col min="28" max="28" width="15.42578125" customWidth="1"/>
    <col min="29" max="29" width="16.7109375" customWidth="1"/>
    <col min="30" max="30" width="16" customWidth="1"/>
    <col min="31" max="31" width="17.28515625" customWidth="1"/>
    <col min="32" max="32" width="16.5703125" customWidth="1"/>
    <col min="33" max="33" width="18.7109375" customWidth="1"/>
    <col min="34" max="34" width="18" customWidth="1"/>
    <col min="35" max="35" width="13.5703125" customWidth="1"/>
    <col min="36" max="36" width="12.85546875" customWidth="1"/>
    <col min="37" max="37" width="17.85546875" customWidth="1"/>
    <col min="38" max="38" width="17.140625" customWidth="1"/>
    <col min="39" max="39" width="13.7109375" customWidth="1"/>
    <col min="40" max="40" width="13" customWidth="1"/>
    <col min="41" max="41" width="12.7109375" customWidth="1"/>
    <col min="42" max="42" width="12" customWidth="1"/>
    <col min="43" max="43" width="14.140625" customWidth="1"/>
    <col min="44" max="44" width="13.42578125" customWidth="1"/>
    <col min="45" max="45" width="16.28515625" customWidth="1"/>
    <col min="46" max="46" width="15.5703125" customWidth="1"/>
    <col min="47" max="47" width="15.140625" customWidth="1"/>
    <col min="48" max="48" width="14.42578125" customWidth="1"/>
  </cols>
  <sheetData>
    <row r="1" spans="1:48" x14ac:dyDescent="0.25">
      <c r="A1" s="1" t="s">
        <v>8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206</v>
      </c>
      <c r="G1" s="1" t="s">
        <v>24</v>
      </c>
      <c r="H1" s="1" t="s">
        <v>20</v>
      </c>
      <c r="I1" s="1" t="s">
        <v>207</v>
      </c>
      <c r="J1" s="1" t="s">
        <v>21</v>
      </c>
      <c r="K1" s="1" t="s">
        <v>22</v>
      </c>
      <c r="L1" s="1" t="s">
        <v>23</v>
      </c>
      <c r="M1" s="1" t="s">
        <v>25</v>
      </c>
      <c r="N1" s="1" t="s">
        <v>26</v>
      </c>
      <c r="O1" s="1" t="s">
        <v>37</v>
      </c>
      <c r="P1" s="1" t="s">
        <v>47</v>
      </c>
      <c r="Q1" s="1" t="s">
        <v>35</v>
      </c>
      <c r="R1" s="1" t="s">
        <v>45</v>
      </c>
      <c r="S1" s="1" t="s">
        <v>40</v>
      </c>
      <c r="T1" s="1" t="s">
        <v>50</v>
      </c>
      <c r="U1" s="1" t="s">
        <v>41</v>
      </c>
      <c r="V1" s="1" t="s">
        <v>51</v>
      </c>
      <c r="W1" s="1" t="s">
        <v>57</v>
      </c>
      <c r="X1" s="1" t="s">
        <v>58</v>
      </c>
      <c r="Y1" s="1" t="s">
        <v>59</v>
      </c>
      <c r="Z1" s="1" t="s">
        <v>60</v>
      </c>
      <c r="AA1" s="1" t="s">
        <v>61</v>
      </c>
      <c r="AB1" s="1" t="s">
        <v>62</v>
      </c>
      <c r="AC1" s="1" t="s">
        <v>63</v>
      </c>
      <c r="AD1" s="1" t="s">
        <v>64</v>
      </c>
      <c r="AE1" s="1" t="s">
        <v>65</v>
      </c>
      <c r="AF1" s="1" t="s">
        <v>66</v>
      </c>
      <c r="AG1" s="1" t="s">
        <v>67</v>
      </c>
      <c r="AH1" s="1" t="s">
        <v>68</v>
      </c>
      <c r="AI1" s="1" t="s">
        <v>69</v>
      </c>
      <c r="AJ1" s="1" t="s">
        <v>70</v>
      </c>
      <c r="AK1" s="1" t="s">
        <v>71</v>
      </c>
      <c r="AL1" s="1" t="s">
        <v>72</v>
      </c>
      <c r="AM1" s="1" t="s">
        <v>73</v>
      </c>
      <c r="AN1" s="1" t="s">
        <v>74</v>
      </c>
      <c r="AO1" s="1" t="s">
        <v>75</v>
      </c>
      <c r="AP1" s="1" t="s">
        <v>76</v>
      </c>
      <c r="AQ1" s="1" t="s">
        <v>77</v>
      </c>
      <c r="AR1" s="1" t="s">
        <v>78</v>
      </c>
      <c r="AS1" s="1" t="s">
        <v>79</v>
      </c>
      <c r="AT1" s="1" t="s">
        <v>80</v>
      </c>
      <c r="AU1" s="1" t="s">
        <v>81</v>
      </c>
      <c r="AV1" s="1" t="s">
        <v>82</v>
      </c>
    </row>
    <row r="2" spans="1:48" x14ac:dyDescent="0.25">
      <c r="A2" t="s">
        <v>86</v>
      </c>
      <c r="B2">
        <v>2.168962151610454E-2</v>
      </c>
      <c r="C2">
        <v>91.812167877670532</v>
      </c>
      <c r="D2">
        <v>9221</v>
      </c>
      <c r="E2">
        <v>52</v>
      </c>
      <c r="F2">
        <f>Tabelle2[[#This Row],[osm_pixel_no_to_built]]/Tabelle2[[#This Row],[wc_pixel_no_to_built]]*100</f>
        <v>0.56393015941871816</v>
      </c>
      <c r="G2">
        <v>0.26420079260237778</v>
      </c>
      <c r="H2">
        <v>757</v>
      </c>
      <c r="I2">
        <f>Tabelle2[[#This Row],[osm_pixel_no_to_built]]/Tabelle2[[#This Row],[wc_change_pixel]]*100</f>
        <v>6.8692206076618234</v>
      </c>
      <c r="J2">
        <v>2</v>
      </c>
      <c r="K2">
        <v>178</v>
      </c>
      <c r="L2">
        <v>577</v>
      </c>
      <c r="M2">
        <v>23.51387054161162</v>
      </c>
      <c r="N2">
        <v>76.221928665785995</v>
      </c>
      <c r="O2">
        <v>99.08934960273362</v>
      </c>
      <c r="P2">
        <v>99.091289515326693</v>
      </c>
      <c r="Q2">
        <v>93.946455790018319</v>
      </c>
      <c r="R2">
        <v>94.672462398129554</v>
      </c>
      <c r="S2">
        <v>0.3632355579859361</v>
      </c>
      <c r="T2">
        <v>0.41980350277659118</v>
      </c>
      <c r="U2">
        <v>0.94028134123683982</v>
      </c>
      <c r="V2">
        <v>0.94618065584503108</v>
      </c>
      <c r="W2">
        <v>0.9999738265142637</v>
      </c>
      <c r="X2">
        <v>5</v>
      </c>
      <c r="Y2">
        <v>0.99999999938154904</v>
      </c>
      <c r="Z2">
        <v>5</v>
      </c>
      <c r="AA2">
        <v>0.99992828960532709</v>
      </c>
      <c r="AB2">
        <v>5</v>
      </c>
      <c r="AC2">
        <v>1</v>
      </c>
      <c r="AD2">
        <v>5</v>
      </c>
      <c r="AE2">
        <v>1</v>
      </c>
      <c r="AF2">
        <v>5</v>
      </c>
      <c r="AK2">
        <v>1</v>
      </c>
      <c r="AL2">
        <v>5</v>
      </c>
      <c r="AO2">
        <v>0.99909746632478114</v>
      </c>
      <c r="AP2">
        <v>5</v>
      </c>
      <c r="AQ2">
        <v>0.99890113677173165</v>
      </c>
      <c r="AR2">
        <v>5</v>
      </c>
      <c r="AS2">
        <v>0.99370559164359518</v>
      </c>
      <c r="AT2">
        <v>5</v>
      </c>
      <c r="AU2">
        <v>1</v>
      </c>
      <c r="AV2">
        <v>5</v>
      </c>
    </row>
    <row r="3" spans="1:48" x14ac:dyDescent="0.25">
      <c r="A3" t="s">
        <v>90</v>
      </c>
      <c r="B3">
        <v>1.037538263251168</v>
      </c>
      <c r="C3">
        <v>78.008699855002419</v>
      </c>
      <c r="D3">
        <v>31035</v>
      </c>
      <c r="E3">
        <v>1584</v>
      </c>
      <c r="F3">
        <f>Tabelle2[[#This Row],[osm_pixel_no_to_built]]/Tabelle2[[#This Row],[wc_pixel_no_to_built]]*100</f>
        <v>5.1039149347510877</v>
      </c>
      <c r="G3">
        <v>4.512964260686755</v>
      </c>
      <c r="H3">
        <v>7135</v>
      </c>
      <c r="I3">
        <f>Tabelle2[[#This Row],[osm_pixel_no_to_built]]/Tabelle2[[#This Row],[wc_change_pixel]]*100</f>
        <v>22.20042046250876</v>
      </c>
      <c r="J3">
        <v>322</v>
      </c>
      <c r="K3">
        <v>6395</v>
      </c>
      <c r="L3">
        <v>418</v>
      </c>
      <c r="M3">
        <v>89.62859145059565</v>
      </c>
      <c r="N3">
        <v>5.8584442887175898</v>
      </c>
      <c r="O3">
        <v>48.43744986112646</v>
      </c>
      <c r="P3">
        <v>48.549612378225667</v>
      </c>
      <c r="Q3">
        <v>88.47179181419132</v>
      </c>
      <c r="R3">
        <v>89.222104379958282</v>
      </c>
      <c r="S3">
        <v>0.36356659899044458</v>
      </c>
      <c r="T3">
        <v>0.4378253990017083</v>
      </c>
      <c r="U3">
        <v>0.86119445130775474</v>
      </c>
      <c r="V3">
        <v>0.8552319184666165</v>
      </c>
      <c r="W3">
        <v>0.98289789610436529</v>
      </c>
      <c r="X3">
        <v>5</v>
      </c>
      <c r="Y3">
        <v>0.77722540777802263</v>
      </c>
      <c r="Z3">
        <v>3</v>
      </c>
      <c r="AA3">
        <v>0.99454093334307136</v>
      </c>
      <c r="AB3">
        <v>5</v>
      </c>
      <c r="AC3">
        <v>0.48552984106357461</v>
      </c>
      <c r="AD3">
        <v>3</v>
      </c>
      <c r="AE3">
        <v>0.62194893747681057</v>
      </c>
      <c r="AF3">
        <v>3</v>
      </c>
      <c r="AK3">
        <v>0.62551185133071885</v>
      </c>
      <c r="AL3">
        <v>3</v>
      </c>
      <c r="AO3">
        <v>0.82129127823790737</v>
      </c>
      <c r="AP3">
        <v>3</v>
      </c>
      <c r="AQ3">
        <v>0.99999996576260597</v>
      </c>
      <c r="AR3">
        <v>5</v>
      </c>
      <c r="AS3">
        <v>0.55658357610317422</v>
      </c>
      <c r="AT3">
        <v>3</v>
      </c>
      <c r="AU3">
        <v>0.99841093610906106</v>
      </c>
      <c r="AV3">
        <v>5</v>
      </c>
    </row>
    <row r="4" spans="1:48" x14ac:dyDescent="0.25">
      <c r="A4" t="s">
        <v>94</v>
      </c>
      <c r="B4">
        <v>0.15939597315436241</v>
      </c>
      <c r="C4">
        <v>83.636744966442961</v>
      </c>
      <c r="D4">
        <v>23840</v>
      </c>
      <c r="E4">
        <v>923</v>
      </c>
      <c r="F4">
        <f>Tabelle2[[#This Row],[osm_pixel_no_to_built]]/Tabelle2[[#This Row],[wc_pixel_no_to_built]]*100</f>
        <v>3.8716442953020134</v>
      </c>
      <c r="G4">
        <v>0.9664292980671414</v>
      </c>
      <c r="H4">
        <v>3932</v>
      </c>
      <c r="I4">
        <f>Tabelle2[[#This Row],[osm_pixel_no_to_built]]/Tabelle2[[#This Row],[wc_change_pixel]]*100</f>
        <v>23.474059003051881</v>
      </c>
      <c r="J4">
        <v>38</v>
      </c>
      <c r="K4">
        <v>2633</v>
      </c>
      <c r="L4">
        <v>1261</v>
      </c>
      <c r="M4">
        <v>66.963377416073243</v>
      </c>
      <c r="N4">
        <v>32.070193285859617</v>
      </c>
      <c r="O4">
        <v>87.46927975184407</v>
      </c>
      <c r="P4">
        <v>87.409685653866958</v>
      </c>
      <c r="Q4">
        <v>86.217840155052443</v>
      </c>
      <c r="R4">
        <v>87.904053672138062</v>
      </c>
      <c r="S4">
        <v>0.4633041389734352</v>
      </c>
      <c r="T4">
        <v>0.52872283171186085</v>
      </c>
      <c r="U4">
        <v>0.92436898417813029</v>
      </c>
      <c r="V4">
        <v>0.91314233417464485</v>
      </c>
      <c r="W4">
        <v>0.89957354405433243</v>
      </c>
      <c r="X4">
        <v>3</v>
      </c>
      <c r="Y4">
        <v>0.89300387543857496</v>
      </c>
      <c r="Z4">
        <v>3</v>
      </c>
      <c r="AA4">
        <v>0.90204580507559018</v>
      </c>
      <c r="AB4">
        <v>3</v>
      </c>
      <c r="AC4">
        <v>1</v>
      </c>
      <c r="AD4">
        <v>5</v>
      </c>
      <c r="AE4">
        <v>0.85322549344413157</v>
      </c>
      <c r="AF4">
        <v>3</v>
      </c>
      <c r="AK4">
        <v>0.89113599726794612</v>
      </c>
      <c r="AL4">
        <v>3</v>
      </c>
      <c r="AO4">
        <v>0.97871166039259572</v>
      </c>
      <c r="AP4">
        <v>5</v>
      </c>
      <c r="AQ4">
        <v>0.81143259734224726</v>
      </c>
      <c r="AR4">
        <v>3</v>
      </c>
      <c r="AS4">
        <v>1</v>
      </c>
      <c r="AT4">
        <v>5</v>
      </c>
      <c r="AU4">
        <v>0.99910822763438611</v>
      </c>
      <c r="AV4">
        <v>5</v>
      </c>
    </row>
    <row r="5" spans="1:48" x14ac:dyDescent="0.25">
      <c r="A5" t="s">
        <v>98</v>
      </c>
      <c r="B5">
        <v>0.25781169433845519</v>
      </c>
      <c r="C5">
        <v>84.888797222508686</v>
      </c>
      <c r="D5">
        <v>58182</v>
      </c>
      <c r="E5">
        <v>2105</v>
      </c>
      <c r="F5">
        <f>Tabelle2[[#This Row],[osm_pixel_no_to_built]]/Tabelle2[[#This Row],[wc_pixel_no_to_built]]*100</f>
        <v>3.6179574438829882</v>
      </c>
      <c r="G5">
        <v>1.702031090434585</v>
      </c>
      <c r="H5">
        <v>8813</v>
      </c>
      <c r="I5">
        <f>Tabelle2[[#This Row],[osm_pixel_no_to_built]]/Tabelle2[[#This Row],[wc_change_pixel]]*100</f>
        <v>23.885169635765347</v>
      </c>
      <c r="J5">
        <v>150</v>
      </c>
      <c r="K5">
        <v>654</v>
      </c>
      <c r="L5">
        <v>8009</v>
      </c>
      <c r="M5">
        <v>7.4208555542947918</v>
      </c>
      <c r="N5">
        <v>90.877113355270623</v>
      </c>
      <c r="O5">
        <v>99.182275684083208</v>
      </c>
      <c r="P5">
        <v>99.154378811149698</v>
      </c>
      <c r="Q5">
        <v>90.314026030996359</v>
      </c>
      <c r="R5">
        <v>91.778984030042039</v>
      </c>
      <c r="S5">
        <v>0.46286336446636578</v>
      </c>
      <c r="T5">
        <v>0.53091576524098172</v>
      </c>
      <c r="U5">
        <v>0.88862865093906029</v>
      </c>
      <c r="V5">
        <v>0.89833623417281594</v>
      </c>
      <c r="W5">
        <v>0.87783755272876085</v>
      </c>
      <c r="X5">
        <v>3</v>
      </c>
      <c r="Y5">
        <v>0.70163244103756206</v>
      </c>
      <c r="Z5">
        <v>3</v>
      </c>
      <c r="AA5">
        <v>0.80610761775109696</v>
      </c>
      <c r="AB5">
        <v>3</v>
      </c>
      <c r="AC5">
        <v>1</v>
      </c>
      <c r="AD5">
        <v>5</v>
      </c>
      <c r="AE5">
        <v>0.99999999999982814</v>
      </c>
      <c r="AF5">
        <v>5</v>
      </c>
      <c r="AK5">
        <v>0.98150090466104767</v>
      </c>
      <c r="AL5">
        <v>5</v>
      </c>
      <c r="AO5">
        <v>0.99320420561577893</v>
      </c>
      <c r="AP5">
        <v>5</v>
      </c>
      <c r="AQ5">
        <v>0.75455443858319116</v>
      </c>
      <c r="AR5">
        <v>3</v>
      </c>
      <c r="AS5">
        <v>0.81049152639968558</v>
      </c>
      <c r="AT5">
        <v>3</v>
      </c>
      <c r="AU5">
        <v>1</v>
      </c>
      <c r="AV5">
        <v>5</v>
      </c>
    </row>
    <row r="6" spans="1:48" x14ac:dyDescent="0.25">
      <c r="A6" t="s">
        <v>102</v>
      </c>
      <c r="B6">
        <v>0.38604209799861983</v>
      </c>
      <c r="C6">
        <v>54.080400276052451</v>
      </c>
      <c r="D6">
        <v>46368</v>
      </c>
      <c r="E6">
        <v>3397</v>
      </c>
      <c r="F6">
        <f>Tabelle2[[#This Row],[osm_pixel_no_to_built]]/Tabelle2[[#This Row],[wc_pixel_no_to_built]]*100</f>
        <v>7.3261732229123533</v>
      </c>
      <c r="G6">
        <v>0.83876107024038227</v>
      </c>
      <c r="H6">
        <v>21341</v>
      </c>
      <c r="I6">
        <f>Tabelle2[[#This Row],[osm_pixel_no_to_built]]/Tabelle2[[#This Row],[wc_change_pixel]]*100</f>
        <v>15.917717070427814</v>
      </c>
      <c r="J6">
        <v>179</v>
      </c>
      <c r="K6">
        <v>6038</v>
      </c>
      <c r="L6">
        <v>15124</v>
      </c>
      <c r="M6">
        <v>28.292957218499598</v>
      </c>
      <c r="N6">
        <v>70.868281711260011</v>
      </c>
      <c r="O6">
        <v>96.932788555463361</v>
      </c>
      <c r="P6">
        <v>96.783191712093995</v>
      </c>
      <c r="Q6">
        <v>93.761866991451299</v>
      </c>
      <c r="R6">
        <v>94.399412053085385</v>
      </c>
      <c r="S6">
        <v>0.23983977545172799</v>
      </c>
      <c r="T6">
        <v>0.28086161407012539</v>
      </c>
      <c r="U6">
        <v>0.4911314343875825</v>
      </c>
      <c r="V6">
        <v>0.55190573524107245</v>
      </c>
      <c r="W6">
        <v>0.98205128274491826</v>
      </c>
      <c r="X6">
        <v>5</v>
      </c>
      <c r="Y6">
        <v>0.91553537677702679</v>
      </c>
      <c r="Z6">
        <v>3</v>
      </c>
      <c r="AA6">
        <v>0.98446715113267214</v>
      </c>
      <c r="AB6">
        <v>5</v>
      </c>
      <c r="AC6">
        <v>0.99999999999999978</v>
      </c>
      <c r="AD6">
        <v>5</v>
      </c>
      <c r="AE6">
        <v>0.99999967757831143</v>
      </c>
      <c r="AF6">
        <v>5</v>
      </c>
      <c r="AK6">
        <v>0.9603907457976788</v>
      </c>
      <c r="AL6">
        <v>3</v>
      </c>
      <c r="AO6">
        <v>0.91973144084391822</v>
      </c>
      <c r="AP6">
        <v>3</v>
      </c>
      <c r="AQ6">
        <v>0.98534002668452891</v>
      </c>
      <c r="AR6">
        <v>5</v>
      </c>
      <c r="AS6">
        <v>0.99915818680915414</v>
      </c>
      <c r="AT6">
        <v>5</v>
      </c>
      <c r="AU6">
        <v>0.89891114837748931</v>
      </c>
      <c r="AV6">
        <v>3</v>
      </c>
    </row>
    <row r="7" spans="1:48" x14ac:dyDescent="0.25">
      <c r="A7" t="s">
        <v>106</v>
      </c>
      <c r="B7">
        <v>1.24954987396471</v>
      </c>
      <c r="C7">
        <v>81.080302484695707</v>
      </c>
      <c r="D7">
        <v>27770</v>
      </c>
      <c r="E7">
        <v>4684</v>
      </c>
      <c r="F7">
        <f>Tabelle2[[#This Row],[osm_pixel_no_to_built]]/Tabelle2[[#This Row],[wc_pixel_no_to_built]]*100</f>
        <v>16.867122794382428</v>
      </c>
      <c r="G7">
        <v>6.4128626871188326</v>
      </c>
      <c r="H7">
        <v>5411</v>
      </c>
      <c r="I7">
        <f>Tabelle2[[#This Row],[osm_pixel_no_to_built]]/Tabelle2[[#This Row],[wc_change_pixel]]*100</f>
        <v>86.564405839955654</v>
      </c>
      <c r="J7">
        <v>347</v>
      </c>
      <c r="K7">
        <v>1648</v>
      </c>
      <c r="L7">
        <v>3416</v>
      </c>
      <c r="M7">
        <v>30.45647754574016</v>
      </c>
      <c r="N7">
        <v>63.130659767140997</v>
      </c>
      <c r="O7">
        <v>77.543539560218562</v>
      </c>
      <c r="P7">
        <v>79.378469622219271</v>
      </c>
      <c r="Q7">
        <v>94.615766461830702</v>
      </c>
      <c r="R7">
        <v>95.400495835764431</v>
      </c>
      <c r="S7">
        <v>0.40644925632333428</v>
      </c>
      <c r="T7">
        <v>0.45578122756354011</v>
      </c>
      <c r="U7">
        <v>0.88892937730375188</v>
      </c>
      <c r="V7">
        <v>0.89254581924752074</v>
      </c>
      <c r="W7">
        <v>0.87062910216801626</v>
      </c>
      <c r="X7">
        <v>3</v>
      </c>
      <c r="Y7">
        <v>0.87911400160408792</v>
      </c>
      <c r="Z7">
        <v>3</v>
      </c>
      <c r="AA7">
        <v>0.90518585873050283</v>
      </c>
      <c r="AB7">
        <v>3</v>
      </c>
      <c r="AC7">
        <v>0.74622156140932316</v>
      </c>
      <c r="AD7">
        <v>3</v>
      </c>
      <c r="AE7">
        <v>0.57461265785512017</v>
      </c>
      <c r="AF7">
        <v>3</v>
      </c>
      <c r="AI7">
        <v>0.99999999999690092</v>
      </c>
      <c r="AJ7">
        <v>5</v>
      </c>
      <c r="AK7">
        <v>0.75319498997903911</v>
      </c>
      <c r="AL7">
        <v>3</v>
      </c>
      <c r="AO7">
        <v>0.69814711396923201</v>
      </c>
      <c r="AP7">
        <v>3</v>
      </c>
      <c r="AQ7">
        <v>0.95462464885709031</v>
      </c>
      <c r="AR7">
        <v>3</v>
      </c>
      <c r="AS7">
        <v>0.69627300176195661</v>
      </c>
      <c r="AT7">
        <v>3</v>
      </c>
      <c r="AU7">
        <v>0.91945979134695199</v>
      </c>
      <c r="AV7">
        <v>3</v>
      </c>
    </row>
    <row r="8" spans="1:48" x14ac:dyDescent="0.25">
      <c r="A8" t="s">
        <v>110</v>
      </c>
      <c r="B8">
        <v>1.6957576239513339</v>
      </c>
      <c r="C8">
        <v>89.610751063576004</v>
      </c>
      <c r="D8">
        <v>50302</v>
      </c>
      <c r="E8">
        <v>19500</v>
      </c>
      <c r="F8">
        <f>Tabelle2[[#This Row],[osm_pixel_no_to_built]]/Tabelle2[[#This Row],[wc_pixel_no_to_built]]*100</f>
        <v>38.765854240388052</v>
      </c>
      <c r="G8">
        <v>15.551504102096629</v>
      </c>
      <c r="H8">
        <v>5485</v>
      </c>
      <c r="I8">
        <f>Tabelle2[[#This Row],[osm_pixel_no_to_built]]/Tabelle2[[#This Row],[wc_change_pixel]]*100</f>
        <v>355.51504102096629</v>
      </c>
      <c r="J8">
        <v>853</v>
      </c>
      <c r="K8">
        <v>3486</v>
      </c>
      <c r="L8">
        <v>1146</v>
      </c>
      <c r="M8">
        <v>63.555150410209663</v>
      </c>
      <c r="N8">
        <v>20.893345487693711</v>
      </c>
      <c r="O8">
        <v>43.467613882416018</v>
      </c>
      <c r="P8">
        <v>57.540779081516916</v>
      </c>
      <c r="Q8">
        <v>74.790443574690144</v>
      </c>
      <c r="R8">
        <v>82.695564136794104</v>
      </c>
      <c r="S8">
        <v>0.36727709384699692</v>
      </c>
      <c r="T8">
        <v>0.45204373288561089</v>
      </c>
      <c r="U8">
        <v>0.93477199148083434</v>
      </c>
      <c r="V8">
        <v>0.93652351433386749</v>
      </c>
      <c r="W8">
        <v>0.76450123884148358</v>
      </c>
      <c r="X8">
        <v>3</v>
      </c>
      <c r="Y8">
        <v>0.86704383361248849</v>
      </c>
      <c r="Z8">
        <v>3</v>
      </c>
      <c r="AA8">
        <v>0.8111071687182998</v>
      </c>
      <c r="AB8">
        <v>3</v>
      </c>
      <c r="AC8">
        <v>9.1073483438915234E-2</v>
      </c>
      <c r="AD8">
        <v>1</v>
      </c>
      <c r="AE8">
        <v>0.35338059746499217</v>
      </c>
      <c r="AF8">
        <v>3</v>
      </c>
      <c r="AK8">
        <v>0.7423216209753053</v>
      </c>
      <c r="AL8">
        <v>3</v>
      </c>
      <c r="AO8">
        <v>0.7839929392054239</v>
      </c>
      <c r="AP8">
        <v>3</v>
      </c>
      <c r="AQ8">
        <v>0.73109261931927327</v>
      </c>
      <c r="AR8">
        <v>3</v>
      </c>
      <c r="AS8">
        <v>0.91249646839463439</v>
      </c>
      <c r="AT8">
        <v>3</v>
      </c>
      <c r="AU8">
        <v>0.32871072628742343</v>
      </c>
      <c r="AV8">
        <v>3</v>
      </c>
    </row>
    <row r="9" spans="1:48" x14ac:dyDescent="0.25">
      <c r="A9" t="s">
        <v>114</v>
      </c>
      <c r="B9">
        <v>0.83768362267815955</v>
      </c>
      <c r="C9">
        <v>80.963943183197756</v>
      </c>
      <c r="D9">
        <v>8237</v>
      </c>
      <c r="E9">
        <v>1948</v>
      </c>
      <c r="F9">
        <f>Tabelle2[[#This Row],[osm_pixel_no_to_built]]/Tabelle2[[#This Row],[wc_pixel_no_to_built]]*100</f>
        <v>23.649386912710938</v>
      </c>
      <c r="G9">
        <v>4.2331288343558278</v>
      </c>
      <c r="H9">
        <v>1630</v>
      </c>
      <c r="I9">
        <f>Tabelle2[[#This Row],[osm_pixel_no_to_built]]/Tabelle2[[#This Row],[wc_change_pixel]]*100</f>
        <v>119.50920245398773</v>
      </c>
      <c r="J9">
        <v>69</v>
      </c>
      <c r="K9">
        <v>1155</v>
      </c>
      <c r="L9">
        <v>406</v>
      </c>
      <c r="M9">
        <v>70.858895705521476</v>
      </c>
      <c r="N9">
        <v>24.907975460122699</v>
      </c>
      <c r="O9">
        <v>78.269333387030201</v>
      </c>
      <c r="P9">
        <v>78.488013853790164</v>
      </c>
      <c r="Q9">
        <v>94.081190438059437</v>
      </c>
      <c r="R9">
        <v>94.557103210566382</v>
      </c>
      <c r="S9">
        <v>0.18660066884159501</v>
      </c>
      <c r="T9">
        <v>0.2459842995169082</v>
      </c>
      <c r="U9">
        <v>0.85333458048826116</v>
      </c>
      <c r="V9">
        <v>0.85323791237563273</v>
      </c>
      <c r="W9">
        <v>0.82848376128122581</v>
      </c>
      <c r="X9">
        <v>3</v>
      </c>
      <c r="Y9">
        <v>0.83073724267711502</v>
      </c>
      <c r="Z9">
        <v>3</v>
      </c>
      <c r="AA9">
        <v>0.82702571662471036</v>
      </c>
      <c r="AB9">
        <v>3</v>
      </c>
      <c r="AC9">
        <v>0.83065678973380752</v>
      </c>
      <c r="AD9">
        <v>3</v>
      </c>
      <c r="AE9">
        <v>0.67374083255714867</v>
      </c>
      <c r="AF9">
        <v>3</v>
      </c>
      <c r="AK9">
        <v>0.83455386244066032</v>
      </c>
      <c r="AL9">
        <v>3</v>
      </c>
      <c r="AO9">
        <v>0.98890758625720177</v>
      </c>
      <c r="AP9">
        <v>5</v>
      </c>
      <c r="AQ9">
        <v>0.85242652382234307</v>
      </c>
      <c r="AR9">
        <v>3</v>
      </c>
    </row>
    <row r="10" spans="1:48" x14ac:dyDescent="0.25">
      <c r="A10" t="s">
        <v>118</v>
      </c>
      <c r="B10">
        <v>1.7355506523123401</v>
      </c>
      <c r="C10">
        <v>83.684046853944224</v>
      </c>
      <c r="D10">
        <v>67529</v>
      </c>
      <c r="E10">
        <v>13224</v>
      </c>
      <c r="F10">
        <f>Tabelle2[[#This Row],[osm_pixel_no_to_built]]/Tabelle2[[#This Row],[wc_pixel_no_to_built]]*100</f>
        <v>19.58269780390647</v>
      </c>
      <c r="G10">
        <v>9.725333997178657</v>
      </c>
      <c r="H10">
        <v>12051</v>
      </c>
      <c r="I10">
        <f>Tabelle2[[#This Row],[osm_pixel_no_to_built]]/Tabelle2[[#This Row],[wc_change_pixel]]*100</f>
        <v>109.73363206372915</v>
      </c>
      <c r="J10">
        <v>1172</v>
      </c>
      <c r="K10">
        <v>6106</v>
      </c>
      <c r="L10">
        <v>4773</v>
      </c>
      <c r="M10">
        <v>50.667994357314747</v>
      </c>
      <c r="N10">
        <v>39.606671645506587</v>
      </c>
      <c r="O10">
        <v>95.991743334882997</v>
      </c>
      <c r="P10">
        <v>96.066032735026752</v>
      </c>
      <c r="Q10">
        <v>93.303276273708562</v>
      </c>
      <c r="R10">
        <v>93.848945786628718</v>
      </c>
      <c r="S10">
        <v>0.28842834411915191</v>
      </c>
      <c r="T10">
        <v>0.33329392278134401</v>
      </c>
      <c r="U10">
        <v>0.85678257674449676</v>
      </c>
      <c r="V10">
        <v>0.87094893744771762</v>
      </c>
      <c r="W10">
        <v>0.72684254022469641</v>
      </c>
      <c r="X10">
        <v>3</v>
      </c>
      <c r="Y10">
        <v>0.82529730625077247</v>
      </c>
      <c r="Z10">
        <v>3</v>
      </c>
      <c r="AA10">
        <v>0.72028525846772118</v>
      </c>
      <c r="AB10">
        <v>3</v>
      </c>
      <c r="AC10">
        <v>0.95945193895271275</v>
      </c>
      <c r="AD10">
        <v>3</v>
      </c>
      <c r="AE10">
        <v>0.8983453146453908</v>
      </c>
      <c r="AF10">
        <v>3</v>
      </c>
      <c r="AI10">
        <v>0.98901226957152633</v>
      </c>
      <c r="AJ10">
        <v>5</v>
      </c>
      <c r="AK10">
        <v>0.80613551383497528</v>
      </c>
      <c r="AL10">
        <v>3</v>
      </c>
      <c r="AO10">
        <v>0.83967957942565297</v>
      </c>
      <c r="AP10">
        <v>3</v>
      </c>
      <c r="AQ10">
        <v>0.92894019797716443</v>
      </c>
      <c r="AR10">
        <v>3</v>
      </c>
      <c r="AS10">
        <v>0.89092027898015147</v>
      </c>
      <c r="AT10">
        <v>3</v>
      </c>
      <c r="AU10">
        <v>0.99371785336283358</v>
      </c>
      <c r="AV10">
        <v>5</v>
      </c>
    </row>
    <row r="11" spans="1:48" x14ac:dyDescent="0.25">
      <c r="A11" t="s">
        <v>122</v>
      </c>
      <c r="B11">
        <v>1.6973251577357149</v>
      </c>
      <c r="C11">
        <v>79.063360881542692</v>
      </c>
      <c r="D11">
        <v>11253</v>
      </c>
      <c r="E11">
        <v>4864</v>
      </c>
      <c r="F11">
        <f>Tabelle2[[#This Row],[osm_pixel_no_to_built]]/Tabelle2[[#This Row],[wc_pixel_no_to_built]]*100</f>
        <v>43.224029147782808</v>
      </c>
      <c r="G11">
        <v>7.5167256985438797</v>
      </c>
      <c r="H11">
        <v>2541</v>
      </c>
      <c r="I11">
        <f>Tabelle2[[#This Row],[osm_pixel_no_to_built]]/Tabelle2[[#This Row],[wc_change_pixel]]*100</f>
        <v>191.4207005116096</v>
      </c>
      <c r="J11">
        <v>191</v>
      </c>
      <c r="K11">
        <v>1741</v>
      </c>
      <c r="L11">
        <v>609</v>
      </c>
      <c r="M11">
        <v>68.516332152695796</v>
      </c>
      <c r="N11">
        <v>23.966942148760332</v>
      </c>
      <c r="O11">
        <v>85.034102705901759</v>
      </c>
      <c r="P11">
        <v>86.456827494316215</v>
      </c>
      <c r="Q11">
        <v>88.687667935033744</v>
      </c>
      <c r="R11">
        <v>89.78456865570729</v>
      </c>
      <c r="S11">
        <v>0.35413143047616702</v>
      </c>
      <c r="T11">
        <v>0.38082914086687308</v>
      </c>
      <c r="U11">
        <v>0.86583157259281618</v>
      </c>
      <c r="V11">
        <v>0.87407880310327124</v>
      </c>
      <c r="W11">
        <v>0.86861424190288239</v>
      </c>
      <c r="X11">
        <v>3</v>
      </c>
      <c r="Y11">
        <v>0.89897469228042837</v>
      </c>
      <c r="Z11">
        <v>3</v>
      </c>
      <c r="AA11">
        <v>0.9127509759385134</v>
      </c>
      <c r="AB11">
        <v>3</v>
      </c>
      <c r="AC11">
        <v>0.87224755725565428</v>
      </c>
      <c r="AD11">
        <v>3</v>
      </c>
      <c r="AE11">
        <v>0.68088223899377731</v>
      </c>
      <c r="AF11">
        <v>3</v>
      </c>
      <c r="AK11">
        <v>0.75376666924306424</v>
      </c>
      <c r="AL11">
        <v>3</v>
      </c>
      <c r="AO11">
        <v>0.69891223093108901</v>
      </c>
      <c r="AP11">
        <v>3</v>
      </c>
      <c r="AQ11">
        <v>0.83540581318801266</v>
      </c>
      <c r="AR11">
        <v>3</v>
      </c>
      <c r="AS11">
        <v>0.83777821419873222</v>
      </c>
      <c r="AT11">
        <v>3</v>
      </c>
      <c r="AU11">
        <v>0.9987571675319562</v>
      </c>
      <c r="AV11">
        <v>5</v>
      </c>
    </row>
    <row r="12" spans="1:48" x14ac:dyDescent="0.25">
      <c r="A12" t="s">
        <v>126</v>
      </c>
      <c r="B12">
        <v>4.4605059370160047</v>
      </c>
      <c r="C12">
        <v>86.391326794011363</v>
      </c>
      <c r="D12">
        <v>9685</v>
      </c>
      <c r="E12">
        <v>4235</v>
      </c>
      <c r="F12">
        <f>Tabelle2[[#This Row],[osm_pixel_no_to_built]]/Tabelle2[[#This Row],[wc_pixel_no_to_built]]*100</f>
        <v>43.727413526071246</v>
      </c>
      <c r="G12">
        <v>25.248392752776159</v>
      </c>
      <c r="H12">
        <v>1711</v>
      </c>
      <c r="I12">
        <f>Tabelle2[[#This Row],[osm_pixel_no_to_built]]/Tabelle2[[#This Row],[wc_change_pixel]]*100</f>
        <v>247.51607247223845</v>
      </c>
      <c r="J12">
        <v>432</v>
      </c>
      <c r="K12">
        <v>678</v>
      </c>
      <c r="L12">
        <v>601</v>
      </c>
      <c r="M12">
        <v>39.625949736995913</v>
      </c>
      <c r="N12">
        <v>35.125657510227938</v>
      </c>
      <c r="O12">
        <v>75.34623634582718</v>
      </c>
      <c r="P12">
        <v>75.586153025925881</v>
      </c>
      <c r="Q12">
        <v>91.75388218773827</v>
      </c>
      <c r="R12">
        <v>92.945663317613295</v>
      </c>
      <c r="S12">
        <v>0.44004752228995259</v>
      </c>
      <c r="T12">
        <v>0.52858992633537538</v>
      </c>
      <c r="U12">
        <v>0.88414947016174006</v>
      </c>
      <c r="V12">
        <v>0.91843911292609604</v>
      </c>
      <c r="W12">
        <v>0.95986278810653303</v>
      </c>
      <c r="X12">
        <v>3</v>
      </c>
      <c r="Y12">
        <v>0.99574772049701865</v>
      </c>
      <c r="Z12">
        <v>5</v>
      </c>
      <c r="AA12">
        <v>0.96327767932919295</v>
      </c>
      <c r="AB12">
        <v>3</v>
      </c>
      <c r="AC12">
        <v>1</v>
      </c>
      <c r="AD12">
        <v>5</v>
      </c>
      <c r="AE12">
        <v>0.86620903095653823</v>
      </c>
      <c r="AF12">
        <v>3</v>
      </c>
      <c r="AK12">
        <v>1</v>
      </c>
      <c r="AL12">
        <v>5</v>
      </c>
      <c r="AO12">
        <v>0.87260566080155688</v>
      </c>
      <c r="AP12">
        <v>3</v>
      </c>
      <c r="AQ12">
        <v>0.9015227183225778</v>
      </c>
      <c r="AR12">
        <v>3</v>
      </c>
      <c r="AS12">
        <v>0.78699889608090523</v>
      </c>
      <c r="AT12">
        <v>3</v>
      </c>
      <c r="AU12">
        <v>0.99764373289864527</v>
      </c>
      <c r="AV12">
        <v>5</v>
      </c>
    </row>
    <row r="13" spans="1:48" x14ac:dyDescent="0.25">
      <c r="A13" t="s">
        <v>130</v>
      </c>
      <c r="B13">
        <v>1.800284937184303</v>
      </c>
      <c r="C13">
        <v>87.398005439709877</v>
      </c>
      <c r="D13">
        <v>15442</v>
      </c>
      <c r="E13">
        <v>2026</v>
      </c>
      <c r="F13">
        <f>Tabelle2[[#This Row],[osm_pixel_no_to_built]]/Tabelle2[[#This Row],[wc_pixel_no_to_built]]*100</f>
        <v>13.120062168112939</v>
      </c>
      <c r="G13">
        <v>12.670920692798539</v>
      </c>
      <c r="H13">
        <v>2194</v>
      </c>
      <c r="I13">
        <f>Tabelle2[[#This Row],[osm_pixel_no_to_built]]/Tabelle2[[#This Row],[wc_change_pixel]]*100</f>
        <v>92.34275296262534</v>
      </c>
      <c r="J13">
        <v>278</v>
      </c>
      <c r="K13">
        <v>1393</v>
      </c>
      <c r="L13">
        <v>523</v>
      </c>
      <c r="M13">
        <v>63.491340018231547</v>
      </c>
      <c r="N13">
        <v>23.837739288969921</v>
      </c>
      <c r="O13">
        <v>67.23316591508474</v>
      </c>
      <c r="P13">
        <v>68.399805578808099</v>
      </c>
      <c r="Q13">
        <v>87.319830712410237</v>
      </c>
      <c r="R13">
        <v>88.963897277985041</v>
      </c>
      <c r="S13">
        <v>0.54938434050333107</v>
      </c>
      <c r="T13">
        <v>0.62265849401481521</v>
      </c>
      <c r="U13">
        <v>0.9543803084622603</v>
      </c>
      <c r="V13">
        <v>0.94525406578274795</v>
      </c>
      <c r="W13">
        <v>0.94395238951892624</v>
      </c>
      <c r="X13">
        <v>3</v>
      </c>
      <c r="Y13">
        <v>0.77248497670001903</v>
      </c>
      <c r="Z13">
        <v>3</v>
      </c>
      <c r="AA13">
        <v>0.97367674419407779</v>
      </c>
      <c r="AB13">
        <v>5</v>
      </c>
      <c r="AC13">
        <v>0.75225393424666631</v>
      </c>
      <c r="AD13">
        <v>3</v>
      </c>
      <c r="AE13">
        <v>0.59726827799086224</v>
      </c>
      <c r="AF13">
        <v>3</v>
      </c>
      <c r="AK13">
        <v>0.64843764992459052</v>
      </c>
      <c r="AL13">
        <v>3</v>
      </c>
      <c r="AM13">
        <v>1</v>
      </c>
      <c r="AN13">
        <v>5</v>
      </c>
      <c r="AO13">
        <v>0.7917744994655187</v>
      </c>
      <c r="AP13">
        <v>3</v>
      </c>
      <c r="AQ13">
        <v>0.88427653892873237</v>
      </c>
      <c r="AR13">
        <v>3</v>
      </c>
      <c r="AS13">
        <v>0.79705971626054661</v>
      </c>
      <c r="AT13">
        <v>3</v>
      </c>
    </row>
    <row r="14" spans="1:48" x14ac:dyDescent="0.25">
      <c r="A14" t="s">
        <v>134</v>
      </c>
      <c r="B14">
        <v>2.322545447460203</v>
      </c>
      <c r="C14">
        <v>85.242483876624519</v>
      </c>
      <c r="D14">
        <v>51323</v>
      </c>
      <c r="E14">
        <v>16723</v>
      </c>
      <c r="F14">
        <f>Tabelle2[[#This Row],[osm_pixel_no_to_built]]/Tabelle2[[#This Row],[wc_pixel_no_to_built]]*100</f>
        <v>32.583831810299472</v>
      </c>
      <c r="G14">
        <v>13.85241138872748</v>
      </c>
      <c r="H14">
        <v>8605</v>
      </c>
      <c r="I14">
        <f>Tabelle2[[#This Row],[osm_pixel_no_to_built]]/Tabelle2[[#This Row],[wc_change_pixel]]*100</f>
        <v>194.34049970947126</v>
      </c>
      <c r="J14">
        <v>1192</v>
      </c>
      <c r="K14">
        <v>6001</v>
      </c>
      <c r="L14">
        <v>1412</v>
      </c>
      <c r="M14">
        <v>69.73852411388728</v>
      </c>
      <c r="N14">
        <v>16.409064497385241</v>
      </c>
      <c r="O14">
        <v>62.507969924523103</v>
      </c>
      <c r="P14">
        <v>63.642092986242247</v>
      </c>
      <c r="Q14">
        <v>81.504742505079605</v>
      </c>
      <c r="R14">
        <v>82.849260090261495</v>
      </c>
      <c r="S14">
        <v>0.4630962074783771</v>
      </c>
      <c r="T14">
        <v>0.50547315473482979</v>
      </c>
      <c r="U14">
        <v>0.86061521397977603</v>
      </c>
      <c r="V14">
        <v>0.87474032156845771</v>
      </c>
      <c r="W14">
        <v>0.92007885460475491</v>
      </c>
      <c r="X14">
        <v>3</v>
      </c>
      <c r="Y14">
        <v>0.86797942638549819</v>
      </c>
      <c r="Z14">
        <v>3</v>
      </c>
      <c r="AA14">
        <v>0.93321228824760105</v>
      </c>
      <c r="AB14">
        <v>3</v>
      </c>
      <c r="AC14">
        <v>0.92390880680474086</v>
      </c>
      <c r="AD14">
        <v>3</v>
      </c>
      <c r="AE14">
        <v>0.81438455023455669</v>
      </c>
      <c r="AF14">
        <v>3</v>
      </c>
      <c r="AK14">
        <v>0.76474450594870469</v>
      </c>
      <c r="AL14">
        <v>3</v>
      </c>
      <c r="AO14">
        <v>0.73260966519326776</v>
      </c>
      <c r="AP14">
        <v>3</v>
      </c>
      <c r="AQ14">
        <v>0.81145018022750404</v>
      </c>
      <c r="AR14">
        <v>3</v>
      </c>
      <c r="AS14">
        <v>0.4204445236287036</v>
      </c>
      <c r="AT14">
        <v>3</v>
      </c>
      <c r="AU14">
        <v>0.772679683357548</v>
      </c>
      <c r="AV14">
        <v>3</v>
      </c>
    </row>
    <row r="15" spans="1:48" x14ac:dyDescent="0.25">
      <c r="A15" t="s">
        <v>138</v>
      </c>
      <c r="B15">
        <v>0.1485994501820343</v>
      </c>
      <c r="C15">
        <v>89.742922951185079</v>
      </c>
      <c r="D15">
        <v>26918</v>
      </c>
      <c r="E15">
        <v>367</v>
      </c>
      <c r="F15">
        <f>Tabelle2[[#This Row],[osm_pixel_no_to_built]]/Tabelle2[[#This Row],[wc_pixel_no_to_built]]*100</f>
        <v>1.3633999554201648</v>
      </c>
      <c r="G15">
        <v>1.432151808091658</v>
      </c>
      <c r="H15">
        <v>2793</v>
      </c>
      <c r="I15">
        <f>Tabelle2[[#This Row],[osm_pixel_no_to_built]]/Tabelle2[[#This Row],[wc_change_pixel]]*100</f>
        <v>13.139992839240961</v>
      </c>
      <c r="J15">
        <v>40</v>
      </c>
      <c r="K15">
        <v>2008</v>
      </c>
      <c r="L15">
        <v>745</v>
      </c>
      <c r="M15">
        <v>71.894020766201223</v>
      </c>
      <c r="N15">
        <v>26.67382742570712</v>
      </c>
      <c r="O15">
        <v>90.505274717023639</v>
      </c>
      <c r="P15">
        <v>90.5270962776641</v>
      </c>
      <c r="Q15">
        <v>81.17580414757893</v>
      </c>
      <c r="R15">
        <v>84.194244865374841</v>
      </c>
      <c r="S15">
        <v>0.31468275075006841</v>
      </c>
      <c r="T15">
        <v>0.42872325058296712</v>
      </c>
      <c r="U15">
        <v>0.934001594016308</v>
      </c>
      <c r="V15">
        <v>0.92580379225061826</v>
      </c>
      <c r="W15">
        <v>0.85740188514692317</v>
      </c>
      <c r="X15">
        <v>3</v>
      </c>
      <c r="Y15">
        <v>0.79664979336216801</v>
      </c>
      <c r="Z15">
        <v>3</v>
      </c>
      <c r="AA15">
        <v>0.86857909074101936</v>
      </c>
      <c r="AB15">
        <v>3</v>
      </c>
      <c r="AC15">
        <v>0.99749693917206672</v>
      </c>
      <c r="AD15">
        <v>5</v>
      </c>
      <c r="AE15">
        <v>0.83922697691414472</v>
      </c>
      <c r="AF15">
        <v>3</v>
      </c>
      <c r="AK15">
        <v>0.64858790924647081</v>
      </c>
      <c r="AL15">
        <v>3</v>
      </c>
      <c r="AO15">
        <v>0.77148449657795992</v>
      </c>
      <c r="AP15">
        <v>3</v>
      </c>
      <c r="AQ15">
        <v>0.91651492838143356</v>
      </c>
      <c r="AR15">
        <v>3</v>
      </c>
      <c r="AS15">
        <v>0.86791452863127994</v>
      </c>
      <c r="AT15">
        <v>3</v>
      </c>
    </row>
    <row r="16" spans="1:48" x14ac:dyDescent="0.25">
      <c r="A16" t="s">
        <v>142</v>
      </c>
      <c r="B16">
        <v>2.4672959099188612</v>
      </c>
      <c r="C16">
        <v>90.9504884914721</v>
      </c>
      <c r="D16">
        <v>12078</v>
      </c>
      <c r="E16">
        <v>4259</v>
      </c>
      <c r="F16">
        <f>Tabelle2[[#This Row],[osm_pixel_no_to_built]]/Tabelle2[[#This Row],[wc_pixel_no_to_built]]*100</f>
        <v>35.262460672296733</v>
      </c>
      <c r="G16">
        <v>23.483057525610722</v>
      </c>
      <c r="H16">
        <v>1269</v>
      </c>
      <c r="I16">
        <f>Tabelle2[[#This Row],[osm_pixel_no_to_built]]/Tabelle2[[#This Row],[wc_change_pixel]]*100</f>
        <v>335.61859732072497</v>
      </c>
      <c r="J16">
        <v>298</v>
      </c>
      <c r="K16">
        <v>733</v>
      </c>
      <c r="L16">
        <v>238</v>
      </c>
      <c r="M16">
        <v>57.762017336485407</v>
      </c>
      <c r="N16">
        <v>18.754925137903861</v>
      </c>
      <c r="O16">
        <v>93.070302394525754</v>
      </c>
      <c r="P16">
        <v>93.024392875301714</v>
      </c>
      <c r="Q16">
        <v>87.732303040318058</v>
      </c>
      <c r="R16">
        <v>89.295029500235657</v>
      </c>
      <c r="S16">
        <v>0.26477715899789761</v>
      </c>
      <c r="T16">
        <v>0.34251015401938312</v>
      </c>
      <c r="U16">
        <v>0.88387667086335753</v>
      </c>
      <c r="V16">
        <v>0.89853360059077958</v>
      </c>
      <c r="W16">
        <v>0.68593665609807264</v>
      </c>
      <c r="X16">
        <v>3</v>
      </c>
      <c r="Y16">
        <v>0.75222471723051176</v>
      </c>
      <c r="Z16">
        <v>3</v>
      </c>
      <c r="AA16">
        <v>0.69366090224548804</v>
      </c>
      <c r="AB16">
        <v>3</v>
      </c>
      <c r="AC16">
        <v>0.99996992424992581</v>
      </c>
      <c r="AD16">
        <v>5</v>
      </c>
      <c r="AE16">
        <v>0.82667187248053309</v>
      </c>
      <c r="AF16">
        <v>3</v>
      </c>
      <c r="AK16">
        <v>0.64432837329853432</v>
      </c>
      <c r="AL16">
        <v>3</v>
      </c>
      <c r="AO16">
        <v>0.75755635270268062</v>
      </c>
      <c r="AP16">
        <v>3</v>
      </c>
      <c r="AQ16">
        <v>0.47390860853913408</v>
      </c>
      <c r="AR16">
        <v>3</v>
      </c>
    </row>
    <row r="17" spans="1:48" x14ac:dyDescent="0.25">
      <c r="A17" t="s">
        <v>146</v>
      </c>
      <c r="B17">
        <v>2.6305267717322489</v>
      </c>
      <c r="C17">
        <v>78.409355945756843</v>
      </c>
      <c r="D17">
        <v>60026</v>
      </c>
      <c r="E17">
        <v>7589</v>
      </c>
      <c r="F17">
        <f>Tabelle2[[#This Row],[osm_pixel_no_to_built]]/Tabelle2[[#This Row],[wc_pixel_no_to_built]]*100</f>
        <v>12.642854762936063</v>
      </c>
      <c r="G17">
        <v>10.988934511796231</v>
      </c>
      <c r="H17">
        <v>14369</v>
      </c>
      <c r="I17">
        <f>Tabelle2[[#This Row],[osm_pixel_no_to_built]]/Tabelle2[[#This Row],[wc_change_pixel]]*100</f>
        <v>52.81508803674577</v>
      </c>
      <c r="J17">
        <v>1579</v>
      </c>
      <c r="K17">
        <v>9252</v>
      </c>
      <c r="L17">
        <v>3538</v>
      </c>
      <c r="M17">
        <v>64.388614378175234</v>
      </c>
      <c r="N17">
        <v>24.622451110028539</v>
      </c>
      <c r="O17">
        <v>67.676135061192525</v>
      </c>
      <c r="P17">
        <v>69.969961923984911</v>
      </c>
      <c r="Q17">
        <v>82.802393668644157</v>
      </c>
      <c r="R17">
        <v>85.282980334760069</v>
      </c>
      <c r="S17">
        <v>0.42475263075231662</v>
      </c>
      <c r="T17">
        <v>0.51180794200253654</v>
      </c>
      <c r="U17">
        <v>0.85300104296336166</v>
      </c>
      <c r="V17">
        <v>0.85046914232853177</v>
      </c>
      <c r="W17">
        <v>0.94401023212705071</v>
      </c>
      <c r="X17">
        <v>3</v>
      </c>
      <c r="Y17">
        <v>0.7345203723232856</v>
      </c>
      <c r="Z17">
        <v>3</v>
      </c>
      <c r="AA17">
        <v>0.95148340061992065</v>
      </c>
      <c r="AB17">
        <v>3</v>
      </c>
      <c r="AC17">
        <v>1</v>
      </c>
      <c r="AD17">
        <v>5</v>
      </c>
      <c r="AE17">
        <v>0.84427099273639905</v>
      </c>
      <c r="AF17">
        <v>3</v>
      </c>
      <c r="AK17">
        <v>0.80643887234655109</v>
      </c>
      <c r="AL17">
        <v>3</v>
      </c>
      <c r="AO17">
        <v>0.78179170408653864</v>
      </c>
      <c r="AP17">
        <v>3</v>
      </c>
      <c r="AQ17">
        <v>0.90231287598801679</v>
      </c>
      <c r="AR17">
        <v>3</v>
      </c>
      <c r="AS17">
        <v>0.78620220673177843</v>
      </c>
      <c r="AT17">
        <v>3</v>
      </c>
      <c r="AU17">
        <v>0.59601189230288121</v>
      </c>
      <c r="AV17">
        <v>3</v>
      </c>
    </row>
    <row r="18" spans="1:48" x14ac:dyDescent="0.25">
      <c r="A18" t="s">
        <v>150</v>
      </c>
      <c r="B18">
        <v>1.3079478930436159</v>
      </c>
      <c r="C18">
        <v>88.154633194451776</v>
      </c>
      <c r="D18">
        <v>18961</v>
      </c>
      <c r="E18">
        <v>3830</v>
      </c>
      <c r="F18">
        <f>Tabelle2[[#This Row],[osm_pixel_no_to_built]]/Tabelle2[[#This Row],[wc_pixel_no_to_built]]*100</f>
        <v>20.199356574020356</v>
      </c>
      <c r="G18">
        <v>11.08627626285203</v>
      </c>
      <c r="H18">
        <v>2237</v>
      </c>
      <c r="I18">
        <f>Tabelle2[[#This Row],[osm_pixel_no_to_built]]/Tabelle2[[#This Row],[wc_change_pixel]]*100</f>
        <v>171.21144389807779</v>
      </c>
      <c r="J18">
        <v>248</v>
      </c>
      <c r="K18">
        <v>1379</v>
      </c>
      <c r="L18">
        <v>610</v>
      </c>
      <c r="M18">
        <v>61.64506034868127</v>
      </c>
      <c r="N18">
        <v>27.268663388466699</v>
      </c>
      <c r="O18">
        <v>84.509216163442275</v>
      </c>
      <c r="P18">
        <v>87.797936408619123</v>
      </c>
      <c r="Q18">
        <v>91.830114043215843</v>
      </c>
      <c r="R18">
        <v>93.070674124328562</v>
      </c>
      <c r="S18">
        <v>0.29794584288535308</v>
      </c>
      <c r="T18">
        <v>0.37297861968103629</v>
      </c>
      <c r="U18">
        <v>0.93227368929418619</v>
      </c>
      <c r="V18">
        <v>0.9267347291919017</v>
      </c>
      <c r="W18">
        <v>0.89451216199815886</v>
      </c>
      <c r="X18">
        <v>3</v>
      </c>
      <c r="Y18">
        <v>0.80665455581718248</v>
      </c>
      <c r="Z18">
        <v>3</v>
      </c>
      <c r="AA18">
        <v>0.96009596490099514</v>
      </c>
      <c r="AB18">
        <v>3</v>
      </c>
      <c r="AC18">
        <v>0.98101495234380265</v>
      </c>
      <c r="AD18">
        <v>5</v>
      </c>
      <c r="AE18">
        <v>0.60857541036905494</v>
      </c>
      <c r="AF18">
        <v>3</v>
      </c>
      <c r="AK18">
        <v>0.53026469272247356</v>
      </c>
      <c r="AL18">
        <v>3</v>
      </c>
      <c r="AO18">
        <v>0.9972315477508189</v>
      </c>
      <c r="AP18">
        <v>5</v>
      </c>
      <c r="AQ18">
        <v>0.99694696954502104</v>
      </c>
      <c r="AR18">
        <v>5</v>
      </c>
      <c r="AS18">
        <v>0.81537445308555911</v>
      </c>
      <c r="AT18">
        <v>3</v>
      </c>
      <c r="AU18">
        <v>0.99999975550526143</v>
      </c>
      <c r="AV18">
        <v>5</v>
      </c>
    </row>
    <row r="19" spans="1:48" x14ac:dyDescent="0.25">
      <c r="A19" t="s">
        <v>154</v>
      </c>
      <c r="B19">
        <v>0.83095977350679562</v>
      </c>
      <c r="C19">
        <v>88.056503553924713</v>
      </c>
      <c r="D19">
        <v>233826</v>
      </c>
      <c r="E19">
        <v>27179</v>
      </c>
      <c r="F19">
        <f>Tabelle2[[#This Row],[osm_pixel_no_to_built]]/Tabelle2[[#This Row],[wc_pixel_no_to_built]]*100</f>
        <v>11.623600455039217</v>
      </c>
      <c r="G19">
        <v>6.7030047952530438</v>
      </c>
      <c r="H19">
        <v>28987</v>
      </c>
      <c r="I19">
        <f>Tabelle2[[#This Row],[osm_pixel_no_to_built]]/Tabelle2[[#This Row],[wc_change_pixel]]*100</f>
        <v>93.762721219857184</v>
      </c>
      <c r="J19">
        <v>1943</v>
      </c>
      <c r="K19">
        <v>13822</v>
      </c>
      <c r="L19">
        <v>13222</v>
      </c>
      <c r="M19">
        <v>47.683444302618419</v>
      </c>
      <c r="N19">
        <v>45.613550902128537</v>
      </c>
      <c r="O19">
        <v>92.555656415616809</v>
      </c>
      <c r="P19">
        <v>92.532764238078641</v>
      </c>
      <c r="Q19">
        <v>68.740162563610539</v>
      </c>
      <c r="R19">
        <v>70.428524124764564</v>
      </c>
      <c r="S19">
        <v>0.45178960486492492</v>
      </c>
      <c r="T19">
        <v>0.48483359646547181</v>
      </c>
      <c r="U19">
        <v>0.91264232857603944</v>
      </c>
      <c r="V19">
        <v>0.91327048006361389</v>
      </c>
      <c r="W19">
        <v>0.97487417704774681</v>
      </c>
      <c r="X19">
        <v>5</v>
      </c>
      <c r="Y19">
        <v>0.74218255473929562</v>
      </c>
      <c r="Z19">
        <v>3</v>
      </c>
      <c r="AA19">
        <v>0.98543823621301008</v>
      </c>
      <c r="AB19">
        <v>5</v>
      </c>
      <c r="AC19">
        <v>0.9995066853889113</v>
      </c>
      <c r="AD19">
        <v>5</v>
      </c>
      <c r="AE19">
        <v>0.80232868882905584</v>
      </c>
      <c r="AF19">
        <v>3</v>
      </c>
      <c r="AK19">
        <v>0.79635128157506319</v>
      </c>
      <c r="AL19">
        <v>3</v>
      </c>
      <c r="AO19">
        <v>0.80163267834776808</v>
      </c>
      <c r="AP19">
        <v>3</v>
      </c>
      <c r="AQ19">
        <v>0.95470268844115536</v>
      </c>
      <c r="AR19">
        <v>3</v>
      </c>
      <c r="AS19">
        <v>0.9943418424288365</v>
      </c>
      <c r="AT19">
        <v>5</v>
      </c>
      <c r="AU19">
        <v>0.75758885142273569</v>
      </c>
      <c r="AV19">
        <v>3</v>
      </c>
    </row>
    <row r="20" spans="1:48" x14ac:dyDescent="0.25">
      <c r="A20" t="s">
        <v>158</v>
      </c>
      <c r="B20">
        <v>0.8475307517521069</v>
      </c>
      <c r="C20">
        <v>89.734715204740041</v>
      </c>
      <c r="D20">
        <v>104303</v>
      </c>
      <c r="E20">
        <v>12893</v>
      </c>
      <c r="F20">
        <f>Tabelle2[[#This Row],[osm_pixel_no_to_built]]/Tabelle2[[#This Row],[wc_pixel_no_to_built]]*100</f>
        <v>12.361101789977278</v>
      </c>
      <c r="G20">
        <v>8.2478074267587242</v>
      </c>
      <c r="H20">
        <v>10718</v>
      </c>
      <c r="I20">
        <f>Tabelle2[[#This Row],[osm_pixel_no_to_built]]/Tabelle2[[#This Row],[wc_change_pixel]]*100</f>
        <v>120.29296510543013</v>
      </c>
      <c r="J20">
        <v>884</v>
      </c>
      <c r="K20">
        <v>4529</v>
      </c>
      <c r="L20">
        <v>5305</v>
      </c>
      <c r="M20">
        <v>42.256017913789883</v>
      </c>
      <c r="N20">
        <v>49.496174659451391</v>
      </c>
      <c r="O20">
        <v>90.996729944366592</v>
      </c>
      <c r="P20">
        <v>90.790843844226444</v>
      </c>
      <c r="Q20">
        <v>81.368771487686871</v>
      </c>
      <c r="R20">
        <v>83.882170826917232</v>
      </c>
      <c r="S20">
        <v>0.51133545118947243</v>
      </c>
      <c r="T20">
        <v>0.5907533742703992</v>
      </c>
      <c r="U20">
        <v>0.90627515832975525</v>
      </c>
      <c r="V20">
        <v>0.90963316563818186</v>
      </c>
      <c r="W20">
        <v>0.94005879821714511</v>
      </c>
      <c r="X20">
        <v>3</v>
      </c>
      <c r="Y20">
        <v>0.90448707219573266</v>
      </c>
      <c r="Z20">
        <v>3</v>
      </c>
      <c r="AA20">
        <v>0.92540126488282981</v>
      </c>
      <c r="AB20">
        <v>3</v>
      </c>
      <c r="AC20">
        <v>1</v>
      </c>
      <c r="AD20">
        <v>5</v>
      </c>
      <c r="AE20">
        <v>0.99612307551232016</v>
      </c>
      <c r="AF20">
        <v>5</v>
      </c>
      <c r="AK20">
        <v>0.90267460954302392</v>
      </c>
      <c r="AL20">
        <v>3</v>
      </c>
      <c r="AO20">
        <v>0.99997585683680068</v>
      </c>
      <c r="AP20">
        <v>5</v>
      </c>
      <c r="AQ20">
        <v>0.96204975017126615</v>
      </c>
      <c r="AR20">
        <v>3</v>
      </c>
      <c r="AS20">
        <v>0.90824678084707611</v>
      </c>
      <c r="AT20">
        <v>3</v>
      </c>
      <c r="AU20">
        <v>0.795626954646937</v>
      </c>
      <c r="AV20">
        <v>3</v>
      </c>
    </row>
    <row r="21" spans="1:48" x14ac:dyDescent="0.25">
      <c r="A21" t="s">
        <v>162</v>
      </c>
      <c r="B21">
        <v>4.471940076081415</v>
      </c>
      <c r="C21">
        <v>75.717479116828116</v>
      </c>
      <c r="D21">
        <v>254990</v>
      </c>
      <c r="E21">
        <v>143246</v>
      </c>
      <c r="F21">
        <f>Tabelle2[[#This Row],[osm_pixel_no_to_built]]/Tabelle2[[#This Row],[wc_pixel_no_to_built]]*100</f>
        <v>56.177104984509199</v>
      </c>
      <c r="G21">
        <v>15.725022409156731</v>
      </c>
      <c r="H21">
        <v>72515</v>
      </c>
      <c r="I21">
        <f>Tabelle2[[#This Row],[osm_pixel_no_to_built]]/Tabelle2[[#This Row],[wc_change_pixel]]*100</f>
        <v>197.53981934772116</v>
      </c>
      <c r="J21">
        <v>11403</v>
      </c>
      <c r="K21">
        <v>29176</v>
      </c>
      <c r="L21">
        <v>31936</v>
      </c>
      <c r="M21">
        <v>40.234434254981728</v>
      </c>
      <c r="N21">
        <v>44.04054333586155</v>
      </c>
      <c r="O21">
        <v>88.583132327004876</v>
      </c>
      <c r="P21">
        <v>90.089966542172419</v>
      </c>
      <c r="Q21">
        <v>81.713549137018276</v>
      </c>
      <c r="R21">
        <v>82.621990899931745</v>
      </c>
      <c r="S21">
        <v>0.52504049492345573</v>
      </c>
      <c r="T21">
        <v>0.55984352184203989</v>
      </c>
      <c r="U21">
        <v>0.85399176924788733</v>
      </c>
      <c r="V21">
        <v>0.86040057075718446</v>
      </c>
      <c r="W21">
        <v>0.8295394291018372</v>
      </c>
      <c r="X21">
        <v>3</v>
      </c>
      <c r="Y21">
        <v>0.79518984294242068</v>
      </c>
      <c r="Z21">
        <v>3</v>
      </c>
      <c r="AA21">
        <v>0.91358195652714369</v>
      </c>
      <c r="AB21">
        <v>3</v>
      </c>
      <c r="AC21">
        <v>0.94645103311178458</v>
      </c>
      <c r="AD21">
        <v>3</v>
      </c>
      <c r="AE21">
        <v>0.70410085230053499</v>
      </c>
      <c r="AF21">
        <v>3</v>
      </c>
      <c r="AK21">
        <v>0.69349338370629243</v>
      </c>
      <c r="AL21">
        <v>3</v>
      </c>
      <c r="AO21">
        <v>0.61549893381003573</v>
      </c>
      <c r="AP21">
        <v>3</v>
      </c>
      <c r="AQ21">
        <v>0.84711286720361534</v>
      </c>
      <c r="AR21">
        <v>3</v>
      </c>
      <c r="AS21">
        <v>0.71901329325887831</v>
      </c>
      <c r="AT21">
        <v>3</v>
      </c>
      <c r="AU21">
        <v>3.7225073618998961E-2</v>
      </c>
      <c r="AV21">
        <v>1</v>
      </c>
    </row>
    <row r="22" spans="1:48" x14ac:dyDescent="0.25">
      <c r="A22" t="s">
        <v>166</v>
      </c>
      <c r="B22">
        <v>0.32817426196617938</v>
      </c>
      <c r="C22">
        <v>85.968042419031249</v>
      </c>
      <c r="D22">
        <v>139560</v>
      </c>
      <c r="E22">
        <v>3568</v>
      </c>
      <c r="F22">
        <f>Tabelle2[[#This Row],[osm_pixel_no_to_built]]/Tabelle2[[#This Row],[wc_pixel_no_to_built]]*100</f>
        <v>2.5566064775007167</v>
      </c>
      <c r="G22">
        <v>2.2974667669927258</v>
      </c>
      <c r="H22">
        <v>19935</v>
      </c>
      <c r="I22">
        <f>Tabelle2[[#This Row],[osm_pixel_no_to_built]]/Tabelle2[[#This Row],[wc_change_pixel]]*100</f>
        <v>17.898169049410583</v>
      </c>
      <c r="J22">
        <v>458</v>
      </c>
      <c r="K22">
        <v>11518</v>
      </c>
      <c r="L22">
        <v>7959</v>
      </c>
      <c r="M22">
        <v>57.777777777777771</v>
      </c>
      <c r="N22">
        <v>39.924755455229487</v>
      </c>
      <c r="O22">
        <v>93.375054826631654</v>
      </c>
      <c r="P22">
        <v>93.483691437169412</v>
      </c>
      <c r="Q22">
        <v>75.927449647622794</v>
      </c>
      <c r="R22">
        <v>78.808110404914345</v>
      </c>
      <c r="S22">
        <v>0.45909263140444978</v>
      </c>
      <c r="T22">
        <v>0.5276959054821394</v>
      </c>
      <c r="U22">
        <v>0.90658763318996827</v>
      </c>
      <c r="V22">
        <v>0.90124982017429844</v>
      </c>
      <c r="W22">
        <v>0.95064200908911967</v>
      </c>
      <c r="X22">
        <v>3</v>
      </c>
      <c r="Y22">
        <v>0.91252400655016741</v>
      </c>
      <c r="Z22">
        <v>3</v>
      </c>
      <c r="AA22">
        <v>0.94442823385867991</v>
      </c>
      <c r="AB22">
        <v>3</v>
      </c>
      <c r="AC22">
        <v>0.99970879066770069</v>
      </c>
      <c r="AD22">
        <v>5</v>
      </c>
      <c r="AE22">
        <v>0.99689074844707204</v>
      </c>
      <c r="AF22">
        <v>5</v>
      </c>
      <c r="AK22">
        <v>0.99281782926124795</v>
      </c>
      <c r="AL22">
        <v>5</v>
      </c>
      <c r="AO22">
        <v>0.99299253222627115</v>
      </c>
      <c r="AP22">
        <v>5</v>
      </c>
      <c r="AQ22">
        <v>0.94172109191075981</v>
      </c>
      <c r="AR22">
        <v>3</v>
      </c>
      <c r="AS22">
        <v>0.95908559086710254</v>
      </c>
      <c r="AT22">
        <v>3</v>
      </c>
      <c r="AU22">
        <v>0.99937591209940668</v>
      </c>
      <c r="AV22">
        <v>5</v>
      </c>
    </row>
    <row r="23" spans="1:48" x14ac:dyDescent="0.25">
      <c r="A23" t="s">
        <v>170</v>
      </c>
      <c r="B23">
        <v>0.64357450297192054</v>
      </c>
      <c r="C23">
        <v>79.124820659971306</v>
      </c>
      <c r="D23">
        <v>48790</v>
      </c>
      <c r="E23">
        <v>2912</v>
      </c>
      <c r="F23">
        <f>Tabelle2[[#This Row],[osm_pixel_no_to_built]]/Tabelle2[[#This Row],[wc_pixel_no_to_built]]*100</f>
        <v>5.9684361549497851</v>
      </c>
      <c r="G23">
        <v>3.0447008629884609</v>
      </c>
      <c r="H23">
        <v>10313</v>
      </c>
      <c r="I23">
        <f>Tabelle2[[#This Row],[osm_pixel_no_to_built]]/Tabelle2[[#This Row],[wc_change_pixel]]*100</f>
        <v>28.2362067293707</v>
      </c>
      <c r="J23">
        <v>314</v>
      </c>
      <c r="K23">
        <v>6893</v>
      </c>
      <c r="L23">
        <v>3106</v>
      </c>
      <c r="M23">
        <v>66.837971492291288</v>
      </c>
      <c r="N23">
        <v>30.117327644720259</v>
      </c>
      <c r="O23">
        <v>84.92978151779603</v>
      </c>
      <c r="P23">
        <v>86.055272229943824</v>
      </c>
      <c r="Q23">
        <v>85.242010230866654</v>
      </c>
      <c r="R23">
        <v>88.170169680888208</v>
      </c>
      <c r="S23">
        <v>0.6134080604373825</v>
      </c>
      <c r="T23">
        <v>0.6863465101980466</v>
      </c>
      <c r="U23">
        <v>0.89317361794853589</v>
      </c>
      <c r="V23">
        <v>0.88581940993149277</v>
      </c>
      <c r="W23">
        <v>0.94884001735342949</v>
      </c>
      <c r="X23">
        <v>3</v>
      </c>
      <c r="Y23">
        <v>0.77508803050177844</v>
      </c>
      <c r="Z23">
        <v>3</v>
      </c>
      <c r="AA23">
        <v>0.95670638031840571</v>
      </c>
      <c r="AB23">
        <v>3</v>
      </c>
      <c r="AC23">
        <v>0.99982818503563453</v>
      </c>
      <c r="AD23">
        <v>5</v>
      </c>
      <c r="AE23">
        <v>0.7520519497284649</v>
      </c>
      <c r="AF23">
        <v>3</v>
      </c>
      <c r="AK23">
        <v>0.46345185824261531</v>
      </c>
      <c r="AL23">
        <v>3</v>
      </c>
      <c r="AO23">
        <v>0.92174095691453972</v>
      </c>
      <c r="AP23">
        <v>3</v>
      </c>
      <c r="AQ23">
        <v>0.96159347597826439</v>
      </c>
      <c r="AR23">
        <v>3</v>
      </c>
      <c r="AS23">
        <v>0.78557448624898507</v>
      </c>
      <c r="AT23">
        <v>3</v>
      </c>
      <c r="AU23">
        <v>0.45025562897113169</v>
      </c>
      <c r="AV23">
        <v>3</v>
      </c>
    </row>
    <row r="24" spans="1:48" x14ac:dyDescent="0.25">
      <c r="A24" t="s">
        <v>174</v>
      </c>
      <c r="B24">
        <v>1.159597411933861</v>
      </c>
      <c r="C24">
        <v>83.445003594536303</v>
      </c>
      <c r="D24">
        <v>139100</v>
      </c>
      <c r="E24">
        <v>26824</v>
      </c>
      <c r="F24">
        <f>Tabelle2[[#This Row],[osm_pixel_no_to_built]]/Tabelle2[[#This Row],[wc_pixel_no_to_built]]*100</f>
        <v>19.283968368080519</v>
      </c>
      <c r="G24">
        <v>6.7682108089963071</v>
      </c>
      <c r="H24">
        <v>23832</v>
      </c>
      <c r="I24">
        <f>Tabelle2[[#This Row],[osm_pixel_no_to_built]]/Tabelle2[[#This Row],[wc_change_pixel]]*100</f>
        <v>112.55454850621014</v>
      </c>
      <c r="J24">
        <v>1613</v>
      </c>
      <c r="K24">
        <v>11469</v>
      </c>
      <c r="L24">
        <v>10750</v>
      </c>
      <c r="M24">
        <v>48.124370594159117</v>
      </c>
      <c r="N24">
        <v>45.107418596844582</v>
      </c>
      <c r="O24">
        <v>93.337153716853905</v>
      </c>
      <c r="P24">
        <v>94.523542852490394</v>
      </c>
      <c r="Q24">
        <v>84.131425804352034</v>
      </c>
      <c r="R24">
        <v>86.374539623188113</v>
      </c>
      <c r="S24">
        <v>0.56799552447149049</v>
      </c>
      <c r="T24">
        <v>0.62385801248347916</v>
      </c>
      <c r="U24">
        <v>0.89991964629135268</v>
      </c>
      <c r="V24">
        <v>0.89951802033634254</v>
      </c>
      <c r="W24">
        <v>0.95726511853075924</v>
      </c>
      <c r="X24">
        <v>3</v>
      </c>
      <c r="Y24">
        <v>0.68195096936848165</v>
      </c>
      <c r="Z24">
        <v>3</v>
      </c>
      <c r="AA24">
        <v>0.98585999967883775</v>
      </c>
      <c r="AB24">
        <v>5</v>
      </c>
      <c r="AC24">
        <v>0.90712429518441551</v>
      </c>
      <c r="AD24">
        <v>3</v>
      </c>
      <c r="AE24">
        <v>0.81045453447537552</v>
      </c>
      <c r="AF24">
        <v>3</v>
      </c>
      <c r="AK24">
        <v>0.71854791674062857</v>
      </c>
      <c r="AL24">
        <v>3</v>
      </c>
      <c r="AO24">
        <v>0.77662219555226053</v>
      </c>
      <c r="AP24">
        <v>3</v>
      </c>
      <c r="AQ24">
        <v>0.88959471675036117</v>
      </c>
      <c r="AR24">
        <v>3</v>
      </c>
      <c r="AS24">
        <v>0.58605374645327057</v>
      </c>
      <c r="AT24">
        <v>3</v>
      </c>
      <c r="AU24">
        <v>0.810746039163321</v>
      </c>
      <c r="AV24">
        <v>3</v>
      </c>
    </row>
    <row r="25" spans="1:48" x14ac:dyDescent="0.25">
      <c r="A25" t="s">
        <v>179</v>
      </c>
      <c r="B25">
        <v>1.374108988503731</v>
      </c>
      <c r="C25">
        <v>86.268582186742961</v>
      </c>
      <c r="D25">
        <v>444579</v>
      </c>
      <c r="E25">
        <v>45985</v>
      </c>
      <c r="F25">
        <f>Tabelle2[[#This Row],[osm_pixel_no_to_built]]/Tabelle2[[#This Row],[wc_pixel_no_to_built]]*100</f>
        <v>10.343493507340652</v>
      </c>
      <c r="G25">
        <v>9.2726389605658603</v>
      </c>
      <c r="H25">
        <v>65882</v>
      </c>
      <c r="I25">
        <f>Tabelle2[[#This Row],[osm_pixel_no_to_built]]/Tabelle2[[#This Row],[wc_change_pixel]]*100</f>
        <v>69.799034637685565</v>
      </c>
      <c r="J25">
        <v>6109</v>
      </c>
      <c r="K25">
        <v>37005</v>
      </c>
      <c r="L25">
        <v>22768</v>
      </c>
      <c r="M25">
        <v>56.168604474666829</v>
      </c>
      <c r="N25">
        <v>34.558756564767307</v>
      </c>
      <c r="O25">
        <v>90.072424433447395</v>
      </c>
      <c r="P25">
        <v>91.496444138516736</v>
      </c>
      <c r="Q25">
        <v>74.205629143908638</v>
      </c>
      <c r="R25">
        <v>78.127611760169529</v>
      </c>
      <c r="S25">
        <v>0.52379458770067733</v>
      </c>
      <c r="T25">
        <v>0.59647331756701361</v>
      </c>
      <c r="U25">
        <v>0.90160732264429522</v>
      </c>
      <c r="V25">
        <v>0.90330819514984473</v>
      </c>
      <c r="W25">
        <v>0.93700601153677776</v>
      </c>
      <c r="X25">
        <v>3</v>
      </c>
      <c r="Y25">
        <v>0.811274278802806</v>
      </c>
      <c r="Z25">
        <v>3</v>
      </c>
      <c r="AA25">
        <v>0.96272292154005146</v>
      </c>
      <c r="AB25">
        <v>3</v>
      </c>
      <c r="AC25">
        <v>0.92689153472910502</v>
      </c>
      <c r="AD25">
        <v>3</v>
      </c>
      <c r="AE25">
        <v>0.86599419166048164</v>
      </c>
      <c r="AF25">
        <v>3</v>
      </c>
      <c r="AK25">
        <v>0.73848038000102267</v>
      </c>
      <c r="AL25">
        <v>3</v>
      </c>
      <c r="AO25">
        <v>0.80142034553047103</v>
      </c>
      <c r="AP25">
        <v>3</v>
      </c>
      <c r="AQ25">
        <v>0.94139467227299933</v>
      </c>
      <c r="AR25">
        <v>3</v>
      </c>
      <c r="AS25">
        <v>0.87654480601847451</v>
      </c>
      <c r="AT25">
        <v>3</v>
      </c>
      <c r="AU25">
        <v>0.97722360670341579</v>
      </c>
      <c r="AV25">
        <v>5</v>
      </c>
    </row>
    <row r="26" spans="1:48" x14ac:dyDescent="0.25">
      <c r="A26" t="s">
        <v>183</v>
      </c>
      <c r="B26">
        <v>2.3065952917347001</v>
      </c>
      <c r="C26">
        <v>84.367443110183331</v>
      </c>
      <c r="D26">
        <v>96766</v>
      </c>
      <c r="E26">
        <v>13747</v>
      </c>
      <c r="F26">
        <f>Tabelle2[[#This Row],[osm_pixel_no_to_built]]/Tabelle2[[#This Row],[wc_pixel_no_to_built]]*100</f>
        <v>14.206436144926936</v>
      </c>
      <c r="G26">
        <v>13.462814403763799</v>
      </c>
      <c r="H26">
        <v>16579</v>
      </c>
      <c r="I26">
        <f>Tabelle2[[#This Row],[osm_pixel_no_to_built]]/Tabelle2[[#This Row],[wc_change_pixel]]*100</f>
        <v>82.918149466192176</v>
      </c>
      <c r="J26">
        <v>2232</v>
      </c>
      <c r="K26">
        <v>8435</v>
      </c>
      <c r="L26">
        <v>5912</v>
      </c>
      <c r="M26">
        <v>50.877616261535671</v>
      </c>
      <c r="N26">
        <v>35.659569334700528</v>
      </c>
      <c r="O26">
        <v>93.760074747625623</v>
      </c>
      <c r="P26">
        <v>93.525788242030444</v>
      </c>
      <c r="Q26">
        <v>82.22380058820869</v>
      </c>
      <c r="R26">
        <v>85.076191197107249</v>
      </c>
      <c r="S26">
        <v>0.6075190943000448</v>
      </c>
      <c r="T26">
        <v>0.68229150700570285</v>
      </c>
      <c r="U26">
        <v>0.90876611977263888</v>
      </c>
      <c r="V26">
        <v>0.90484428095595903</v>
      </c>
      <c r="W26">
        <v>0.98266403650608081</v>
      </c>
      <c r="X26">
        <v>5</v>
      </c>
      <c r="Y26">
        <v>0.83281720541833559</v>
      </c>
      <c r="Z26">
        <v>3</v>
      </c>
      <c r="AA26">
        <v>0.90340818668693124</v>
      </c>
      <c r="AB26">
        <v>3</v>
      </c>
      <c r="AC26">
        <v>0.92363621328383305</v>
      </c>
      <c r="AD26">
        <v>3</v>
      </c>
      <c r="AE26">
        <v>0.77623921519455485</v>
      </c>
      <c r="AF26">
        <v>3</v>
      </c>
      <c r="AK26">
        <v>0.8570837881383746</v>
      </c>
      <c r="AL26">
        <v>3</v>
      </c>
      <c r="AO26">
        <v>0.67656542899587846</v>
      </c>
      <c r="AP26">
        <v>3</v>
      </c>
      <c r="AQ26">
        <v>0.88610824929327359</v>
      </c>
      <c r="AR26">
        <v>3</v>
      </c>
      <c r="AS26">
        <v>0.74005861059487221</v>
      </c>
      <c r="AT26">
        <v>3</v>
      </c>
      <c r="AU26">
        <v>0.92885728508947252</v>
      </c>
      <c r="AV26">
        <v>3</v>
      </c>
    </row>
    <row r="27" spans="1:48" x14ac:dyDescent="0.25">
      <c r="A27" t="s">
        <v>187</v>
      </c>
      <c r="B27">
        <v>1.2797581360010131</v>
      </c>
      <c r="C27">
        <v>83.994713182221091</v>
      </c>
      <c r="D27">
        <v>126352</v>
      </c>
      <c r="E27">
        <v>16477</v>
      </c>
      <c r="F27">
        <f>Tabelle2[[#This Row],[osm_pixel_no_to_built]]/Tabelle2[[#This Row],[wc_pixel_no_to_built]]*100</f>
        <v>13.040553374699254</v>
      </c>
      <c r="G27">
        <v>7.5557216952478861</v>
      </c>
      <c r="H27">
        <v>21401</v>
      </c>
      <c r="I27">
        <f>Tabelle2[[#This Row],[osm_pixel_no_to_built]]/Tabelle2[[#This Row],[wc_change_pixel]]*100</f>
        <v>76.991729358441191</v>
      </c>
      <c r="J27">
        <v>1617</v>
      </c>
      <c r="K27">
        <v>7070</v>
      </c>
      <c r="L27">
        <v>12714</v>
      </c>
      <c r="M27">
        <v>33.035839446754821</v>
      </c>
      <c r="N27">
        <v>59.40843885799729</v>
      </c>
      <c r="O27">
        <v>79.873628076539489</v>
      </c>
      <c r="P27">
        <v>79.971334472557913</v>
      </c>
      <c r="Q27">
        <v>85.374783736077305</v>
      </c>
      <c r="R27">
        <v>86.700661627490533</v>
      </c>
      <c r="S27">
        <v>0.39962426876432289</v>
      </c>
      <c r="T27">
        <v>0.45565271990972939</v>
      </c>
      <c r="U27">
        <v>0.90251936841198954</v>
      </c>
      <c r="V27">
        <v>0.8950360886037444</v>
      </c>
      <c r="W27">
        <v>0.91994331734414603</v>
      </c>
      <c r="X27">
        <v>3</v>
      </c>
      <c r="Y27">
        <v>0.83953765173979777</v>
      </c>
      <c r="Z27">
        <v>3</v>
      </c>
      <c r="AA27">
        <v>0.92398381621730163</v>
      </c>
      <c r="AB27">
        <v>3</v>
      </c>
      <c r="AC27">
        <v>0.99988821737792333</v>
      </c>
      <c r="AD27">
        <v>5</v>
      </c>
      <c r="AE27">
        <v>0.99954055294731259</v>
      </c>
      <c r="AF27">
        <v>5</v>
      </c>
      <c r="AI27">
        <v>1</v>
      </c>
      <c r="AJ27">
        <v>5</v>
      </c>
      <c r="AK27">
        <v>0.98992944907011082</v>
      </c>
      <c r="AL27">
        <v>5</v>
      </c>
      <c r="AO27">
        <v>0.68226461821944639</v>
      </c>
      <c r="AP27">
        <v>3</v>
      </c>
      <c r="AQ27">
        <v>0.94571126514173098</v>
      </c>
      <c r="AR27">
        <v>3</v>
      </c>
      <c r="AS27">
        <v>0.99999743627690252</v>
      </c>
      <c r="AT27">
        <v>5</v>
      </c>
      <c r="AU27">
        <v>2.8814730088839419E-2</v>
      </c>
      <c r="AV27">
        <v>1</v>
      </c>
    </row>
    <row r="28" spans="1:48" x14ac:dyDescent="0.25">
      <c r="A28" t="s">
        <v>192</v>
      </c>
      <c r="B28">
        <v>1.1033224578163681</v>
      </c>
      <c r="C28">
        <v>80.751848964050225</v>
      </c>
      <c r="D28">
        <v>264202</v>
      </c>
      <c r="E28">
        <v>35009</v>
      </c>
      <c r="F28">
        <f>Tabelle2[[#This Row],[osm_pixel_no_to_built]]/Tabelle2[[#This Row],[wc_pixel_no_to_built]]*100</f>
        <v>13.250845943634037</v>
      </c>
      <c r="G28">
        <v>5.5267997648977119</v>
      </c>
      <c r="H28">
        <v>52743</v>
      </c>
      <c r="I28">
        <f>Tabelle2[[#This Row],[osm_pixel_no_to_built]]/Tabelle2[[#This Row],[wc_change_pixel]]*100</f>
        <v>66.376580778491928</v>
      </c>
      <c r="J28">
        <v>2915</v>
      </c>
      <c r="K28">
        <v>28154</v>
      </c>
      <c r="L28">
        <v>21674</v>
      </c>
      <c r="M28">
        <v>53.379595396545511</v>
      </c>
      <c r="N28">
        <v>41.093604838556772</v>
      </c>
      <c r="O28">
        <v>85.791720459455107</v>
      </c>
      <c r="P28">
        <v>88.294225675988258</v>
      </c>
      <c r="Q28">
        <v>80.359302372499798</v>
      </c>
      <c r="R28">
        <v>82.348915908935112</v>
      </c>
      <c r="S28">
        <v>0.58000593764806108</v>
      </c>
      <c r="T28">
        <v>0.61474569918255528</v>
      </c>
      <c r="U28">
        <v>0.86215545231988522</v>
      </c>
      <c r="V28">
        <v>0.86067718783762925</v>
      </c>
      <c r="W28">
        <v>0.95641140682043668</v>
      </c>
      <c r="X28">
        <v>3</v>
      </c>
      <c r="Y28">
        <v>0.79897190548279295</v>
      </c>
      <c r="Z28">
        <v>3</v>
      </c>
      <c r="AA28">
        <v>0.96966040471415105</v>
      </c>
      <c r="AB28">
        <v>3</v>
      </c>
      <c r="AC28">
        <v>0.8362529855758738</v>
      </c>
      <c r="AD28">
        <v>3</v>
      </c>
      <c r="AE28">
        <v>0.84559739182110516</v>
      </c>
      <c r="AF28">
        <v>3</v>
      </c>
      <c r="AK28">
        <v>0.78187960470556817</v>
      </c>
      <c r="AL28">
        <v>3</v>
      </c>
      <c r="AO28">
        <v>0.86064333544600768</v>
      </c>
      <c r="AP28">
        <v>3</v>
      </c>
      <c r="AQ28">
        <v>0.9600021644912925</v>
      </c>
      <c r="AR28">
        <v>3</v>
      </c>
      <c r="AS28">
        <v>0.89511634261836981</v>
      </c>
      <c r="AT28">
        <v>3</v>
      </c>
      <c r="AU28">
        <v>0.94090636217142165</v>
      </c>
      <c r="AV28">
        <v>3</v>
      </c>
    </row>
    <row r="29" spans="1:48" x14ac:dyDescent="0.25">
      <c r="A29" t="s">
        <v>195</v>
      </c>
      <c r="B29">
        <v>0.9126975282501617</v>
      </c>
      <c r="C29">
        <v>89.409811219827489</v>
      </c>
      <c r="D29">
        <v>89734</v>
      </c>
      <c r="E29">
        <v>13006</v>
      </c>
      <c r="F29">
        <f>Tabelle2[[#This Row],[osm_pixel_no_to_built]]/Tabelle2[[#This Row],[wc_pixel_no_to_built]]*100</f>
        <v>14.493948781955556</v>
      </c>
      <c r="G29">
        <v>8.1209717402082298</v>
      </c>
      <c r="H29">
        <v>10085</v>
      </c>
      <c r="I29">
        <f>Tabelle2[[#This Row],[osm_pixel_no_to_built]]/Tabelle2[[#This Row],[wc_change_pixel]]*100</f>
        <v>128.96380763510166</v>
      </c>
      <c r="J29">
        <v>819</v>
      </c>
      <c r="K29">
        <v>5479</v>
      </c>
      <c r="L29">
        <v>3787</v>
      </c>
      <c r="M29">
        <v>54.328210213187901</v>
      </c>
      <c r="N29">
        <v>37.550818046603872</v>
      </c>
      <c r="O29">
        <v>89.453656915192269</v>
      </c>
      <c r="P29">
        <v>89.662125560900677</v>
      </c>
      <c r="Q29">
        <v>88.113220886657402</v>
      </c>
      <c r="R29">
        <v>89.513824140050261</v>
      </c>
      <c r="S29">
        <v>0.46575084180604542</v>
      </c>
      <c r="T29">
        <v>0.53213815218390337</v>
      </c>
      <c r="U29">
        <v>0.90198389782241561</v>
      </c>
      <c r="V29">
        <v>0.9136441263417765</v>
      </c>
      <c r="W29">
        <v>0.90181167249018412</v>
      </c>
      <c r="X29">
        <v>3</v>
      </c>
      <c r="Y29">
        <v>0.83581426378620605</v>
      </c>
      <c r="Z29">
        <v>3</v>
      </c>
      <c r="AA29">
        <v>0.89333342914948954</v>
      </c>
      <c r="AB29">
        <v>3</v>
      </c>
      <c r="AC29">
        <v>0.8789648603583825</v>
      </c>
      <c r="AD29">
        <v>3</v>
      </c>
      <c r="AE29">
        <v>0.85150644805889597</v>
      </c>
      <c r="AF29">
        <v>3</v>
      </c>
      <c r="AK29">
        <v>0.8595521980379911</v>
      </c>
      <c r="AL29">
        <v>3</v>
      </c>
      <c r="AO29">
        <v>1</v>
      </c>
      <c r="AP29">
        <v>5</v>
      </c>
      <c r="AQ29">
        <v>0.85755293674767752</v>
      </c>
      <c r="AR29">
        <v>3</v>
      </c>
      <c r="AS29">
        <v>0.75322592175766823</v>
      </c>
      <c r="AT29">
        <v>3</v>
      </c>
      <c r="AU29">
        <v>0.67154313620313089</v>
      </c>
      <c r="AV29">
        <v>3</v>
      </c>
    </row>
    <row r="30" spans="1:48" x14ac:dyDescent="0.25">
      <c r="A30" t="s">
        <v>200</v>
      </c>
      <c r="B30">
        <v>0.9525456292026897</v>
      </c>
      <c r="C30">
        <v>83.594236311239186</v>
      </c>
      <c r="D30">
        <v>260250</v>
      </c>
      <c r="E30">
        <v>20410</v>
      </c>
      <c r="F30">
        <f>Tabelle2[[#This Row],[osm_pixel_no_to_built]]/Tabelle2[[#This Row],[wc_pixel_no_to_built]]*100</f>
        <v>7.8424591738712772</v>
      </c>
      <c r="G30">
        <v>5.631531122217174</v>
      </c>
      <c r="H30">
        <v>44020</v>
      </c>
      <c r="I30">
        <f>Tabelle2[[#This Row],[osm_pixel_no_to_built]]/Tabelle2[[#This Row],[wc_change_pixel]]*100</f>
        <v>46.365288505224896</v>
      </c>
      <c r="J30">
        <v>2479</v>
      </c>
      <c r="K30">
        <v>28181</v>
      </c>
      <c r="L30">
        <v>13360</v>
      </c>
      <c r="M30">
        <v>64.01862789641072</v>
      </c>
      <c r="N30">
        <v>30.349840981372111</v>
      </c>
      <c r="O30">
        <v>84.497504311488456</v>
      </c>
      <c r="P30">
        <v>85.97854205359512</v>
      </c>
      <c r="Q30">
        <v>75.470606108075657</v>
      </c>
      <c r="R30">
        <v>78.689234018341907</v>
      </c>
      <c r="S30">
        <v>0.5463956777141199</v>
      </c>
      <c r="T30">
        <v>0.61228551295614231</v>
      </c>
      <c r="U30">
        <v>0.88469898212884246</v>
      </c>
      <c r="V30">
        <v>0.88207236366324571</v>
      </c>
      <c r="W30">
        <v>0.96333583390990685</v>
      </c>
      <c r="X30">
        <v>3</v>
      </c>
      <c r="Y30">
        <v>0.72380451344411034</v>
      </c>
      <c r="Z30">
        <v>3</v>
      </c>
      <c r="AA30">
        <v>0.96391483474255535</v>
      </c>
      <c r="AB30">
        <v>3</v>
      </c>
      <c r="AC30">
        <v>0.99984163767102874</v>
      </c>
      <c r="AD30">
        <v>5</v>
      </c>
      <c r="AE30">
        <v>0.8203873611766126</v>
      </c>
      <c r="AF30">
        <v>3</v>
      </c>
      <c r="AK30">
        <v>0.75937018868605655</v>
      </c>
      <c r="AL30">
        <v>3</v>
      </c>
      <c r="AO30">
        <v>0.9967464413239816</v>
      </c>
      <c r="AP30">
        <v>5</v>
      </c>
      <c r="AQ30">
        <v>0.93416155963012815</v>
      </c>
      <c r="AR30">
        <v>3</v>
      </c>
      <c r="AS30">
        <v>0.94036209999149456</v>
      </c>
      <c r="AT30">
        <v>3</v>
      </c>
      <c r="AU30">
        <v>0.53410737392688001</v>
      </c>
      <c r="AV30">
        <v>3</v>
      </c>
    </row>
    <row r="31" spans="1:48" x14ac:dyDescent="0.25">
      <c r="A31" t="s">
        <v>204</v>
      </c>
      <c r="B31">
        <v>0.42307982022246221</v>
      </c>
      <c r="C31">
        <v>91.346322846310287</v>
      </c>
      <c r="D31">
        <v>79654</v>
      </c>
      <c r="E31">
        <v>3388</v>
      </c>
      <c r="F31">
        <f>Tabelle2[[#This Row],[osm_pixel_no_to_built]]/Tabelle2[[#This Row],[wc_pixel_no_to_built]]*100</f>
        <v>4.2533959374293824</v>
      </c>
      <c r="G31">
        <v>4.7139460064344663</v>
      </c>
      <c r="H31">
        <v>7149</v>
      </c>
      <c r="I31">
        <f>Tabelle2[[#This Row],[osm_pixel_no_to_built]]/Tabelle2[[#This Row],[wc_change_pixel]]*100</f>
        <v>47.391243530563713</v>
      </c>
      <c r="J31">
        <v>337</v>
      </c>
      <c r="K31">
        <v>4655</v>
      </c>
      <c r="L31">
        <v>2157</v>
      </c>
      <c r="M31">
        <v>65.114001958315853</v>
      </c>
      <c r="N31">
        <v>30.172052035249681</v>
      </c>
      <c r="O31">
        <v>74.114891626044567</v>
      </c>
      <c r="P31">
        <v>80.265059192200553</v>
      </c>
      <c r="Q31">
        <v>69.20246848874433</v>
      </c>
      <c r="R31">
        <v>75.735493474028971</v>
      </c>
      <c r="S31">
        <v>0.38139161454840731</v>
      </c>
      <c r="T31">
        <v>0.48059575966796308</v>
      </c>
      <c r="U31">
        <v>0.9231091973059512</v>
      </c>
      <c r="V31">
        <v>0.92664500643952696</v>
      </c>
      <c r="W31">
        <v>0.99999988286569708</v>
      </c>
      <c r="X31">
        <v>5</v>
      </c>
      <c r="Y31">
        <v>0.72851622113676484</v>
      </c>
      <c r="Z31">
        <v>3</v>
      </c>
      <c r="AA31">
        <v>0.99999999999520017</v>
      </c>
      <c r="AB31">
        <v>5</v>
      </c>
      <c r="AC31">
        <v>0.82749377314634731</v>
      </c>
      <c r="AD31">
        <v>3</v>
      </c>
      <c r="AE31">
        <v>0.8243693112266357</v>
      </c>
      <c r="AF31">
        <v>3</v>
      </c>
      <c r="AK31">
        <v>0.80800123969161408</v>
      </c>
      <c r="AL31">
        <v>3</v>
      </c>
      <c r="AO31">
        <v>0.80983397228063536</v>
      </c>
      <c r="AP31">
        <v>3</v>
      </c>
      <c r="AQ31">
        <v>0.93088613973933365</v>
      </c>
      <c r="AR31">
        <v>3</v>
      </c>
      <c r="AS31">
        <v>0.74647407235934105</v>
      </c>
      <c r="AT31">
        <v>3</v>
      </c>
      <c r="AU31">
        <v>0.18635287725083879</v>
      </c>
      <c r="AV31">
        <v>1</v>
      </c>
    </row>
    <row r="34" spans="1:48" x14ac:dyDescent="0.25">
      <c r="A34" t="s">
        <v>208</v>
      </c>
      <c r="B34">
        <f>MIN(Tabelle2[change_accordance])</f>
        <v>2.168962151610454E-2</v>
      </c>
      <c r="C34">
        <f>MIN(Tabelle2[change_accordance_2])</f>
        <v>54.080400276052451</v>
      </c>
      <c r="D34">
        <f>MIN(Tabelle2[wc_pixel_no_to_built])</f>
        <v>8237</v>
      </c>
      <c r="E34">
        <f>MIN(Tabelle2[osm_pixel_no_to_built])</f>
        <v>52</v>
      </c>
      <c r="F34">
        <f>MIN(Tabelle2[percent_pixel_no_to_built])</f>
        <v>0.56393015941871816</v>
      </c>
      <c r="G34">
        <f>MIN(Tabelle2[matching_percent])</f>
        <v>0.26420079260237778</v>
      </c>
      <c r="H34">
        <f>MIN(Tabelle2[wc_change_pixel])</f>
        <v>757</v>
      </c>
      <c r="I34">
        <f>MIN(Tabelle2[percent_to_built_match_adjusted])</f>
        <v>6.8692206076618234</v>
      </c>
      <c r="J34">
        <f>MIN(Tabelle2[matching_pixel])</f>
        <v>2</v>
      </c>
      <c r="K34">
        <f>MIN(Tabelle2[no_osm_data_for_change])</f>
        <v>178</v>
      </c>
      <c r="L34">
        <f>MIN(Tabelle2[other_osm_class_for_change])</f>
        <v>238</v>
      </c>
      <c r="M34">
        <f>MIN(Tabelle2[no_osm_data_for_change_percent])</f>
        <v>7.4208555542947918</v>
      </c>
      <c r="N34">
        <f>MIN(Tabelle2[other_osm_class_for_change_percent])</f>
        <v>5.8584442887175898</v>
      </c>
      <c r="O34">
        <f>MIN(Tabelle2[osm_completeness_2020])</f>
        <v>43.467613882416018</v>
      </c>
      <c r="P34">
        <f>MIN(Tabelle2[osm_completeness_2021])</f>
        <v>48.549612378225667</v>
      </c>
      <c r="Q34">
        <f>MIN(Tabelle2[osm_acc_agg_2020_no_nan])</f>
        <v>68.740162563610539</v>
      </c>
      <c r="R34">
        <f>MIN(Tabelle2[osm_acc_agg_2021_no_nan])</f>
        <v>70.428524124764564</v>
      </c>
      <c r="S34">
        <f>MIN(Tabelle2[built-up_precision_2020_agg])</f>
        <v>0.18660066884159501</v>
      </c>
      <c r="T34">
        <f>MIN(Tabelle2[built-up_precision_2021_agg])</f>
        <v>0.2459842995169082</v>
      </c>
      <c r="U34">
        <f>MIN(Tabelle2[built-up_recall_2020_agg])</f>
        <v>0.4911314343875825</v>
      </c>
      <c r="V34">
        <f>MIN(Tabelle2[built-up_recall_2021_agg])</f>
        <v>0.55190573524107245</v>
      </c>
      <c r="W34">
        <f>MIN(Tabelle2[all-filter_value])</f>
        <v>0.68593665609807264</v>
      </c>
      <c r="X34">
        <f>MIN(Tabelle2[all-filter_class])</f>
        <v>3</v>
      </c>
      <c r="Y34">
        <f>MIN(Tabelle2[bare_value])</f>
        <v>0.68195096936848165</v>
      </c>
      <c r="Z34">
        <f>MIN(Tabelle2[bare_class])</f>
        <v>3</v>
      </c>
      <c r="AA34">
        <f>MIN(Tabelle2[built-up_value])</f>
        <v>0.69366090224548804</v>
      </c>
      <c r="AB34">
        <f>MIN(Tabelle2[built-up_class])</f>
        <v>3</v>
      </c>
      <c r="AC34">
        <f>MIN(Tabelle2[cropland_value])</f>
        <v>9.1073483438915234E-2</v>
      </c>
      <c r="AD34">
        <f>MIN(Tabelle2[cropland_class])</f>
        <v>1</v>
      </c>
      <c r="AE34">
        <f>MIN(Tabelle2[grassland_value])</f>
        <v>0.35338059746499217</v>
      </c>
      <c r="AF34">
        <f>MIN(Tabelle2[grassland_class])</f>
        <v>3</v>
      </c>
      <c r="AG34">
        <f>MIN(Tabelle2[mangroves_value])</f>
        <v>0</v>
      </c>
      <c r="AH34">
        <f>MIN(Tabelle2[mangroves_class])</f>
        <v>0</v>
      </c>
      <c r="AI34">
        <f>MIN(Tabelle2[moss_value])</f>
        <v>0.98901226957152633</v>
      </c>
      <c r="AJ34">
        <f>MIN(Tabelle2[moss_class])</f>
        <v>5</v>
      </c>
      <c r="AK34">
        <f>MIN(Tabelle2[shrubland_value])</f>
        <v>0.46345185824261531</v>
      </c>
      <c r="AL34">
        <f>MIN(Tabelle2[shrubland_class])</f>
        <v>3</v>
      </c>
      <c r="AM34">
        <f>MIN(Tabelle2[snow_value])</f>
        <v>1</v>
      </c>
      <c r="AN34">
        <f>MIN(Tabelle2[snow_class])</f>
        <v>5</v>
      </c>
      <c r="AO34">
        <f>MIN(Tabelle2[tree_value])</f>
        <v>0.61549893381003573</v>
      </c>
      <c r="AP34">
        <f>MIN(Tabelle2[tree_class])</f>
        <v>3</v>
      </c>
      <c r="AQ34">
        <f>MIN(Tabelle2[water_value])</f>
        <v>0.47390860853913408</v>
      </c>
      <c r="AR34">
        <f>MIN(Tabelle2[water_class])</f>
        <v>3</v>
      </c>
      <c r="AS34">
        <f>MIN(Tabelle2[wetland_value])</f>
        <v>0.4204445236287036</v>
      </c>
      <c r="AT34">
        <f>MIN(Tabelle2[wetland_class])</f>
        <v>3</v>
      </c>
      <c r="AU34">
        <f>MIN(Tabelle2[garden_value])</f>
        <v>2.8814730088839419E-2</v>
      </c>
      <c r="AV34">
        <f>MIN(Tabelle2[garden_class])</f>
        <v>1</v>
      </c>
    </row>
    <row r="35" spans="1:48" x14ac:dyDescent="0.25">
      <c r="A35" t="s">
        <v>209</v>
      </c>
      <c r="B35">
        <f>MAX(Tabelle2[change_accordance])</f>
        <v>4.471940076081415</v>
      </c>
      <c r="C35">
        <f>MAX(Tabelle2[change_accordance_2])</f>
        <v>91.812167877670532</v>
      </c>
      <c r="D35">
        <f>MAX(Tabelle2[wc_pixel_no_to_built])</f>
        <v>444579</v>
      </c>
      <c r="E35">
        <f>MAX(Tabelle2[osm_pixel_no_to_built])</f>
        <v>143246</v>
      </c>
      <c r="F35">
        <f>MAX(Tabelle2[percent_pixel_no_to_built])</f>
        <v>56.177104984509199</v>
      </c>
      <c r="G35">
        <f>MAX(Tabelle2[matching_percent])</f>
        <v>25.248392752776159</v>
      </c>
      <c r="H35">
        <f>MAX(Tabelle2[wc_change_pixel])</f>
        <v>72515</v>
      </c>
      <c r="I35">
        <f>MAX(Tabelle2[percent_to_built_match_adjusted])</f>
        <v>355.51504102096629</v>
      </c>
      <c r="J35">
        <f>MAX(Tabelle2[matching_pixel])</f>
        <v>11403</v>
      </c>
      <c r="K35">
        <f>MAX(Tabelle2[no_osm_data_for_change])</f>
        <v>37005</v>
      </c>
      <c r="L35">
        <f>MAX(Tabelle2[other_osm_class_for_change])</f>
        <v>31936</v>
      </c>
      <c r="M35">
        <f>MAX(Tabelle2[no_osm_data_for_change_percent])</f>
        <v>89.62859145059565</v>
      </c>
      <c r="N35">
        <f>MAX(Tabelle2[other_osm_class_for_change_percent])</f>
        <v>90.877113355270623</v>
      </c>
      <c r="O35">
        <f>MAX(Tabelle2[osm_completeness_2020])</f>
        <v>99.182275684083208</v>
      </c>
      <c r="P35">
        <f>MAX(Tabelle2[osm_completeness_2021])</f>
        <v>99.154378811149698</v>
      </c>
      <c r="Q35">
        <f>MAX(Tabelle2[osm_acc_agg_2020_no_nan])</f>
        <v>94.615766461830702</v>
      </c>
      <c r="R35">
        <f>MAX(Tabelle2[osm_acc_agg_2021_no_nan])</f>
        <v>95.400495835764431</v>
      </c>
      <c r="S35">
        <f>MAX(Tabelle2[built-up_precision_2020_agg])</f>
        <v>0.6134080604373825</v>
      </c>
      <c r="T35">
        <f>MAX(Tabelle2[built-up_precision_2021_agg])</f>
        <v>0.6863465101980466</v>
      </c>
      <c r="U35">
        <f>MAX(Tabelle2[built-up_recall_2020_agg])</f>
        <v>0.9543803084622603</v>
      </c>
      <c r="V35">
        <f>MAX(Tabelle2[built-up_recall_2021_agg])</f>
        <v>0.94618065584503108</v>
      </c>
      <c r="W35">
        <f>MAX(Tabelle2[all-filter_value])</f>
        <v>0.99999988286569708</v>
      </c>
      <c r="X35">
        <f>MAX(Tabelle2[all-filter_class])</f>
        <v>5</v>
      </c>
      <c r="Y35">
        <f>MAX(Tabelle2[bare_value])</f>
        <v>0.99999999938154904</v>
      </c>
      <c r="Z35">
        <f>MAX(Tabelle2[bare_class])</f>
        <v>5</v>
      </c>
      <c r="AA35">
        <f>MAX(Tabelle2[built-up_value])</f>
        <v>0.99999999999520017</v>
      </c>
      <c r="AB35">
        <f>MAX(Tabelle2[built-up_class])</f>
        <v>5</v>
      </c>
      <c r="AC35">
        <f>MAX(Tabelle2[cropland_value])</f>
        <v>1</v>
      </c>
      <c r="AD35">
        <f>MAX(Tabelle2[cropland_class])</f>
        <v>5</v>
      </c>
      <c r="AE35">
        <f>MAX(Tabelle2[grassland_value])</f>
        <v>1</v>
      </c>
      <c r="AF35">
        <f>MAX(Tabelle2[grassland_class])</f>
        <v>5</v>
      </c>
      <c r="AG35">
        <f>MAX(Tabelle2[mangroves_value])</f>
        <v>0</v>
      </c>
      <c r="AH35">
        <f>MAX(Tabelle2[mangroves_class])</f>
        <v>0</v>
      </c>
      <c r="AI35">
        <f>MAX(Tabelle2[moss_value])</f>
        <v>1</v>
      </c>
      <c r="AJ35">
        <f>MAX(Tabelle2[moss_class])</f>
        <v>5</v>
      </c>
      <c r="AK35">
        <f>MAX(Tabelle2[shrubland_value])</f>
        <v>1</v>
      </c>
      <c r="AL35">
        <f>MAX(Tabelle2[shrubland_class])</f>
        <v>5</v>
      </c>
      <c r="AM35">
        <f>MAX(Tabelle2[snow_value])</f>
        <v>1</v>
      </c>
      <c r="AN35">
        <f>MAX(Tabelle2[snow_class])</f>
        <v>5</v>
      </c>
      <c r="AO35">
        <f>MAX(Tabelle2[tree_value])</f>
        <v>1</v>
      </c>
      <c r="AP35">
        <f>MAX(Tabelle2[tree_class])</f>
        <v>5</v>
      </c>
      <c r="AQ35">
        <f>MAX(Tabelle2[water_value])</f>
        <v>0.99999996576260597</v>
      </c>
      <c r="AR35">
        <f>MAX(Tabelle2[water_class])</f>
        <v>5</v>
      </c>
      <c r="AS35">
        <f>MAX(Tabelle2[wetland_value])</f>
        <v>1</v>
      </c>
      <c r="AT35">
        <f>MAX(Tabelle2[wetland_class])</f>
        <v>5</v>
      </c>
      <c r="AU35">
        <f>MAX(Tabelle2[garden_value])</f>
        <v>1</v>
      </c>
      <c r="AV35">
        <f>MAX(Tabelle2[garden_class])</f>
        <v>5</v>
      </c>
    </row>
    <row r="36" spans="1:48" x14ac:dyDescent="0.25">
      <c r="A36" t="s">
        <v>210</v>
      </c>
      <c r="B36">
        <f>AVERAGE(Tabelle2[change_accordance])</f>
        <v>1.3616645185793879</v>
      </c>
      <c r="C36">
        <f>AVERAGE(Tabelle2[change_accordance_2])</f>
        <v>83.82993179091504</v>
      </c>
      <c r="D36">
        <f>AVERAGE(Tabelle2[wc_pixel_no_to_built])</f>
        <v>93675.866666666669</v>
      </c>
      <c r="E36">
        <f>AVERAGE(Tabelle2[osm_pixel_no_to_built])</f>
        <v>15198.466666666667</v>
      </c>
      <c r="F36">
        <f>AVERAGE(Tabelle2[percent_pixel_no_to_built])</f>
        <v>16.895801383950289</v>
      </c>
      <c r="G36">
        <f>AVERAGE(Tabelle2[matching_percent])</f>
        <v>8.2518907845819669</v>
      </c>
      <c r="H36">
        <f>AVERAGE(Tabelle2[wc_change_pixel])</f>
        <v>16214.433333333332</v>
      </c>
      <c r="I36">
        <f>AVERAGE(Tabelle2[percent_to_built_match_adjusted])</f>
        <v>105.03880932594966</v>
      </c>
      <c r="J36">
        <f>AVERAGE(Tabelle2[matching_pixel])</f>
        <v>1350.4333333333334</v>
      </c>
      <c r="K36">
        <f>AVERAGE(Tabelle2[no_osm_data_for_change])</f>
        <v>8262.1333333333332</v>
      </c>
      <c r="L36">
        <f>AVERAGE(Tabelle2[other_osm_class_for_change])</f>
        <v>6601.8666666666668</v>
      </c>
      <c r="M36">
        <f>AVERAGE(Tabelle2[no_osm_data_for_change_percent])</f>
        <v>53.608551367808332</v>
      </c>
      <c r="N36">
        <f>AVERAGE(Tabelle2[other_osm_class_for_change_percent])</f>
        <v>38.139557847609701</v>
      </c>
      <c r="O36">
        <f>AVERAGE(Tabelle2[osm_completeness_2020])</f>
        <v>83.120239538846064</v>
      </c>
      <c r="P36">
        <f>AVERAGE(Tabelle2[osm_completeness_2021])</f>
        <v>84.484510680464979</v>
      </c>
      <c r="Q36">
        <f>AVERAGE(Tabelle2[osm_acc_agg_2020_no_nan])</f>
        <v>84.47941919884488</v>
      </c>
      <c r="R36">
        <f>AVERAGE(Tabelle2[osm_acc_agg_2021_no_nan])</f>
        <v>86.578096045203367</v>
      </c>
      <c r="S36">
        <f>AVERAGE(Tabelle2[built-up_precision_2020_agg])</f>
        <v>0.42945088243017687</v>
      </c>
      <c r="T36">
        <f>AVERAGE(Tabelle2[built-up_precision_2021_agg])</f>
        <v>0.49421055223336902</v>
      </c>
      <c r="U36">
        <f>AVERAGE(Tabelle2[built-up_recall_2020_agg])</f>
        <v>0.88216611481300233</v>
      </c>
      <c r="V36">
        <f>AVERAGE(Tabelle2[built-up_recall_2021_agg])</f>
        <v>0.88627417816467235</v>
      </c>
      <c r="W36">
        <f>AVERAGE(Tabelle2[all-filter_value])</f>
        <v>0.90898505549928754</v>
      </c>
      <c r="X36">
        <f>AVERAGE(Tabelle2[all-filter_class])</f>
        <v>3.4</v>
      </c>
      <c r="Y36">
        <f>AVERAGE(Tabelle2[bare_value])</f>
        <v>0.82323280850873337</v>
      </c>
      <c r="Z36">
        <f>AVERAGE(Tabelle2[bare_class])</f>
        <v>3.1333333333333333</v>
      </c>
      <c r="AA36">
        <f>AVERAGE(Tabelle2[built-up_value])</f>
        <v>0.91786235033967967</v>
      </c>
      <c r="AB36">
        <f>AVERAGE(Tabelle2[built-up_class])</f>
        <v>3.4666666666666668</v>
      </c>
      <c r="AC36">
        <f>AVERAGE(Tabelle2[cropland_value])</f>
        <v>0.89618046467340451</v>
      </c>
      <c r="AD36">
        <f>AVERAGE(Tabelle2[cropland_class])</f>
        <v>3.9333333333333331</v>
      </c>
      <c r="AE36">
        <f>AVERAGE(Tabelle2[grassland_value])</f>
        <v>0.80327757276920064</v>
      </c>
      <c r="AF36">
        <f>AVERAGE(Tabelle2[grassland_class])</f>
        <v>3.4</v>
      </c>
      <c r="AG36" t="e">
        <f>AVERAGE(Tabelle2[mangroves_value])</f>
        <v>#DIV/0!</v>
      </c>
      <c r="AH36" t="e">
        <f>AVERAGE(Tabelle2[mangroves_class])</f>
        <v>#DIV/0!</v>
      </c>
      <c r="AI36">
        <f>AVERAGE(Tabelle2[moss_value])</f>
        <v>0.99633742318947582</v>
      </c>
      <c r="AJ36">
        <f>AVERAGE(Tabelle2[moss_class])</f>
        <v>5</v>
      </c>
      <c r="AK36">
        <f>AVERAGE(Tabelle2[shrubland_value])</f>
        <v>0.79176492954724564</v>
      </c>
      <c r="AL36">
        <f>AVERAGE(Tabelle2[shrubland_class])</f>
        <v>3.3333333333333335</v>
      </c>
      <c r="AM36">
        <f>AVERAGE(Tabelle2[snow_value])</f>
        <v>1</v>
      </c>
      <c r="AN36">
        <f>AVERAGE(Tabelle2[snow_class])</f>
        <v>5</v>
      </c>
      <c r="AO36">
        <f>AVERAGE(Tabelle2[tree_value])</f>
        <v>0.84542222410886725</v>
      </c>
      <c r="AP36">
        <f>AVERAGE(Tabelle2[tree_class])</f>
        <v>3.6</v>
      </c>
      <c r="AQ36">
        <f>AVERAGE(Tabelle2[water_value])</f>
        <v>0.8917414122004157</v>
      </c>
      <c r="AR36">
        <f>AVERAGE(Tabelle2[water_class])</f>
        <v>3.2666666666666666</v>
      </c>
      <c r="AS36">
        <f>AVERAGE(Tabelle2[wetland_value])</f>
        <v>0.82412486422968334</v>
      </c>
      <c r="AT36">
        <f>AVERAGE(Tabelle2[wetland_class])</f>
        <v>3.3571428571428572</v>
      </c>
      <c r="AU36">
        <f>AVERAGE(Tabelle2[garden_value])</f>
        <v>0.75469364407965256</v>
      </c>
      <c r="AV36">
        <f>AVERAGE(Tabelle2[garden_class])</f>
        <v>3.5384615384615383</v>
      </c>
    </row>
    <row r="37" spans="1:48" x14ac:dyDescent="0.25">
      <c r="A37" t="s">
        <v>211</v>
      </c>
      <c r="B37">
        <f>MEDIAN(Tabelle2[change_accordance])</f>
        <v>1.1314599348751146</v>
      </c>
      <c r="C37">
        <f>MEDIAN(Tabelle2[change_accordance_2])</f>
        <v>84.628120166346008</v>
      </c>
      <c r="D37">
        <f>MEDIAN(Tabelle2[wc_pixel_no_to_built])</f>
        <v>54752.5</v>
      </c>
      <c r="E37">
        <f>MEDIAN(Tabelle2[osm_pixel_no_to_built])</f>
        <v>4774</v>
      </c>
      <c r="F37">
        <f>MEDIAN(Tabelle2[percent_pixel_no_to_built])</f>
        <v>13.080307771406098</v>
      </c>
      <c r="G37">
        <f>MEDIAN(Tabelle2[matching_percent])</f>
        <v>7.1424682537700939</v>
      </c>
      <c r="H37">
        <f>MEDIAN(Tabelle2[wc_change_pixel])</f>
        <v>9449</v>
      </c>
      <c r="I37">
        <f>MEDIAN(Tabelle2[percent_to_built_match_adjusted])</f>
        <v>84.741277653073922</v>
      </c>
      <c r="J37">
        <f>MEDIAN(Tabelle2[matching_pixel])</f>
        <v>445</v>
      </c>
      <c r="K37">
        <f>MEDIAN(Tabelle2[no_osm_data_for_change])</f>
        <v>5740</v>
      </c>
      <c r="L37">
        <f>MEDIAN(Tabelle2[other_osm_class_for_change])</f>
        <v>3477</v>
      </c>
      <c r="M37">
        <f>MEDIAN(Tabelle2[no_osm_data_for_change_percent])</f>
        <v>56.965310905576118</v>
      </c>
      <c r="N37">
        <f>MEDIAN(Tabelle2[other_osm_class_for_change_percent])</f>
        <v>34.842207037497623</v>
      </c>
      <c r="O37">
        <f>MEDIAN(Tabelle2[osm_completeness_2020])</f>
        <v>86.630500105649588</v>
      </c>
      <c r="P37">
        <f>MEDIAN(Tabelle2[osm_completeness_2021])</f>
        <v>88.046081042303683</v>
      </c>
      <c r="Q37">
        <f>MEDIAN(Tabelle2[osm_acc_agg_2020_no_nan])</f>
        <v>85.30839698347198</v>
      </c>
      <c r="R37">
        <f>MEDIAN(Tabelle2[osm_acc_agg_2021_no_nan])</f>
        <v>87.302357649814297</v>
      </c>
      <c r="S37">
        <f>MEDIAN(Tabelle2[built-up_precision_2020_agg])</f>
        <v>0.44591856357743875</v>
      </c>
      <c r="T37">
        <f>MEDIAN(Tabelle2[built-up_precision_2021_agg])</f>
        <v>0.50864054836868311</v>
      </c>
      <c r="U37">
        <f>MEDIAN(Tabelle2[built-up_recall_2020_agg])</f>
        <v>0.89654663211994423</v>
      </c>
      <c r="V37">
        <f>MEDIAN(Tabelle2[built-up_recall_2021_agg])</f>
        <v>0.89902581046356111</v>
      </c>
      <c r="W37">
        <f>MEDIAN(Tabelle2[all-filter_value])</f>
        <v>0.93853240487696143</v>
      </c>
      <c r="X37">
        <f>MEDIAN(Tabelle2[all-filter_class])</f>
        <v>3</v>
      </c>
      <c r="Y37">
        <f>MEDIAN(Tabelle2[bare_value])</f>
        <v>0.81828579252678924</v>
      </c>
      <c r="Z37">
        <f>MEDIAN(Tabelle2[bare_class])</f>
        <v>3</v>
      </c>
      <c r="AA37">
        <f>MEDIAN(Tabelle2[built-up_value])</f>
        <v>0.93882026105314043</v>
      </c>
      <c r="AB37">
        <f>MEDIAN(Tabelle2[built-up_class])</f>
        <v>3</v>
      </c>
      <c r="AC37">
        <f>MEDIAN(Tabelle2[cropland_value])</f>
        <v>0.97023344564825775</v>
      </c>
      <c r="AD37">
        <f>MEDIAN(Tabelle2[cropland_class])</f>
        <v>4</v>
      </c>
      <c r="AE37">
        <f>MEDIAN(Tabelle2[grassland_value])</f>
        <v>0.8255205918535844</v>
      </c>
      <c r="AF37">
        <f>MEDIAN(Tabelle2[grassland_class])</f>
        <v>3</v>
      </c>
      <c r="AG37" t="e">
        <f>MEDIAN(Tabelle2[mangroves_value])</f>
        <v>#NUM!</v>
      </c>
      <c r="AH37" t="e">
        <f>MEDIAN(Tabelle2[mangroves_class])</f>
        <v>#NUM!</v>
      </c>
      <c r="AI37">
        <f>MEDIAN(Tabelle2[moss_value])</f>
        <v>0.99999999999690092</v>
      </c>
      <c r="AJ37">
        <f>MEDIAN(Tabelle2[moss_class])</f>
        <v>5</v>
      </c>
      <c r="AK37">
        <f>MEDIAN(Tabelle2[shrubland_value])</f>
        <v>0.78911544314031568</v>
      </c>
      <c r="AL37">
        <f>MEDIAN(Tabelle2[shrubland_class])</f>
        <v>3</v>
      </c>
      <c r="AM37">
        <f>MEDIAN(Tabelle2[snow_value])</f>
        <v>1</v>
      </c>
      <c r="AN37">
        <f>MEDIAN(Tabelle2[snow_class])</f>
        <v>5</v>
      </c>
      <c r="AO37">
        <f>MEDIAN(Tabelle2[tree_value])</f>
        <v>0.81556262525927137</v>
      </c>
      <c r="AP37">
        <f>MEDIAN(Tabelle2[tree_class])</f>
        <v>3</v>
      </c>
      <c r="AQ37">
        <f>MEDIAN(Tabelle2[water_value])</f>
        <v>0.92272756317929905</v>
      </c>
      <c r="AR37">
        <f>MEDIAN(Tabelle2[water_class])</f>
        <v>3</v>
      </c>
      <c r="AS37">
        <f>MEDIAN(Tabelle2[wetland_value])</f>
        <v>0.82657633364214567</v>
      </c>
      <c r="AT37">
        <f>MEDIAN(Tabelle2[wetland_class])</f>
        <v>3</v>
      </c>
      <c r="AU37">
        <f>MEDIAN(Tabelle2[garden_value])</f>
        <v>0.9091854698622206</v>
      </c>
      <c r="AV37">
        <f>MEDIAN(Tabelle2[garden_class])</f>
        <v>3</v>
      </c>
    </row>
  </sheetData>
  <conditionalFormatting sqref="B2:B31">
    <cfRule type="colorScale" priority="14">
      <colorScale>
        <cfvo type="min"/>
        <cfvo type="max"/>
        <color rgb="FFFCFCFF"/>
        <color rgb="FF63BE7B"/>
      </colorScale>
    </cfRule>
  </conditionalFormatting>
  <conditionalFormatting sqref="C2:C31">
    <cfRule type="colorScale" priority="13">
      <colorScale>
        <cfvo type="min"/>
        <cfvo type="max"/>
        <color rgb="FFFCFCFF"/>
        <color rgb="FF63BE7B"/>
      </colorScale>
    </cfRule>
  </conditionalFormatting>
  <conditionalFormatting sqref="F2:F31">
    <cfRule type="colorScale" priority="12">
      <colorScale>
        <cfvo type="min"/>
        <cfvo type="max"/>
        <color rgb="FFFCFCFF"/>
        <color rgb="FF63BE7B"/>
      </colorScale>
    </cfRule>
  </conditionalFormatting>
  <conditionalFormatting sqref="G2:G31">
    <cfRule type="colorScale" priority="11">
      <colorScale>
        <cfvo type="min"/>
        <cfvo type="max"/>
        <color rgb="FFFCFCFF"/>
        <color rgb="FF63BE7B"/>
      </colorScale>
    </cfRule>
  </conditionalFormatting>
  <conditionalFormatting sqref="I2:I31">
    <cfRule type="colorScale" priority="10">
      <colorScale>
        <cfvo type="min"/>
        <cfvo type="max"/>
        <color rgb="FFFCFCFF"/>
        <color rgb="FF63BE7B"/>
      </colorScale>
    </cfRule>
  </conditionalFormatting>
  <conditionalFormatting sqref="P2:P37">
    <cfRule type="expression" dxfId="11" priority="7">
      <formula>P2&lt;O2</formula>
    </cfRule>
    <cfRule type="expression" dxfId="10" priority="8">
      <formula>P2&gt;O2</formula>
    </cfRule>
  </conditionalFormatting>
  <conditionalFormatting sqref="R2:R37">
    <cfRule type="expression" dxfId="9" priority="5">
      <formula>R2&lt;Q2</formula>
    </cfRule>
    <cfRule type="expression" dxfId="8" priority="6">
      <formula>R2&gt;Q2</formula>
    </cfRule>
  </conditionalFormatting>
  <conditionalFormatting sqref="T2:T37">
    <cfRule type="expression" dxfId="7" priority="3">
      <formula>T2&lt;S2</formula>
    </cfRule>
    <cfRule type="expression" dxfId="6" priority="4">
      <formula>T2&gt;S2</formula>
    </cfRule>
  </conditionalFormatting>
  <conditionalFormatting sqref="V2:V37">
    <cfRule type="expression" dxfId="5" priority="1">
      <formula>V2&lt;U2</formula>
    </cfRule>
    <cfRule type="expression" dxfId="4" priority="2">
      <formula>V2&gt;U2</formula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6EF31-6CFB-40D6-AD19-616A205B1D15}">
  <dimension ref="A1:D34"/>
  <sheetViews>
    <sheetView workbookViewId="0">
      <selection activeCell="H13" sqref="H13"/>
    </sheetView>
  </sheetViews>
  <sheetFormatPr baseColWidth="10" defaultRowHeight="15" x14ac:dyDescent="0.25"/>
  <cols>
    <col min="1" max="1" width="17.5703125" customWidth="1"/>
    <col min="2" max="2" width="20.28515625" customWidth="1"/>
    <col min="3" max="3" width="25.5703125" customWidth="1"/>
    <col min="4" max="4" width="23" customWidth="1"/>
  </cols>
  <sheetData>
    <row r="1" spans="1:4" x14ac:dyDescent="0.25">
      <c r="A1" s="2" t="s">
        <v>231</v>
      </c>
      <c r="B1" s="2" t="s">
        <v>243</v>
      </c>
      <c r="C1" s="2" t="s">
        <v>244</v>
      </c>
      <c r="D1" s="2" t="s">
        <v>245</v>
      </c>
    </row>
    <row r="2" spans="1:4" x14ac:dyDescent="0.25">
      <c r="A2" t="s">
        <v>86</v>
      </c>
      <c r="B2" s="6">
        <v>2.168962151610454E-2</v>
      </c>
      <c r="C2" s="6">
        <v>91.812167877670532</v>
      </c>
      <c r="D2" s="6">
        <v>0.26420079260237778</v>
      </c>
    </row>
    <row r="3" spans="1:4" x14ac:dyDescent="0.25">
      <c r="A3" t="s">
        <v>90</v>
      </c>
      <c r="B3" s="6">
        <v>1.037538263251168</v>
      </c>
      <c r="C3" s="6">
        <v>78.008699855002419</v>
      </c>
      <c r="D3" s="6">
        <v>4.512964260686755</v>
      </c>
    </row>
    <row r="4" spans="1:4" x14ac:dyDescent="0.25">
      <c r="A4" t="s">
        <v>94</v>
      </c>
      <c r="B4" s="6">
        <v>0.15939597315436241</v>
      </c>
      <c r="C4" s="6">
        <v>83.636744966442961</v>
      </c>
      <c r="D4" s="6">
        <v>0.9664292980671414</v>
      </c>
    </row>
    <row r="5" spans="1:4" x14ac:dyDescent="0.25">
      <c r="A5" t="s">
        <v>98</v>
      </c>
      <c r="B5" s="6">
        <v>0.25781169433845519</v>
      </c>
      <c r="C5" s="6">
        <v>84.888797222508686</v>
      </c>
      <c r="D5" s="6">
        <v>1.702031090434585</v>
      </c>
    </row>
    <row r="6" spans="1:4" x14ac:dyDescent="0.25">
      <c r="A6" t="s">
        <v>102</v>
      </c>
      <c r="B6" s="6">
        <v>0.38604209799861983</v>
      </c>
      <c r="C6" s="6">
        <v>54.080400276052451</v>
      </c>
      <c r="D6" s="6">
        <v>0.83876107024038227</v>
      </c>
    </row>
    <row r="7" spans="1:4" x14ac:dyDescent="0.25">
      <c r="A7" t="s">
        <v>106</v>
      </c>
      <c r="B7" s="6">
        <v>1.24954987396471</v>
      </c>
      <c r="C7" s="6">
        <v>81.080302484695707</v>
      </c>
      <c r="D7" s="6">
        <v>6.4128626871188326</v>
      </c>
    </row>
    <row r="8" spans="1:4" x14ac:dyDescent="0.25">
      <c r="A8" t="s">
        <v>110</v>
      </c>
      <c r="B8" s="6">
        <v>1.6957576239513339</v>
      </c>
      <c r="C8" s="6">
        <v>89.610751063576004</v>
      </c>
      <c r="D8" s="6">
        <v>15.551504102096629</v>
      </c>
    </row>
    <row r="9" spans="1:4" x14ac:dyDescent="0.25">
      <c r="A9" t="s">
        <v>114</v>
      </c>
      <c r="B9" s="6">
        <v>0.83768362267815955</v>
      </c>
      <c r="C9" s="6">
        <v>80.963943183197756</v>
      </c>
      <c r="D9" s="6">
        <v>4.2331288343558278</v>
      </c>
    </row>
    <row r="10" spans="1:4" x14ac:dyDescent="0.25">
      <c r="A10" t="s">
        <v>118</v>
      </c>
      <c r="B10" s="6">
        <v>1.7355506523123401</v>
      </c>
      <c r="C10" s="6">
        <v>83.684046853944224</v>
      </c>
      <c r="D10" s="6">
        <v>9.725333997178657</v>
      </c>
    </row>
    <row r="11" spans="1:4" x14ac:dyDescent="0.25">
      <c r="A11" t="s">
        <v>122</v>
      </c>
      <c r="B11" s="6">
        <v>1.6973251577357149</v>
      </c>
      <c r="C11" s="6">
        <v>79.063360881542692</v>
      </c>
      <c r="D11" s="6">
        <v>7.5167256985438797</v>
      </c>
    </row>
    <row r="12" spans="1:4" x14ac:dyDescent="0.25">
      <c r="A12" t="s">
        <v>126</v>
      </c>
      <c r="B12" s="6">
        <v>4.4605059370160047</v>
      </c>
      <c r="C12" s="6">
        <v>86.391326794011363</v>
      </c>
      <c r="D12" s="6">
        <v>25.248392752776159</v>
      </c>
    </row>
    <row r="13" spans="1:4" x14ac:dyDescent="0.25">
      <c r="A13" t="s">
        <v>130</v>
      </c>
      <c r="B13" s="6">
        <v>1.800284937184303</v>
      </c>
      <c r="C13" s="6">
        <v>87.398005439709877</v>
      </c>
      <c r="D13" s="6">
        <v>12.670920692798539</v>
      </c>
    </row>
    <row r="14" spans="1:4" x14ac:dyDescent="0.25">
      <c r="A14" t="s">
        <v>134</v>
      </c>
      <c r="B14" s="6">
        <v>2.322545447460203</v>
      </c>
      <c r="C14" s="6">
        <v>85.242483876624519</v>
      </c>
      <c r="D14" s="6">
        <v>13.85241138872748</v>
      </c>
    </row>
    <row r="15" spans="1:4" x14ac:dyDescent="0.25">
      <c r="A15" t="s">
        <v>138</v>
      </c>
      <c r="B15" s="6">
        <v>0.1485994501820343</v>
      </c>
      <c r="C15" s="6">
        <v>89.742922951185079</v>
      </c>
      <c r="D15" s="6">
        <v>1.432151808091658</v>
      </c>
    </row>
    <row r="16" spans="1:4" x14ac:dyDescent="0.25">
      <c r="A16" t="s">
        <v>142</v>
      </c>
      <c r="B16" s="6">
        <v>2.4672959099188612</v>
      </c>
      <c r="C16" s="6">
        <v>90.9504884914721</v>
      </c>
      <c r="D16" s="6">
        <v>23.483057525610722</v>
      </c>
    </row>
    <row r="17" spans="1:4" x14ac:dyDescent="0.25">
      <c r="A17" t="s">
        <v>146</v>
      </c>
      <c r="B17" s="6">
        <v>2.6305267717322489</v>
      </c>
      <c r="C17" s="6">
        <v>78.409355945756843</v>
      </c>
      <c r="D17" s="6">
        <v>10.988934511796231</v>
      </c>
    </row>
    <row r="18" spans="1:4" x14ac:dyDescent="0.25">
      <c r="A18" t="s">
        <v>150</v>
      </c>
      <c r="B18" s="6">
        <v>1.3079478930436159</v>
      </c>
      <c r="C18" s="6">
        <v>88.154633194451776</v>
      </c>
      <c r="D18" s="6">
        <v>11.08627626285203</v>
      </c>
    </row>
    <row r="19" spans="1:4" x14ac:dyDescent="0.25">
      <c r="A19" t="s">
        <v>154</v>
      </c>
      <c r="B19" s="6">
        <v>0.83095977350679562</v>
      </c>
      <c r="C19" s="6">
        <v>88.056503553924713</v>
      </c>
      <c r="D19" s="6">
        <v>6.7030047952530438</v>
      </c>
    </row>
    <row r="20" spans="1:4" x14ac:dyDescent="0.25">
      <c r="A20" t="s">
        <v>158</v>
      </c>
      <c r="B20" s="6">
        <v>0.8475307517521069</v>
      </c>
      <c r="C20" s="6">
        <v>89.734715204740041</v>
      </c>
      <c r="D20" s="6">
        <v>8.2478074267587242</v>
      </c>
    </row>
    <row r="21" spans="1:4" x14ac:dyDescent="0.25">
      <c r="A21" t="s">
        <v>162</v>
      </c>
      <c r="B21" s="6">
        <v>4.471940076081415</v>
      </c>
      <c r="C21" s="6">
        <v>75.717479116828116</v>
      </c>
      <c r="D21" s="6">
        <v>15.725022409156731</v>
      </c>
    </row>
    <row r="22" spans="1:4" x14ac:dyDescent="0.25">
      <c r="A22" t="s">
        <v>166</v>
      </c>
      <c r="B22" s="6">
        <v>0.32817426196617938</v>
      </c>
      <c r="C22" s="6">
        <v>85.968042419031249</v>
      </c>
      <c r="D22" s="6">
        <v>2.2974667669927258</v>
      </c>
    </row>
    <row r="23" spans="1:4" x14ac:dyDescent="0.25">
      <c r="A23" t="s">
        <v>170</v>
      </c>
      <c r="B23" s="6">
        <v>0.64357450297192054</v>
      </c>
      <c r="C23" s="6">
        <v>79.124820659971306</v>
      </c>
      <c r="D23" s="6">
        <v>3.0447008629884609</v>
      </c>
    </row>
    <row r="24" spans="1:4" x14ac:dyDescent="0.25">
      <c r="A24" t="s">
        <v>174</v>
      </c>
      <c r="B24" s="6">
        <v>1.159597411933861</v>
      </c>
      <c r="C24" s="6">
        <v>83.445003594536303</v>
      </c>
      <c r="D24" s="6">
        <v>6.7682108089963071</v>
      </c>
    </row>
    <row r="25" spans="1:4" x14ac:dyDescent="0.25">
      <c r="A25" t="s">
        <v>179</v>
      </c>
      <c r="B25" s="6">
        <v>1.374108988503731</v>
      </c>
      <c r="C25" s="6">
        <v>86.268582186742961</v>
      </c>
      <c r="D25" s="6">
        <v>9.2726389605658603</v>
      </c>
    </row>
    <row r="26" spans="1:4" x14ac:dyDescent="0.25">
      <c r="A26" t="s">
        <v>183</v>
      </c>
      <c r="B26" s="6">
        <v>2.3065952917347001</v>
      </c>
      <c r="C26" s="6">
        <v>84.367443110183331</v>
      </c>
      <c r="D26" s="6">
        <v>13.462814403763799</v>
      </c>
    </row>
    <row r="27" spans="1:4" x14ac:dyDescent="0.25">
      <c r="A27" t="s">
        <v>187</v>
      </c>
      <c r="B27" s="6">
        <v>1.2797581360010131</v>
      </c>
      <c r="C27" s="6">
        <v>83.994713182221091</v>
      </c>
      <c r="D27" s="6">
        <v>7.5557216952478861</v>
      </c>
    </row>
    <row r="28" spans="1:4" x14ac:dyDescent="0.25">
      <c r="A28" t="s">
        <v>192</v>
      </c>
      <c r="B28" s="6">
        <v>1.1033224578163681</v>
      </c>
      <c r="C28" s="6">
        <v>80.751848964050225</v>
      </c>
      <c r="D28" s="6">
        <v>5.5267997648977119</v>
      </c>
    </row>
    <row r="29" spans="1:4" x14ac:dyDescent="0.25">
      <c r="A29" t="s">
        <v>195</v>
      </c>
      <c r="B29" s="6">
        <v>0.9126975282501617</v>
      </c>
      <c r="C29" s="6">
        <v>89.409811219827489</v>
      </c>
      <c r="D29" s="6">
        <v>8.1209717402082298</v>
      </c>
    </row>
    <row r="30" spans="1:4" x14ac:dyDescent="0.25">
      <c r="A30" t="s">
        <v>200</v>
      </c>
      <c r="B30" s="6">
        <v>0.9525456292026897</v>
      </c>
      <c r="C30" s="6">
        <v>83.594236311239186</v>
      </c>
      <c r="D30" s="6">
        <v>5.631531122217174</v>
      </c>
    </row>
    <row r="31" spans="1:4" x14ac:dyDescent="0.25">
      <c r="A31" t="s">
        <v>204</v>
      </c>
      <c r="B31" s="6">
        <v>0.42307982022246221</v>
      </c>
      <c r="C31" s="6">
        <v>91.346322846310287</v>
      </c>
      <c r="D31" s="6">
        <v>4.7139460064344663</v>
      </c>
    </row>
    <row r="32" spans="1:4" x14ac:dyDescent="0.25">
      <c r="A32" t="s">
        <v>208</v>
      </c>
      <c r="B32" s="6">
        <v>2.168962151610454E-2</v>
      </c>
      <c r="C32" s="6">
        <v>54.080400276052451</v>
      </c>
      <c r="D32" s="6">
        <v>0.26420079260237778</v>
      </c>
    </row>
    <row r="33" spans="1:4" x14ac:dyDescent="0.25">
      <c r="A33" t="s">
        <v>209</v>
      </c>
      <c r="B33" s="6">
        <v>4.471940076081415</v>
      </c>
      <c r="C33" s="6">
        <v>91.812167877670532</v>
      </c>
      <c r="D33" s="6">
        <v>25.248392752776159</v>
      </c>
    </row>
    <row r="34" spans="1:4" x14ac:dyDescent="0.25">
      <c r="A34" t="s">
        <v>210</v>
      </c>
      <c r="B34" s="6">
        <v>1.3616645185793879</v>
      </c>
      <c r="C34" s="6">
        <v>83.82993179091504</v>
      </c>
      <c r="D34" s="6">
        <v>8.2518907845819669</v>
      </c>
    </row>
  </sheetData>
  <conditionalFormatting sqref="B2:B31">
    <cfRule type="colorScale" priority="3">
      <colorScale>
        <cfvo type="min"/>
        <cfvo type="max"/>
        <color rgb="FFFCFCFF"/>
        <color rgb="FF63BE7B"/>
      </colorScale>
    </cfRule>
  </conditionalFormatting>
  <conditionalFormatting sqref="C2:C31">
    <cfRule type="colorScale" priority="2">
      <colorScale>
        <cfvo type="min"/>
        <cfvo type="max"/>
        <color rgb="FFFCFCFF"/>
        <color rgb="FF63BE7B"/>
      </colorScale>
    </cfRule>
  </conditionalFormatting>
  <conditionalFormatting sqref="D2:D3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3E2C0-C72F-4894-9126-0C614BF6EF6C}">
  <dimension ref="A1:J35"/>
  <sheetViews>
    <sheetView topLeftCell="A19" zoomScale="90" zoomScaleNormal="90" workbookViewId="0">
      <selection activeCell="K49" sqref="K49"/>
    </sheetView>
  </sheetViews>
  <sheetFormatPr baseColWidth="10" defaultRowHeight="15" x14ac:dyDescent="0.25"/>
  <cols>
    <col min="1" max="1" width="15.28515625" customWidth="1"/>
    <col min="2" max="2" width="23.5703125" customWidth="1"/>
    <col min="3" max="3" width="22.28515625" customWidth="1"/>
    <col min="4" max="4" width="28.28515625" customWidth="1"/>
    <col min="5" max="5" width="28.7109375" customWidth="1"/>
    <col min="6" max="6" width="21.28515625" customWidth="1"/>
    <col min="7" max="7" width="28.140625" customWidth="1"/>
    <col min="8" max="8" width="31" customWidth="1"/>
    <col min="9" max="9" width="39.42578125" customWidth="1"/>
    <col min="10" max="10" width="40.7109375" customWidth="1"/>
  </cols>
  <sheetData>
    <row r="1" spans="1:10" x14ac:dyDescent="0.25">
      <c r="A1" s="2" t="s">
        <v>231</v>
      </c>
      <c r="B1" s="2" t="s">
        <v>238</v>
      </c>
      <c r="C1" s="2" t="s">
        <v>239</v>
      </c>
      <c r="D1" s="2" t="s">
        <v>242</v>
      </c>
      <c r="E1" s="2" t="s">
        <v>240</v>
      </c>
      <c r="F1" s="2" t="s">
        <v>241</v>
      </c>
      <c r="G1" s="1" t="s">
        <v>22</v>
      </c>
      <c r="H1" s="1" t="s">
        <v>23</v>
      </c>
      <c r="I1" s="1" t="s">
        <v>25</v>
      </c>
      <c r="J1" s="1" t="s">
        <v>26</v>
      </c>
    </row>
    <row r="2" spans="1:10" x14ac:dyDescent="0.25">
      <c r="A2" t="s">
        <v>86</v>
      </c>
      <c r="B2">
        <v>52</v>
      </c>
      <c r="C2">
        <v>9221</v>
      </c>
      <c r="D2">
        <v>0.56393015941871816</v>
      </c>
      <c r="E2">
        <v>757</v>
      </c>
      <c r="F2">
        <f>Tabelle2[[#This Row],[osm_pixel_no_to_built]]/Tabelle2[[#This Row],[wc_change_pixel]]*100</f>
        <v>6.8692206076618234</v>
      </c>
      <c r="G2">
        <v>178</v>
      </c>
      <c r="H2">
        <v>577</v>
      </c>
      <c r="I2">
        <v>23.51387054161162</v>
      </c>
      <c r="J2">
        <v>76.221928665785995</v>
      </c>
    </row>
    <row r="3" spans="1:10" x14ac:dyDescent="0.25">
      <c r="A3" t="s">
        <v>90</v>
      </c>
      <c r="B3">
        <v>1584</v>
      </c>
      <c r="C3">
        <v>31035</v>
      </c>
      <c r="D3">
        <v>5.1039149347510877</v>
      </c>
      <c r="E3">
        <v>7135</v>
      </c>
      <c r="F3">
        <f>Tabelle2[[#This Row],[osm_pixel_no_to_built]]/Tabelle2[[#This Row],[wc_change_pixel]]*100</f>
        <v>22.20042046250876</v>
      </c>
      <c r="G3">
        <v>6395</v>
      </c>
      <c r="H3">
        <v>418</v>
      </c>
      <c r="I3">
        <v>89.62859145059565</v>
      </c>
      <c r="J3">
        <v>5.8584442887175898</v>
      </c>
    </row>
    <row r="4" spans="1:10" x14ac:dyDescent="0.25">
      <c r="A4" t="s">
        <v>94</v>
      </c>
      <c r="B4">
        <v>923</v>
      </c>
      <c r="C4">
        <v>23840</v>
      </c>
      <c r="D4">
        <v>3.8716442953020134</v>
      </c>
      <c r="E4">
        <v>3932</v>
      </c>
      <c r="F4">
        <f>Tabelle2[[#This Row],[osm_pixel_no_to_built]]/Tabelle2[[#This Row],[wc_change_pixel]]*100</f>
        <v>23.474059003051881</v>
      </c>
      <c r="G4">
        <v>2633</v>
      </c>
      <c r="H4">
        <v>1261</v>
      </c>
      <c r="I4">
        <v>66.963377416073243</v>
      </c>
      <c r="J4">
        <v>32.070193285859617</v>
      </c>
    </row>
    <row r="5" spans="1:10" x14ac:dyDescent="0.25">
      <c r="A5" t="s">
        <v>98</v>
      </c>
      <c r="B5">
        <v>2105</v>
      </c>
      <c r="C5">
        <v>58182</v>
      </c>
      <c r="D5">
        <v>3.6179574438829882</v>
      </c>
      <c r="E5">
        <v>8813</v>
      </c>
      <c r="F5">
        <f>Tabelle2[[#This Row],[osm_pixel_no_to_built]]/Tabelle2[[#This Row],[wc_change_pixel]]*100</f>
        <v>23.885169635765347</v>
      </c>
      <c r="G5">
        <v>654</v>
      </c>
      <c r="H5">
        <v>8009</v>
      </c>
      <c r="I5">
        <v>7.4208555542947918</v>
      </c>
      <c r="J5">
        <v>90.877113355270623</v>
      </c>
    </row>
    <row r="6" spans="1:10" x14ac:dyDescent="0.25">
      <c r="A6" t="s">
        <v>102</v>
      </c>
      <c r="B6">
        <v>3397</v>
      </c>
      <c r="C6">
        <v>46368</v>
      </c>
      <c r="D6">
        <v>7.3261732229123533</v>
      </c>
      <c r="E6">
        <v>21341</v>
      </c>
      <c r="F6">
        <f>Tabelle2[[#This Row],[osm_pixel_no_to_built]]/Tabelle2[[#This Row],[wc_change_pixel]]*100</f>
        <v>15.917717070427814</v>
      </c>
      <c r="G6">
        <v>6038</v>
      </c>
      <c r="H6">
        <v>15124</v>
      </c>
      <c r="I6">
        <v>28.292957218499598</v>
      </c>
      <c r="J6">
        <v>70.868281711260011</v>
      </c>
    </row>
    <row r="7" spans="1:10" x14ac:dyDescent="0.25">
      <c r="A7" t="s">
        <v>106</v>
      </c>
      <c r="B7">
        <v>4684</v>
      </c>
      <c r="C7">
        <v>27770</v>
      </c>
      <c r="D7">
        <v>16.867122794382428</v>
      </c>
      <c r="E7">
        <v>5411</v>
      </c>
      <c r="F7">
        <f>Tabelle2[[#This Row],[osm_pixel_no_to_built]]/Tabelle2[[#This Row],[wc_change_pixel]]*100</f>
        <v>86.564405839955654</v>
      </c>
      <c r="G7">
        <v>1648</v>
      </c>
      <c r="H7">
        <v>3416</v>
      </c>
      <c r="I7">
        <v>30.45647754574016</v>
      </c>
      <c r="J7">
        <v>63.130659767140997</v>
      </c>
    </row>
    <row r="8" spans="1:10" x14ac:dyDescent="0.25">
      <c r="A8" t="s">
        <v>110</v>
      </c>
      <c r="B8">
        <v>19500</v>
      </c>
      <c r="C8">
        <v>50302</v>
      </c>
      <c r="D8">
        <v>38.765854240388052</v>
      </c>
      <c r="E8">
        <v>5485</v>
      </c>
      <c r="F8">
        <f>Tabelle2[[#This Row],[osm_pixel_no_to_built]]/Tabelle2[[#This Row],[wc_change_pixel]]*100</f>
        <v>355.51504102096629</v>
      </c>
      <c r="G8">
        <v>3486</v>
      </c>
      <c r="H8">
        <v>1146</v>
      </c>
      <c r="I8">
        <v>63.555150410209663</v>
      </c>
      <c r="J8">
        <v>20.893345487693711</v>
      </c>
    </row>
    <row r="9" spans="1:10" x14ac:dyDescent="0.25">
      <c r="A9" t="s">
        <v>114</v>
      </c>
      <c r="B9">
        <v>1948</v>
      </c>
      <c r="C9">
        <v>8237</v>
      </c>
      <c r="D9">
        <v>23.649386912710938</v>
      </c>
      <c r="E9">
        <v>1630</v>
      </c>
      <c r="F9">
        <f>Tabelle2[[#This Row],[osm_pixel_no_to_built]]/Tabelle2[[#This Row],[wc_change_pixel]]*100</f>
        <v>119.50920245398773</v>
      </c>
      <c r="G9">
        <v>1155</v>
      </c>
      <c r="H9">
        <v>406</v>
      </c>
      <c r="I9">
        <v>70.858895705521476</v>
      </c>
      <c r="J9">
        <v>24.907975460122699</v>
      </c>
    </row>
    <row r="10" spans="1:10" x14ac:dyDescent="0.25">
      <c r="A10" t="s">
        <v>118</v>
      </c>
      <c r="B10">
        <v>13224</v>
      </c>
      <c r="C10">
        <v>67529</v>
      </c>
      <c r="D10">
        <v>19.58269780390647</v>
      </c>
      <c r="E10">
        <v>12051</v>
      </c>
      <c r="F10">
        <f>Tabelle2[[#This Row],[osm_pixel_no_to_built]]/Tabelle2[[#This Row],[wc_change_pixel]]*100</f>
        <v>109.73363206372915</v>
      </c>
      <c r="G10">
        <v>6106</v>
      </c>
      <c r="H10">
        <v>4773</v>
      </c>
      <c r="I10">
        <v>50.667994357314747</v>
      </c>
      <c r="J10">
        <v>39.606671645506587</v>
      </c>
    </row>
    <row r="11" spans="1:10" x14ac:dyDescent="0.25">
      <c r="A11" t="s">
        <v>122</v>
      </c>
      <c r="B11">
        <v>4864</v>
      </c>
      <c r="C11">
        <v>11253</v>
      </c>
      <c r="D11">
        <v>43.224029147782808</v>
      </c>
      <c r="E11">
        <v>2541</v>
      </c>
      <c r="F11">
        <f>Tabelle2[[#This Row],[osm_pixel_no_to_built]]/Tabelle2[[#This Row],[wc_change_pixel]]*100</f>
        <v>191.4207005116096</v>
      </c>
      <c r="G11">
        <v>1741</v>
      </c>
      <c r="H11">
        <v>609</v>
      </c>
      <c r="I11">
        <v>68.516332152695796</v>
      </c>
      <c r="J11">
        <v>23.966942148760332</v>
      </c>
    </row>
    <row r="12" spans="1:10" x14ac:dyDescent="0.25">
      <c r="A12" t="s">
        <v>126</v>
      </c>
      <c r="B12">
        <v>4235</v>
      </c>
      <c r="C12">
        <v>9685</v>
      </c>
      <c r="D12">
        <v>43.727413526071246</v>
      </c>
      <c r="E12">
        <v>1711</v>
      </c>
      <c r="F12">
        <f>Tabelle2[[#This Row],[osm_pixel_no_to_built]]/Tabelle2[[#This Row],[wc_change_pixel]]*100</f>
        <v>247.51607247223845</v>
      </c>
      <c r="G12">
        <v>678</v>
      </c>
      <c r="H12">
        <v>601</v>
      </c>
      <c r="I12">
        <v>39.625949736995913</v>
      </c>
      <c r="J12">
        <v>35.125657510227938</v>
      </c>
    </row>
    <row r="13" spans="1:10" x14ac:dyDescent="0.25">
      <c r="A13" t="s">
        <v>130</v>
      </c>
      <c r="B13">
        <v>2026</v>
      </c>
      <c r="C13">
        <v>15442</v>
      </c>
      <c r="D13">
        <v>13.120062168112939</v>
      </c>
      <c r="E13">
        <v>2194</v>
      </c>
      <c r="F13">
        <f>Tabelle2[[#This Row],[osm_pixel_no_to_built]]/Tabelle2[[#This Row],[wc_change_pixel]]*100</f>
        <v>92.34275296262534</v>
      </c>
      <c r="G13">
        <v>1393</v>
      </c>
      <c r="H13">
        <v>523</v>
      </c>
      <c r="I13">
        <v>63.491340018231547</v>
      </c>
      <c r="J13">
        <v>23.837739288969921</v>
      </c>
    </row>
    <row r="14" spans="1:10" x14ac:dyDescent="0.25">
      <c r="A14" t="s">
        <v>134</v>
      </c>
      <c r="B14">
        <v>16723</v>
      </c>
      <c r="C14">
        <v>51323</v>
      </c>
      <c r="D14">
        <v>32.583831810299472</v>
      </c>
      <c r="E14">
        <v>8605</v>
      </c>
      <c r="F14">
        <f>Tabelle2[[#This Row],[osm_pixel_no_to_built]]/Tabelle2[[#This Row],[wc_change_pixel]]*100</f>
        <v>194.34049970947126</v>
      </c>
      <c r="G14">
        <v>6001</v>
      </c>
      <c r="H14">
        <v>1412</v>
      </c>
      <c r="I14">
        <v>69.73852411388728</v>
      </c>
      <c r="J14">
        <v>16.409064497385241</v>
      </c>
    </row>
    <row r="15" spans="1:10" x14ac:dyDescent="0.25">
      <c r="A15" t="s">
        <v>138</v>
      </c>
      <c r="B15">
        <v>367</v>
      </c>
      <c r="C15">
        <v>26918</v>
      </c>
      <c r="D15">
        <v>1.3633999554201648</v>
      </c>
      <c r="E15">
        <v>2793</v>
      </c>
      <c r="F15">
        <f>Tabelle2[[#This Row],[osm_pixel_no_to_built]]/Tabelle2[[#This Row],[wc_change_pixel]]*100</f>
        <v>13.139992839240961</v>
      </c>
      <c r="G15">
        <v>2008</v>
      </c>
      <c r="H15">
        <v>745</v>
      </c>
      <c r="I15">
        <v>71.894020766201223</v>
      </c>
      <c r="J15">
        <v>26.67382742570712</v>
      </c>
    </row>
    <row r="16" spans="1:10" x14ac:dyDescent="0.25">
      <c r="A16" t="s">
        <v>142</v>
      </c>
      <c r="B16">
        <v>4259</v>
      </c>
      <c r="C16">
        <v>12078</v>
      </c>
      <c r="D16">
        <v>35.262460672296733</v>
      </c>
      <c r="E16">
        <v>1269</v>
      </c>
      <c r="F16">
        <f>Tabelle2[[#This Row],[osm_pixel_no_to_built]]/Tabelle2[[#This Row],[wc_change_pixel]]*100</f>
        <v>335.61859732072497</v>
      </c>
      <c r="G16">
        <v>733</v>
      </c>
      <c r="H16">
        <v>238</v>
      </c>
      <c r="I16">
        <v>57.762017336485407</v>
      </c>
      <c r="J16">
        <v>18.754925137903861</v>
      </c>
    </row>
    <row r="17" spans="1:10" x14ac:dyDescent="0.25">
      <c r="A17" t="s">
        <v>146</v>
      </c>
      <c r="B17">
        <v>7589</v>
      </c>
      <c r="C17">
        <v>60026</v>
      </c>
      <c r="D17">
        <v>12.642854762936063</v>
      </c>
      <c r="E17">
        <v>14369</v>
      </c>
      <c r="F17">
        <f>Tabelle2[[#This Row],[osm_pixel_no_to_built]]/Tabelle2[[#This Row],[wc_change_pixel]]*100</f>
        <v>52.81508803674577</v>
      </c>
      <c r="G17">
        <v>9252</v>
      </c>
      <c r="H17">
        <v>3538</v>
      </c>
      <c r="I17">
        <v>64.388614378175234</v>
      </c>
      <c r="J17">
        <v>24.622451110028539</v>
      </c>
    </row>
    <row r="18" spans="1:10" x14ac:dyDescent="0.25">
      <c r="A18" t="s">
        <v>150</v>
      </c>
      <c r="B18">
        <v>3830</v>
      </c>
      <c r="C18">
        <v>18961</v>
      </c>
      <c r="D18">
        <v>20.199356574020356</v>
      </c>
      <c r="E18">
        <v>2237</v>
      </c>
      <c r="F18">
        <f>Tabelle2[[#This Row],[osm_pixel_no_to_built]]/Tabelle2[[#This Row],[wc_change_pixel]]*100</f>
        <v>171.21144389807779</v>
      </c>
      <c r="G18">
        <v>1379</v>
      </c>
      <c r="H18">
        <v>610</v>
      </c>
      <c r="I18">
        <v>61.64506034868127</v>
      </c>
      <c r="J18">
        <v>27.268663388466699</v>
      </c>
    </row>
    <row r="19" spans="1:10" x14ac:dyDescent="0.25">
      <c r="A19" t="s">
        <v>154</v>
      </c>
      <c r="B19">
        <v>27179</v>
      </c>
      <c r="C19">
        <v>233826</v>
      </c>
      <c r="D19">
        <v>11.623600455039217</v>
      </c>
      <c r="E19">
        <v>28987</v>
      </c>
      <c r="F19">
        <f>Tabelle2[[#This Row],[osm_pixel_no_to_built]]/Tabelle2[[#This Row],[wc_change_pixel]]*100</f>
        <v>93.762721219857184</v>
      </c>
      <c r="G19">
        <v>13822</v>
      </c>
      <c r="H19">
        <v>13222</v>
      </c>
      <c r="I19">
        <v>47.683444302618419</v>
      </c>
      <c r="J19">
        <v>45.613550902128537</v>
      </c>
    </row>
    <row r="20" spans="1:10" x14ac:dyDescent="0.25">
      <c r="A20" t="s">
        <v>158</v>
      </c>
      <c r="B20">
        <v>12893</v>
      </c>
      <c r="C20">
        <v>104303</v>
      </c>
      <c r="D20">
        <v>12.361101789977278</v>
      </c>
      <c r="E20">
        <v>10718</v>
      </c>
      <c r="F20">
        <f>Tabelle2[[#This Row],[osm_pixel_no_to_built]]/Tabelle2[[#This Row],[wc_change_pixel]]*100</f>
        <v>120.29296510543013</v>
      </c>
      <c r="G20">
        <v>4529</v>
      </c>
      <c r="H20">
        <v>5305</v>
      </c>
      <c r="I20">
        <v>42.256017913789883</v>
      </c>
      <c r="J20">
        <v>49.496174659451391</v>
      </c>
    </row>
    <row r="21" spans="1:10" x14ac:dyDescent="0.25">
      <c r="A21" t="s">
        <v>162</v>
      </c>
      <c r="B21">
        <v>143246</v>
      </c>
      <c r="C21">
        <v>254990</v>
      </c>
      <c r="D21">
        <v>56.177104984509199</v>
      </c>
      <c r="E21">
        <v>72515</v>
      </c>
      <c r="F21">
        <f>Tabelle2[[#This Row],[osm_pixel_no_to_built]]/Tabelle2[[#This Row],[wc_change_pixel]]*100</f>
        <v>197.53981934772116</v>
      </c>
      <c r="G21">
        <v>29176</v>
      </c>
      <c r="H21">
        <v>31936</v>
      </c>
      <c r="I21">
        <v>40.234434254981728</v>
      </c>
      <c r="J21">
        <v>44.04054333586155</v>
      </c>
    </row>
    <row r="22" spans="1:10" x14ac:dyDescent="0.25">
      <c r="A22" t="s">
        <v>166</v>
      </c>
      <c r="B22">
        <v>3568</v>
      </c>
      <c r="C22">
        <v>139560</v>
      </c>
      <c r="D22">
        <v>2.5566064775007167</v>
      </c>
      <c r="E22">
        <v>19935</v>
      </c>
      <c r="F22">
        <f>Tabelle2[[#This Row],[osm_pixel_no_to_built]]/Tabelle2[[#This Row],[wc_change_pixel]]*100</f>
        <v>17.898169049410583</v>
      </c>
      <c r="G22">
        <v>11518</v>
      </c>
      <c r="H22">
        <v>7959</v>
      </c>
      <c r="I22">
        <v>57.777777777777771</v>
      </c>
      <c r="J22">
        <v>39.924755455229487</v>
      </c>
    </row>
    <row r="23" spans="1:10" x14ac:dyDescent="0.25">
      <c r="A23" t="s">
        <v>170</v>
      </c>
      <c r="B23">
        <v>2912</v>
      </c>
      <c r="C23">
        <v>48790</v>
      </c>
      <c r="D23">
        <v>5.9684361549497851</v>
      </c>
      <c r="E23">
        <v>10313</v>
      </c>
      <c r="F23">
        <f>Tabelle2[[#This Row],[osm_pixel_no_to_built]]/Tabelle2[[#This Row],[wc_change_pixel]]*100</f>
        <v>28.2362067293707</v>
      </c>
      <c r="G23">
        <v>6893</v>
      </c>
      <c r="H23">
        <v>3106</v>
      </c>
      <c r="I23">
        <v>66.837971492291288</v>
      </c>
      <c r="J23">
        <v>30.117327644720259</v>
      </c>
    </row>
    <row r="24" spans="1:10" x14ac:dyDescent="0.25">
      <c r="A24" t="s">
        <v>174</v>
      </c>
      <c r="B24">
        <v>26824</v>
      </c>
      <c r="C24">
        <v>139100</v>
      </c>
      <c r="D24">
        <v>19.283968368080519</v>
      </c>
      <c r="E24">
        <v>23832</v>
      </c>
      <c r="F24">
        <f>Tabelle2[[#This Row],[osm_pixel_no_to_built]]/Tabelle2[[#This Row],[wc_change_pixel]]*100</f>
        <v>112.55454850621014</v>
      </c>
      <c r="G24">
        <v>11469</v>
      </c>
      <c r="H24">
        <v>10750</v>
      </c>
      <c r="I24">
        <v>48.124370594159117</v>
      </c>
      <c r="J24">
        <v>45.107418596844582</v>
      </c>
    </row>
    <row r="25" spans="1:10" x14ac:dyDescent="0.25">
      <c r="A25" t="s">
        <v>179</v>
      </c>
      <c r="B25">
        <v>45985</v>
      </c>
      <c r="C25">
        <v>444579</v>
      </c>
      <c r="D25">
        <v>10.343493507340652</v>
      </c>
      <c r="E25">
        <v>65882</v>
      </c>
      <c r="F25">
        <f>Tabelle2[[#This Row],[osm_pixel_no_to_built]]/Tabelle2[[#This Row],[wc_change_pixel]]*100</f>
        <v>69.799034637685565</v>
      </c>
      <c r="G25">
        <v>37005</v>
      </c>
      <c r="H25">
        <v>22768</v>
      </c>
      <c r="I25">
        <v>56.168604474666829</v>
      </c>
      <c r="J25">
        <v>34.558756564767307</v>
      </c>
    </row>
    <row r="26" spans="1:10" x14ac:dyDescent="0.25">
      <c r="A26" t="s">
        <v>183</v>
      </c>
      <c r="B26">
        <v>13747</v>
      </c>
      <c r="C26">
        <v>96766</v>
      </c>
      <c r="D26">
        <v>14.206436144926936</v>
      </c>
      <c r="E26">
        <v>16579</v>
      </c>
      <c r="F26">
        <f>Tabelle2[[#This Row],[osm_pixel_no_to_built]]/Tabelle2[[#This Row],[wc_change_pixel]]*100</f>
        <v>82.918149466192176</v>
      </c>
      <c r="G26">
        <v>8435</v>
      </c>
      <c r="H26">
        <v>5912</v>
      </c>
      <c r="I26">
        <v>50.877616261535671</v>
      </c>
      <c r="J26">
        <v>35.659569334700528</v>
      </c>
    </row>
    <row r="27" spans="1:10" x14ac:dyDescent="0.25">
      <c r="A27" t="s">
        <v>187</v>
      </c>
      <c r="B27">
        <v>16477</v>
      </c>
      <c r="C27">
        <v>126352</v>
      </c>
      <c r="D27">
        <v>13.040553374699254</v>
      </c>
      <c r="E27">
        <v>21401</v>
      </c>
      <c r="F27">
        <f>Tabelle2[[#This Row],[osm_pixel_no_to_built]]/Tabelle2[[#This Row],[wc_change_pixel]]*100</f>
        <v>76.991729358441191</v>
      </c>
      <c r="G27">
        <v>7070</v>
      </c>
      <c r="H27">
        <v>12714</v>
      </c>
      <c r="I27">
        <v>33.035839446754821</v>
      </c>
      <c r="J27">
        <v>59.40843885799729</v>
      </c>
    </row>
    <row r="28" spans="1:10" x14ac:dyDescent="0.25">
      <c r="A28" t="s">
        <v>192</v>
      </c>
      <c r="B28">
        <v>35009</v>
      </c>
      <c r="C28">
        <v>264202</v>
      </c>
      <c r="D28">
        <v>13.250845943634037</v>
      </c>
      <c r="E28">
        <v>52743</v>
      </c>
      <c r="F28">
        <f>Tabelle2[[#This Row],[osm_pixel_no_to_built]]/Tabelle2[[#This Row],[wc_change_pixel]]*100</f>
        <v>66.376580778491928</v>
      </c>
      <c r="G28">
        <v>28154</v>
      </c>
      <c r="H28">
        <v>21674</v>
      </c>
      <c r="I28">
        <v>53.379595396545511</v>
      </c>
      <c r="J28">
        <v>41.093604838556772</v>
      </c>
    </row>
    <row r="29" spans="1:10" x14ac:dyDescent="0.25">
      <c r="A29" t="s">
        <v>195</v>
      </c>
      <c r="B29">
        <v>13006</v>
      </c>
      <c r="C29">
        <v>89734</v>
      </c>
      <c r="D29">
        <v>14.493948781955556</v>
      </c>
      <c r="E29">
        <v>10085</v>
      </c>
      <c r="F29">
        <f>Tabelle2[[#This Row],[osm_pixel_no_to_built]]/Tabelle2[[#This Row],[wc_change_pixel]]*100</f>
        <v>128.96380763510166</v>
      </c>
      <c r="G29">
        <v>5479</v>
      </c>
      <c r="H29">
        <v>3787</v>
      </c>
      <c r="I29">
        <v>54.328210213187901</v>
      </c>
      <c r="J29">
        <v>37.550818046603872</v>
      </c>
    </row>
    <row r="30" spans="1:10" x14ac:dyDescent="0.25">
      <c r="A30" t="s">
        <v>200</v>
      </c>
      <c r="B30">
        <v>20410</v>
      </c>
      <c r="C30">
        <v>260250</v>
      </c>
      <c r="D30">
        <v>7.8424591738712772</v>
      </c>
      <c r="E30">
        <v>44020</v>
      </c>
      <c r="F30">
        <f>Tabelle2[[#This Row],[osm_pixel_no_to_built]]/Tabelle2[[#This Row],[wc_change_pixel]]*100</f>
        <v>46.365288505224896</v>
      </c>
      <c r="G30">
        <v>28181</v>
      </c>
      <c r="H30">
        <v>13360</v>
      </c>
      <c r="I30">
        <v>64.01862789641072</v>
      </c>
      <c r="J30">
        <v>30.349840981372111</v>
      </c>
    </row>
    <row r="31" spans="1:10" x14ac:dyDescent="0.25">
      <c r="A31" t="s">
        <v>204</v>
      </c>
      <c r="B31">
        <v>3388</v>
      </c>
      <c r="C31">
        <v>79654</v>
      </c>
      <c r="D31">
        <v>4.2533959374293824</v>
      </c>
      <c r="E31">
        <v>7149</v>
      </c>
      <c r="F31">
        <f>Tabelle2[[#This Row],[osm_pixel_no_to_built]]/Tabelle2[[#This Row],[wc_change_pixel]]*100</f>
        <v>47.391243530563713</v>
      </c>
      <c r="G31">
        <v>4655</v>
      </c>
      <c r="H31">
        <v>2157</v>
      </c>
      <c r="I31">
        <v>65.114001958315853</v>
      </c>
      <c r="J31">
        <v>30.172052035249681</v>
      </c>
    </row>
    <row r="32" spans="1:10" x14ac:dyDescent="0.25">
      <c r="A32" t="s">
        <v>208</v>
      </c>
      <c r="B32">
        <v>52</v>
      </c>
      <c r="C32">
        <v>8237</v>
      </c>
      <c r="D32">
        <v>0.56393015941871816</v>
      </c>
      <c r="E32">
        <v>757</v>
      </c>
      <c r="F32">
        <f>MIN(Tabelle2[percent_to_built_match_adjusted])</f>
        <v>6.8692206076618234</v>
      </c>
      <c r="G32">
        <v>178</v>
      </c>
      <c r="H32">
        <v>238</v>
      </c>
      <c r="I32">
        <f>MIN(Tabelle2[no_osm_data_for_change_percent])</f>
        <v>7.4208555542947918</v>
      </c>
      <c r="J32">
        <f>MIN(Tabelle2[other_osm_class_for_change_percent])</f>
        <v>5.8584442887175898</v>
      </c>
    </row>
    <row r="33" spans="1:10" x14ac:dyDescent="0.25">
      <c r="A33" t="s">
        <v>209</v>
      </c>
      <c r="B33">
        <v>143246</v>
      </c>
      <c r="C33">
        <v>444579</v>
      </c>
      <c r="D33">
        <v>56.177104984509199</v>
      </c>
      <c r="E33">
        <v>72515</v>
      </c>
      <c r="F33">
        <f>MAX(Tabelle2[percent_to_built_match_adjusted])</f>
        <v>355.51504102096629</v>
      </c>
      <c r="G33">
        <v>37005</v>
      </c>
      <c r="H33">
        <v>31936</v>
      </c>
      <c r="I33">
        <f>MAX(Tabelle2[no_osm_data_for_change_percent])</f>
        <v>89.62859145059565</v>
      </c>
      <c r="J33">
        <f>MAX(Tabelle2[other_osm_class_for_change_percent])</f>
        <v>90.877113355270623</v>
      </c>
    </row>
    <row r="34" spans="1:10" x14ac:dyDescent="0.25">
      <c r="A34" t="s">
        <v>210</v>
      </c>
      <c r="B34">
        <v>15198.466666666667</v>
      </c>
      <c r="C34">
        <v>93675.866666666669</v>
      </c>
      <c r="D34">
        <v>16.895801383950289</v>
      </c>
      <c r="E34">
        <v>16214.433333333332</v>
      </c>
      <c r="F34">
        <f>AVERAGE(Tabelle2[percent_to_built_match_adjusted])</f>
        <v>105.03880932594966</v>
      </c>
      <c r="G34">
        <v>8262.1333333333332</v>
      </c>
      <c r="H34">
        <v>6601.8666666666668</v>
      </c>
      <c r="I34">
        <f>AVERAGE(Tabelle2[no_osm_data_for_change_percent])</f>
        <v>53.608551367808332</v>
      </c>
      <c r="J34">
        <f>AVERAGE(Tabelle2[other_osm_class_for_change_percent])</f>
        <v>38.139557847609701</v>
      </c>
    </row>
    <row r="35" spans="1:10" x14ac:dyDescent="0.25">
      <c r="A35" t="s">
        <v>211</v>
      </c>
      <c r="B35">
        <v>4774</v>
      </c>
      <c r="C35">
        <v>54752.5</v>
      </c>
      <c r="D35">
        <v>13.080307771406098</v>
      </c>
      <c r="E35">
        <v>9449</v>
      </c>
      <c r="F35">
        <f>MEDIAN(Tabelle2[percent_to_built_match_adjusted])</f>
        <v>84.741277653073922</v>
      </c>
      <c r="G35">
        <v>5740</v>
      </c>
      <c r="H35">
        <v>3477</v>
      </c>
      <c r="I35">
        <f>MEDIAN(Tabelle2[no_osm_data_for_change_percent])</f>
        <v>56.965310905576118</v>
      </c>
      <c r="J35">
        <f>MEDIAN(Tabelle2[other_osm_class_for_change_percent])</f>
        <v>34.842207037497623</v>
      </c>
    </row>
  </sheetData>
  <conditionalFormatting sqref="D2:D31">
    <cfRule type="colorScale" priority="2">
      <colorScale>
        <cfvo type="min"/>
        <cfvo type="max"/>
        <color rgb="FFFCFCFF"/>
        <color rgb="FF63BE7B"/>
      </colorScale>
    </cfRule>
  </conditionalFormatting>
  <conditionalFormatting sqref="F2:F3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8740157499999996" bottom="0.78740157499999996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E4116-8CC4-46B0-A5FF-DBB0E88F4FD9}">
  <dimension ref="A1:D34"/>
  <sheetViews>
    <sheetView workbookViewId="0">
      <selection activeCell="G8" sqref="G8"/>
    </sheetView>
  </sheetViews>
  <sheetFormatPr baseColWidth="10" defaultRowHeight="15" x14ac:dyDescent="0.25"/>
  <cols>
    <col min="1" max="1" width="17.5703125" customWidth="1"/>
    <col min="2" max="2" width="29.28515625" customWidth="1"/>
    <col min="3" max="3" width="31" customWidth="1"/>
    <col min="4" max="4" width="16" customWidth="1"/>
  </cols>
  <sheetData>
    <row r="1" spans="1:4" x14ac:dyDescent="0.25">
      <c r="A1" s="1" t="s">
        <v>8</v>
      </c>
      <c r="B1" s="1" t="s">
        <v>37</v>
      </c>
      <c r="C1" s="1" t="s">
        <v>47</v>
      </c>
      <c r="D1" s="2" t="s">
        <v>212</v>
      </c>
    </row>
    <row r="2" spans="1:4" x14ac:dyDescent="0.25">
      <c r="A2" t="s">
        <v>86</v>
      </c>
      <c r="B2" s="6">
        <v>99.08934960273362</v>
      </c>
      <c r="C2" s="6">
        <v>99.091289515326693</v>
      </c>
      <c r="D2" s="6">
        <f>Tabelle5[[#This Row],[osm_completeness_2021]]-Tabelle5[[#This Row],[osm_completeness_2020]]</f>
        <v>1.9399125930732453E-3</v>
      </c>
    </row>
    <row r="3" spans="1:4" x14ac:dyDescent="0.25">
      <c r="A3" t="s">
        <v>90</v>
      </c>
      <c r="B3" s="6">
        <v>48.43744986112646</v>
      </c>
      <c r="C3" s="6">
        <v>48.549612378225667</v>
      </c>
      <c r="D3" s="6">
        <f>Tabelle5[[#This Row],[osm_completeness_2021]]-Tabelle5[[#This Row],[osm_completeness_2020]]</f>
        <v>0.11216251709920755</v>
      </c>
    </row>
    <row r="4" spans="1:4" x14ac:dyDescent="0.25">
      <c r="A4" t="s">
        <v>94</v>
      </c>
      <c r="B4" s="6">
        <v>87.46927975184407</v>
      </c>
      <c r="C4" s="6">
        <v>87.409685653866958</v>
      </c>
      <c r="D4" s="6">
        <f>Tabelle5[[#This Row],[osm_completeness_2021]]-Tabelle5[[#This Row],[osm_completeness_2020]]</f>
        <v>-5.959409797711146E-2</v>
      </c>
    </row>
    <row r="5" spans="1:4" x14ac:dyDescent="0.25">
      <c r="A5" t="s">
        <v>98</v>
      </c>
      <c r="B5" s="6">
        <v>99.182275684083208</v>
      </c>
      <c r="C5" s="6">
        <v>99.154378811149698</v>
      </c>
      <c r="D5" s="6">
        <f>Tabelle5[[#This Row],[osm_completeness_2021]]-Tabelle5[[#This Row],[osm_completeness_2020]]</f>
        <v>-2.7896872933510508E-2</v>
      </c>
    </row>
    <row r="6" spans="1:4" x14ac:dyDescent="0.25">
      <c r="A6" t="s">
        <v>102</v>
      </c>
      <c r="B6" s="6">
        <v>96.932788555463361</v>
      </c>
      <c r="C6" s="6">
        <v>96.783191712093995</v>
      </c>
      <c r="D6" s="6">
        <f>Tabelle5[[#This Row],[osm_completeness_2021]]-Tabelle5[[#This Row],[osm_completeness_2020]]</f>
        <v>-0.14959684336936618</v>
      </c>
    </row>
    <row r="7" spans="1:4" x14ac:dyDescent="0.25">
      <c r="A7" t="s">
        <v>106</v>
      </c>
      <c r="B7" s="6">
        <v>77.543539560218562</v>
      </c>
      <c r="C7" s="6">
        <v>79.378469622219271</v>
      </c>
      <c r="D7" s="6">
        <f>Tabelle5[[#This Row],[osm_completeness_2021]]-Tabelle5[[#This Row],[osm_completeness_2020]]</f>
        <v>1.8349300620007085</v>
      </c>
    </row>
    <row r="8" spans="1:4" x14ac:dyDescent="0.25">
      <c r="A8" t="s">
        <v>110</v>
      </c>
      <c r="B8" s="6">
        <v>43.467613882416018</v>
      </c>
      <c r="C8" s="6">
        <v>57.540779081516916</v>
      </c>
      <c r="D8" s="6">
        <f>Tabelle5[[#This Row],[osm_completeness_2021]]-Tabelle5[[#This Row],[osm_completeness_2020]]</f>
        <v>14.073165199100899</v>
      </c>
    </row>
    <row r="9" spans="1:4" x14ac:dyDescent="0.25">
      <c r="A9" t="s">
        <v>114</v>
      </c>
      <c r="B9" s="6">
        <v>78.269333387030201</v>
      </c>
      <c r="C9" s="6">
        <v>78.488013853790164</v>
      </c>
      <c r="D9" s="6">
        <f>Tabelle5[[#This Row],[osm_completeness_2021]]-Tabelle5[[#This Row],[osm_completeness_2020]]</f>
        <v>0.21868046675996311</v>
      </c>
    </row>
    <row r="10" spans="1:4" x14ac:dyDescent="0.25">
      <c r="A10" t="s">
        <v>118</v>
      </c>
      <c r="B10" s="6">
        <v>95.991743334882997</v>
      </c>
      <c r="C10" s="6">
        <v>96.066032735026752</v>
      </c>
      <c r="D10" s="6">
        <f>Tabelle5[[#This Row],[osm_completeness_2021]]-Tabelle5[[#This Row],[osm_completeness_2020]]</f>
        <v>7.4289400143754847E-2</v>
      </c>
    </row>
    <row r="11" spans="1:4" x14ac:dyDescent="0.25">
      <c r="A11" t="s">
        <v>122</v>
      </c>
      <c r="B11" s="6">
        <v>85.034102705901759</v>
      </c>
      <c r="C11" s="6">
        <v>86.456827494316215</v>
      </c>
      <c r="D11" s="6">
        <f>Tabelle5[[#This Row],[osm_completeness_2021]]-Tabelle5[[#This Row],[osm_completeness_2020]]</f>
        <v>1.422724788414456</v>
      </c>
    </row>
    <row r="12" spans="1:4" x14ac:dyDescent="0.25">
      <c r="A12" t="s">
        <v>126</v>
      </c>
      <c r="B12" s="6">
        <v>75.34623634582718</v>
      </c>
      <c r="C12" s="6">
        <v>75.586153025925881</v>
      </c>
      <c r="D12" s="6">
        <f>Tabelle5[[#This Row],[osm_completeness_2021]]-Tabelle5[[#This Row],[osm_completeness_2020]]</f>
        <v>0.23991668009870182</v>
      </c>
    </row>
    <row r="13" spans="1:4" x14ac:dyDescent="0.25">
      <c r="A13" t="s">
        <v>130</v>
      </c>
      <c r="B13" s="6">
        <v>67.23316591508474</v>
      </c>
      <c r="C13" s="6">
        <v>68.399805578808099</v>
      </c>
      <c r="D13" s="6">
        <f>Tabelle5[[#This Row],[osm_completeness_2021]]-Tabelle5[[#This Row],[osm_completeness_2020]]</f>
        <v>1.1666396637233589</v>
      </c>
    </row>
    <row r="14" spans="1:4" x14ac:dyDescent="0.25">
      <c r="A14" t="s">
        <v>134</v>
      </c>
      <c r="B14" s="6">
        <v>62.507969924523103</v>
      </c>
      <c r="C14" s="6">
        <v>63.642092986242247</v>
      </c>
      <c r="D14" s="6">
        <f>Tabelle5[[#This Row],[osm_completeness_2021]]-Tabelle5[[#This Row],[osm_completeness_2020]]</f>
        <v>1.1341230617191442</v>
      </c>
    </row>
    <row r="15" spans="1:4" x14ac:dyDescent="0.25">
      <c r="A15" t="s">
        <v>138</v>
      </c>
      <c r="B15" s="6">
        <v>90.505274717023639</v>
      </c>
      <c r="C15" s="6">
        <v>90.5270962776641</v>
      </c>
      <c r="D15" s="6">
        <f>Tabelle5[[#This Row],[osm_completeness_2021]]-Tabelle5[[#This Row],[osm_completeness_2020]]</f>
        <v>2.1821560640461257E-2</v>
      </c>
    </row>
    <row r="16" spans="1:4" x14ac:dyDescent="0.25">
      <c r="A16" t="s">
        <v>142</v>
      </c>
      <c r="B16" s="6">
        <v>93.070302394525754</v>
      </c>
      <c r="C16" s="6">
        <v>93.024392875301714</v>
      </c>
      <c r="D16" s="6">
        <f>Tabelle5[[#This Row],[osm_completeness_2021]]-Tabelle5[[#This Row],[osm_completeness_2020]]</f>
        <v>-4.5909519224039741E-2</v>
      </c>
    </row>
    <row r="17" spans="1:4" x14ac:dyDescent="0.25">
      <c r="A17" t="s">
        <v>146</v>
      </c>
      <c r="B17" s="6">
        <v>67.676135061192525</v>
      </c>
      <c r="C17" s="6">
        <v>69.969961923984911</v>
      </c>
      <c r="D17" s="6">
        <f>Tabelle5[[#This Row],[osm_completeness_2021]]-Tabelle5[[#This Row],[osm_completeness_2020]]</f>
        <v>2.2938268627923861</v>
      </c>
    </row>
    <row r="18" spans="1:4" x14ac:dyDescent="0.25">
      <c r="A18" t="s">
        <v>150</v>
      </c>
      <c r="B18" s="6">
        <v>84.509216163442275</v>
      </c>
      <c r="C18" s="6">
        <v>87.797936408619123</v>
      </c>
      <c r="D18" s="6">
        <f>Tabelle5[[#This Row],[osm_completeness_2021]]-Tabelle5[[#This Row],[osm_completeness_2020]]</f>
        <v>3.2887202451768474</v>
      </c>
    </row>
    <row r="19" spans="1:4" x14ac:dyDescent="0.25">
      <c r="A19" t="s">
        <v>154</v>
      </c>
      <c r="B19" s="6">
        <v>92.555656415616809</v>
      </c>
      <c r="C19" s="6">
        <v>92.532764238078641</v>
      </c>
      <c r="D19" s="6">
        <f>Tabelle5[[#This Row],[osm_completeness_2021]]-Tabelle5[[#This Row],[osm_completeness_2020]]</f>
        <v>-2.2892177538167857E-2</v>
      </c>
    </row>
    <row r="20" spans="1:4" x14ac:dyDescent="0.25">
      <c r="A20" t="s">
        <v>158</v>
      </c>
      <c r="B20" s="6">
        <v>90.996729944366592</v>
      </c>
      <c r="C20" s="6">
        <v>90.790843844226444</v>
      </c>
      <c r="D20" s="6">
        <f>Tabelle5[[#This Row],[osm_completeness_2021]]-Tabelle5[[#This Row],[osm_completeness_2020]]</f>
        <v>-0.20588610014014819</v>
      </c>
    </row>
    <row r="21" spans="1:4" x14ac:dyDescent="0.25">
      <c r="A21" t="s">
        <v>162</v>
      </c>
      <c r="B21" s="6">
        <v>88.583132327004876</v>
      </c>
      <c r="C21" s="6">
        <v>90.089966542172419</v>
      </c>
      <c r="D21" s="6">
        <f>Tabelle5[[#This Row],[osm_completeness_2021]]-Tabelle5[[#This Row],[osm_completeness_2020]]</f>
        <v>1.5068342151675438</v>
      </c>
    </row>
    <row r="22" spans="1:4" x14ac:dyDescent="0.25">
      <c r="A22" t="s">
        <v>166</v>
      </c>
      <c r="B22" s="6">
        <v>93.375054826631654</v>
      </c>
      <c r="C22" s="6">
        <v>93.483691437169412</v>
      </c>
      <c r="D22" s="6">
        <f>Tabelle5[[#This Row],[osm_completeness_2021]]-Tabelle5[[#This Row],[osm_completeness_2020]]</f>
        <v>0.10863661053775786</v>
      </c>
    </row>
    <row r="23" spans="1:4" x14ac:dyDescent="0.25">
      <c r="A23" t="s">
        <v>170</v>
      </c>
      <c r="B23" s="6">
        <v>84.92978151779603</v>
      </c>
      <c r="C23" s="6">
        <v>86.055272229943824</v>
      </c>
      <c r="D23" s="6">
        <f>Tabelle5[[#This Row],[osm_completeness_2021]]-Tabelle5[[#This Row],[osm_completeness_2020]]</f>
        <v>1.1254907121477942</v>
      </c>
    </row>
    <row r="24" spans="1:4" x14ac:dyDescent="0.25">
      <c r="A24" t="s">
        <v>174</v>
      </c>
      <c r="B24" s="6">
        <v>93.337153716853905</v>
      </c>
      <c r="C24" s="6">
        <v>94.523542852490394</v>
      </c>
      <c r="D24" s="6">
        <f>Tabelle5[[#This Row],[osm_completeness_2021]]-Tabelle5[[#This Row],[osm_completeness_2020]]</f>
        <v>1.1863891356364888</v>
      </c>
    </row>
    <row r="25" spans="1:4" x14ac:dyDescent="0.25">
      <c r="A25" t="s">
        <v>179</v>
      </c>
      <c r="B25" s="6">
        <v>90.072424433447395</v>
      </c>
      <c r="C25" s="6">
        <v>91.496444138516736</v>
      </c>
      <c r="D25" s="6">
        <f>Tabelle5[[#This Row],[osm_completeness_2021]]-Tabelle5[[#This Row],[osm_completeness_2020]]</f>
        <v>1.4240197050693411</v>
      </c>
    </row>
    <row r="26" spans="1:4" x14ac:dyDescent="0.25">
      <c r="A26" t="s">
        <v>183</v>
      </c>
      <c r="B26" s="6">
        <v>93.760074747625623</v>
      </c>
      <c r="C26" s="6">
        <v>93.525788242030444</v>
      </c>
      <c r="D26" s="6">
        <f>Tabelle5[[#This Row],[osm_completeness_2021]]-Tabelle5[[#This Row],[osm_completeness_2020]]</f>
        <v>-0.23428650559517905</v>
      </c>
    </row>
    <row r="27" spans="1:4" x14ac:dyDescent="0.25">
      <c r="A27" t="s">
        <v>187</v>
      </c>
      <c r="B27" s="6">
        <v>79.873628076539489</v>
      </c>
      <c r="C27" s="6">
        <v>79.971334472557913</v>
      </c>
      <c r="D27" s="6">
        <f>Tabelle5[[#This Row],[osm_completeness_2021]]-Tabelle5[[#This Row],[osm_completeness_2020]]</f>
        <v>9.7706396018423902E-2</v>
      </c>
    </row>
    <row r="28" spans="1:4" x14ac:dyDescent="0.25">
      <c r="A28" t="s">
        <v>192</v>
      </c>
      <c r="B28" s="6">
        <v>85.791720459455107</v>
      </c>
      <c r="C28" s="6">
        <v>88.294225675988258</v>
      </c>
      <c r="D28" s="6">
        <f>Tabelle5[[#This Row],[osm_completeness_2021]]-Tabelle5[[#This Row],[osm_completeness_2020]]</f>
        <v>2.5025052165331516</v>
      </c>
    </row>
    <row r="29" spans="1:4" x14ac:dyDescent="0.25">
      <c r="A29" t="s">
        <v>195</v>
      </c>
      <c r="B29" s="6">
        <v>89.453656915192269</v>
      </c>
      <c r="C29" s="6">
        <v>89.662125560900677</v>
      </c>
      <c r="D29" s="6">
        <f>Tabelle5[[#This Row],[osm_completeness_2021]]-Tabelle5[[#This Row],[osm_completeness_2020]]</f>
        <v>0.20846864570840751</v>
      </c>
    </row>
    <row r="30" spans="1:4" x14ac:dyDescent="0.25">
      <c r="A30" t="s">
        <v>200</v>
      </c>
      <c r="B30" s="6">
        <v>84.497504311488456</v>
      </c>
      <c r="C30" s="6">
        <v>85.97854205359512</v>
      </c>
      <c r="D30" s="6">
        <f>Tabelle5[[#This Row],[osm_completeness_2021]]-Tabelle5[[#This Row],[osm_completeness_2020]]</f>
        <v>1.4810377421066647</v>
      </c>
    </row>
    <row r="31" spans="1:4" x14ac:dyDescent="0.25">
      <c r="A31" t="s">
        <v>204</v>
      </c>
      <c r="B31" s="6">
        <v>74.114891626044567</v>
      </c>
      <c r="C31" s="6">
        <v>80.265059192200553</v>
      </c>
      <c r="D31" s="6">
        <f>Tabelle5[[#This Row],[osm_completeness_2021]]-Tabelle5[[#This Row],[osm_completeness_2020]]</f>
        <v>6.1501675661559858</v>
      </c>
    </row>
    <row r="32" spans="1:4" x14ac:dyDescent="0.25">
      <c r="A32" t="s">
        <v>208</v>
      </c>
      <c r="B32" s="6">
        <v>43.467613882416018</v>
      </c>
      <c r="C32" s="6">
        <v>48.549612378225667</v>
      </c>
      <c r="D32" s="6">
        <f>MIN(Tabelle5[change])</f>
        <v>-0.23428650559517905</v>
      </c>
    </row>
    <row r="33" spans="1:4" x14ac:dyDescent="0.25">
      <c r="A33" t="s">
        <v>209</v>
      </c>
      <c r="B33" s="6">
        <v>99.182275684083208</v>
      </c>
      <c r="C33" s="6">
        <v>99.154378811149698</v>
      </c>
      <c r="D33" s="6">
        <f>MAX(Tabelle5[change])</f>
        <v>14.073165199100899</v>
      </c>
    </row>
    <row r="34" spans="1:4" x14ac:dyDescent="0.25">
      <c r="A34" t="s">
        <v>210</v>
      </c>
      <c r="B34" s="6">
        <v>83.120239538846064</v>
      </c>
      <c r="C34" s="6">
        <v>84.484510680464979</v>
      </c>
      <c r="D34" s="6">
        <f>AVERAGE(Tabelle5[change])</f>
        <v>1.3642711416189</v>
      </c>
    </row>
  </sheetData>
  <conditionalFormatting sqref="B2:B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4">
    <cfRule type="expression" dxfId="46" priority="2">
      <formula>C2&lt;B2</formula>
    </cfRule>
    <cfRule type="expression" dxfId="45" priority="3">
      <formula>C2&gt;B2</formula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E69F6-D136-45E0-B9B5-FEAD3BF1BC60}">
  <dimension ref="A1:Y52"/>
  <sheetViews>
    <sheetView workbookViewId="0">
      <selection activeCell="A14" sqref="A14:XFD14"/>
    </sheetView>
  </sheetViews>
  <sheetFormatPr baseColWidth="10" defaultRowHeight="15" x14ac:dyDescent="0.25"/>
  <cols>
    <col min="1" max="1" width="17.5703125" customWidth="1"/>
    <col min="2" max="2" width="16.28515625" customWidth="1"/>
    <col min="3" max="3" width="14.85546875" customWidth="1"/>
    <col min="4" max="4" width="16.140625" customWidth="1"/>
    <col min="5" max="5" width="16.7109375" customWidth="1"/>
    <col min="6" max="6" width="17.28515625" customWidth="1"/>
    <col min="7" max="7" width="13.5703125" customWidth="1"/>
    <col min="8" max="8" width="17.85546875" customWidth="1"/>
    <col min="9" max="9" width="13.7109375" customWidth="1"/>
    <col min="10" max="10" width="12.7109375" customWidth="1"/>
    <col min="11" max="11" width="14.140625" customWidth="1"/>
    <col min="12" max="12" width="16.28515625" customWidth="1"/>
    <col min="13" max="13" width="15.140625" customWidth="1"/>
    <col min="14" max="14" width="15.5703125" customWidth="1"/>
    <col min="15" max="15" width="12.28515625" customWidth="1"/>
    <col min="16" max="16" width="15.42578125" customWidth="1"/>
    <col min="17" max="17" width="16" customWidth="1"/>
    <col min="18" max="18" width="16.5703125" customWidth="1"/>
    <col min="19" max="19" width="12.85546875" customWidth="1"/>
    <col min="20" max="20" width="17.140625" customWidth="1"/>
    <col min="21" max="21" width="13" customWidth="1"/>
    <col min="22" max="22" width="12" customWidth="1"/>
    <col min="23" max="23" width="13.42578125" customWidth="1"/>
    <col min="24" max="24" width="15.5703125" customWidth="1"/>
    <col min="25" max="25" width="14.42578125" customWidth="1"/>
  </cols>
  <sheetData>
    <row r="1" spans="1:25" x14ac:dyDescent="0.25">
      <c r="A1" s="2" t="s">
        <v>231</v>
      </c>
      <c r="B1" s="1" t="s">
        <v>57</v>
      </c>
      <c r="C1" s="1" t="s">
        <v>59</v>
      </c>
      <c r="D1" s="1" t="s">
        <v>61</v>
      </c>
      <c r="E1" s="1" t="s">
        <v>63</v>
      </c>
      <c r="F1" s="1" t="s">
        <v>65</v>
      </c>
      <c r="G1" s="1" t="s">
        <v>69</v>
      </c>
      <c r="H1" s="1" t="s">
        <v>71</v>
      </c>
      <c r="I1" s="1" t="s">
        <v>73</v>
      </c>
      <c r="J1" s="1" t="s">
        <v>75</v>
      </c>
      <c r="K1" s="1" t="s">
        <v>77</v>
      </c>
      <c r="L1" s="1" t="s">
        <v>79</v>
      </c>
      <c r="M1" s="1" t="s">
        <v>81</v>
      </c>
      <c r="N1" s="1" t="s">
        <v>58</v>
      </c>
      <c r="O1" s="1" t="s">
        <v>60</v>
      </c>
      <c r="P1" s="1" t="s">
        <v>62</v>
      </c>
      <c r="Q1" s="1" t="s">
        <v>64</v>
      </c>
      <c r="R1" s="1" t="s">
        <v>66</v>
      </c>
      <c r="S1" s="1" t="s">
        <v>70</v>
      </c>
      <c r="T1" s="1" t="s">
        <v>72</v>
      </c>
      <c r="U1" s="1" t="s">
        <v>74</v>
      </c>
      <c r="V1" s="1" t="s">
        <v>76</v>
      </c>
      <c r="W1" s="1" t="s">
        <v>78</v>
      </c>
      <c r="X1" s="1" t="s">
        <v>80</v>
      </c>
      <c r="Y1" s="1" t="s">
        <v>82</v>
      </c>
    </row>
    <row r="2" spans="1:25" x14ac:dyDescent="0.25">
      <c r="A2" t="s">
        <v>86</v>
      </c>
      <c r="B2" s="7">
        <v>0.9999738265142637</v>
      </c>
      <c r="C2" s="7">
        <v>0.99999999938154904</v>
      </c>
      <c r="D2" s="7">
        <v>0.99992828960532709</v>
      </c>
      <c r="E2" s="7">
        <v>1</v>
      </c>
      <c r="F2" s="7">
        <v>1</v>
      </c>
      <c r="G2" s="7"/>
      <c r="H2" s="7">
        <v>1</v>
      </c>
      <c r="I2" s="7"/>
      <c r="J2" s="7">
        <v>0.99909746632478114</v>
      </c>
      <c r="K2" s="7">
        <v>0.99890113677173165</v>
      </c>
      <c r="L2" s="7">
        <v>0.99370559164359518</v>
      </c>
      <c r="M2" s="7">
        <v>1</v>
      </c>
      <c r="N2">
        <v>5</v>
      </c>
      <c r="O2">
        <v>5</v>
      </c>
      <c r="P2">
        <v>5</v>
      </c>
      <c r="Q2">
        <v>5</v>
      </c>
      <c r="R2">
        <v>5</v>
      </c>
      <c r="T2">
        <v>5</v>
      </c>
      <c r="V2">
        <v>5</v>
      </c>
      <c r="W2">
        <v>5</v>
      </c>
      <c r="X2">
        <v>5</v>
      </c>
      <c r="Y2">
        <v>5</v>
      </c>
    </row>
    <row r="3" spans="1:25" x14ac:dyDescent="0.25">
      <c r="A3" t="s">
        <v>90</v>
      </c>
      <c r="B3" s="7">
        <v>0.98289789610436529</v>
      </c>
      <c r="C3" s="7">
        <v>0.77722540777802263</v>
      </c>
      <c r="D3" s="7">
        <v>0.99454093334307136</v>
      </c>
      <c r="E3" s="7">
        <v>0.48552984106357461</v>
      </c>
      <c r="F3" s="7">
        <v>0.62194893747681057</v>
      </c>
      <c r="G3" s="7"/>
      <c r="H3" s="7">
        <v>0.62551185133071885</v>
      </c>
      <c r="I3" s="7"/>
      <c r="J3" s="7">
        <v>0.82129127823790737</v>
      </c>
      <c r="K3" s="7">
        <v>0.99999996576260597</v>
      </c>
      <c r="L3" s="7">
        <v>0.55658357610317422</v>
      </c>
      <c r="M3" s="7">
        <v>0.99841093610906106</v>
      </c>
      <c r="N3">
        <v>5</v>
      </c>
      <c r="O3">
        <v>3</v>
      </c>
      <c r="P3">
        <v>5</v>
      </c>
      <c r="Q3">
        <v>3</v>
      </c>
      <c r="R3">
        <v>3</v>
      </c>
      <c r="T3">
        <v>3</v>
      </c>
      <c r="V3">
        <v>3</v>
      </c>
      <c r="W3">
        <v>5</v>
      </c>
      <c r="X3">
        <v>3</v>
      </c>
      <c r="Y3">
        <v>5</v>
      </c>
    </row>
    <row r="4" spans="1:25" x14ac:dyDescent="0.25">
      <c r="A4" t="s">
        <v>94</v>
      </c>
      <c r="B4" s="7">
        <v>0.89957354405433243</v>
      </c>
      <c r="C4" s="7">
        <v>0.89300387543857496</v>
      </c>
      <c r="D4" s="7">
        <v>0.90204580507559018</v>
      </c>
      <c r="E4" s="7">
        <v>1</v>
      </c>
      <c r="F4" s="7">
        <v>0.85322549344413157</v>
      </c>
      <c r="G4" s="7"/>
      <c r="H4" s="7">
        <v>0.89113599726794612</v>
      </c>
      <c r="I4" s="7"/>
      <c r="J4" s="7">
        <v>0.97871166039259572</v>
      </c>
      <c r="K4" s="7">
        <v>0.81143259734224726</v>
      </c>
      <c r="L4" s="7">
        <v>1</v>
      </c>
      <c r="M4" s="7">
        <v>0.99910822763438611</v>
      </c>
      <c r="N4">
        <v>3</v>
      </c>
      <c r="O4">
        <v>3</v>
      </c>
      <c r="P4">
        <v>3</v>
      </c>
      <c r="Q4">
        <v>5</v>
      </c>
      <c r="R4">
        <v>3</v>
      </c>
      <c r="T4">
        <v>3</v>
      </c>
      <c r="V4">
        <v>5</v>
      </c>
      <c r="W4">
        <v>3</v>
      </c>
      <c r="X4">
        <v>5</v>
      </c>
      <c r="Y4">
        <v>5</v>
      </c>
    </row>
    <row r="5" spans="1:25" x14ac:dyDescent="0.25">
      <c r="A5" t="s">
        <v>98</v>
      </c>
      <c r="B5" s="7">
        <v>0.87783755272876085</v>
      </c>
      <c r="C5" s="7">
        <v>0.70163244103756206</v>
      </c>
      <c r="D5" s="7">
        <v>0.80610761775109696</v>
      </c>
      <c r="E5" s="7">
        <v>1</v>
      </c>
      <c r="F5" s="7">
        <v>0.99999999999982814</v>
      </c>
      <c r="G5" s="7"/>
      <c r="H5" s="7">
        <v>0.98150090466104767</v>
      </c>
      <c r="I5" s="7"/>
      <c r="J5" s="7">
        <v>0.99320420561577893</v>
      </c>
      <c r="K5" s="7">
        <v>0.75455443858319116</v>
      </c>
      <c r="L5" s="7">
        <v>0.81049152639968558</v>
      </c>
      <c r="M5" s="7">
        <v>1</v>
      </c>
      <c r="N5">
        <v>3</v>
      </c>
      <c r="O5">
        <v>3</v>
      </c>
      <c r="P5">
        <v>3</v>
      </c>
      <c r="Q5">
        <v>5</v>
      </c>
      <c r="R5">
        <v>5</v>
      </c>
      <c r="T5">
        <v>5</v>
      </c>
      <c r="V5">
        <v>5</v>
      </c>
      <c r="W5">
        <v>3</v>
      </c>
      <c r="X5">
        <v>3</v>
      </c>
      <c r="Y5">
        <v>5</v>
      </c>
    </row>
    <row r="6" spans="1:25" x14ac:dyDescent="0.25">
      <c r="A6" t="s">
        <v>102</v>
      </c>
      <c r="B6" s="7">
        <v>0.98205128274491826</v>
      </c>
      <c r="C6" s="7">
        <v>0.91553537677702679</v>
      </c>
      <c r="D6" s="7">
        <v>0.98446715113267214</v>
      </c>
      <c r="E6" s="7">
        <v>0.99999999999999978</v>
      </c>
      <c r="F6" s="7">
        <v>0.99999967757831143</v>
      </c>
      <c r="G6" s="7"/>
      <c r="H6" s="7">
        <v>0.9603907457976788</v>
      </c>
      <c r="I6" s="7"/>
      <c r="J6" s="7">
        <v>0.91973144084391822</v>
      </c>
      <c r="K6" s="7">
        <v>0.98534002668452891</v>
      </c>
      <c r="L6" s="7">
        <v>0.99915818680915414</v>
      </c>
      <c r="M6" s="7">
        <v>0.89891114837748931</v>
      </c>
      <c r="N6">
        <v>5</v>
      </c>
      <c r="O6">
        <v>3</v>
      </c>
      <c r="P6">
        <v>5</v>
      </c>
      <c r="Q6">
        <v>5</v>
      </c>
      <c r="R6">
        <v>5</v>
      </c>
      <c r="T6">
        <v>3</v>
      </c>
      <c r="V6">
        <v>3</v>
      </c>
      <c r="W6">
        <v>5</v>
      </c>
      <c r="X6">
        <v>5</v>
      </c>
      <c r="Y6">
        <v>3</v>
      </c>
    </row>
    <row r="7" spans="1:25" x14ac:dyDescent="0.25">
      <c r="A7" t="s">
        <v>106</v>
      </c>
      <c r="B7" s="7">
        <v>0.87062910216801626</v>
      </c>
      <c r="C7" s="7">
        <v>0.87911400160408792</v>
      </c>
      <c r="D7" s="7">
        <v>0.90518585873050283</v>
      </c>
      <c r="E7" s="7">
        <v>0.74622156140932316</v>
      </c>
      <c r="F7" s="7">
        <v>0.57461265785512017</v>
      </c>
      <c r="G7" s="7">
        <v>0.99999999999690092</v>
      </c>
      <c r="H7" s="7">
        <v>0.75319498997903911</v>
      </c>
      <c r="I7" s="7"/>
      <c r="J7" s="7">
        <v>0.69814711396923201</v>
      </c>
      <c r="K7" s="7">
        <v>0.95462464885709031</v>
      </c>
      <c r="L7" s="7">
        <v>0.69627300176195661</v>
      </c>
      <c r="M7" s="7">
        <v>0.91945979134695199</v>
      </c>
      <c r="N7">
        <v>3</v>
      </c>
      <c r="O7">
        <v>3</v>
      </c>
      <c r="P7">
        <v>3</v>
      </c>
      <c r="Q7">
        <v>3</v>
      </c>
      <c r="R7">
        <v>3</v>
      </c>
      <c r="S7">
        <v>5</v>
      </c>
      <c r="T7">
        <v>3</v>
      </c>
      <c r="V7">
        <v>3</v>
      </c>
      <c r="W7">
        <v>3</v>
      </c>
      <c r="X7">
        <v>3</v>
      </c>
      <c r="Y7">
        <v>3</v>
      </c>
    </row>
    <row r="8" spans="1:25" x14ac:dyDescent="0.25">
      <c r="A8" t="s">
        <v>110</v>
      </c>
      <c r="B8" s="7">
        <v>0.76450123884148358</v>
      </c>
      <c r="C8" s="7">
        <v>0.86704383361248849</v>
      </c>
      <c r="D8" s="7">
        <v>0.8111071687182998</v>
      </c>
      <c r="E8" s="7">
        <v>9.1073483438915234E-2</v>
      </c>
      <c r="F8" s="7">
        <v>0.35338059746499217</v>
      </c>
      <c r="G8" s="7"/>
      <c r="H8" s="7">
        <v>0.7423216209753053</v>
      </c>
      <c r="I8" s="7"/>
      <c r="J8" s="7">
        <v>0.7839929392054239</v>
      </c>
      <c r="K8" s="7">
        <v>0.73109261931927327</v>
      </c>
      <c r="L8" s="7">
        <v>0.91249646839463439</v>
      </c>
      <c r="M8" s="7">
        <v>0.32871072628742343</v>
      </c>
      <c r="N8">
        <v>3</v>
      </c>
      <c r="O8">
        <v>3</v>
      </c>
      <c r="P8">
        <v>3</v>
      </c>
      <c r="Q8">
        <v>1</v>
      </c>
      <c r="R8">
        <v>3</v>
      </c>
      <c r="T8">
        <v>3</v>
      </c>
      <c r="V8">
        <v>3</v>
      </c>
      <c r="W8">
        <v>3</v>
      </c>
      <c r="X8">
        <v>3</v>
      </c>
      <c r="Y8">
        <v>3</v>
      </c>
    </row>
    <row r="9" spans="1:25" x14ac:dyDescent="0.25">
      <c r="A9" t="s">
        <v>114</v>
      </c>
      <c r="B9" s="7">
        <v>0.82848376128122581</v>
      </c>
      <c r="C9" s="7">
        <v>0.83073724267711502</v>
      </c>
      <c r="D9" s="7">
        <v>0.82702571662471036</v>
      </c>
      <c r="E9" s="7">
        <v>0.83065678973380752</v>
      </c>
      <c r="F9" s="7">
        <v>0.67374083255714867</v>
      </c>
      <c r="G9" s="7"/>
      <c r="H9" s="7">
        <v>0.83455386244066032</v>
      </c>
      <c r="I9" s="7"/>
      <c r="J9" s="7">
        <v>0.98890758625720177</v>
      </c>
      <c r="K9" s="7">
        <v>0.85242652382234307</v>
      </c>
      <c r="L9" s="7"/>
      <c r="M9" s="7"/>
      <c r="N9">
        <v>3</v>
      </c>
      <c r="O9">
        <v>3</v>
      </c>
      <c r="P9">
        <v>3</v>
      </c>
      <c r="Q9">
        <v>3</v>
      </c>
      <c r="R9">
        <v>3</v>
      </c>
      <c r="T9">
        <v>3</v>
      </c>
      <c r="V9">
        <v>5</v>
      </c>
      <c r="W9">
        <v>3</v>
      </c>
    </row>
    <row r="10" spans="1:25" x14ac:dyDescent="0.25">
      <c r="A10" t="s">
        <v>118</v>
      </c>
      <c r="B10" s="7">
        <v>0.72684254022469641</v>
      </c>
      <c r="C10" s="7">
        <v>0.82529730625077247</v>
      </c>
      <c r="D10" s="7">
        <v>0.72028525846772118</v>
      </c>
      <c r="E10" s="7">
        <v>0.95945193895271275</v>
      </c>
      <c r="F10" s="7">
        <v>0.8983453146453908</v>
      </c>
      <c r="G10" s="7">
        <v>0.98901226957152633</v>
      </c>
      <c r="H10" s="7">
        <v>0.80613551383497528</v>
      </c>
      <c r="I10" s="7"/>
      <c r="J10" s="7">
        <v>0.83967957942565297</v>
      </c>
      <c r="K10" s="7">
        <v>0.92894019797716443</v>
      </c>
      <c r="L10" s="7">
        <v>0.89092027898015147</v>
      </c>
      <c r="M10" s="7">
        <v>0.99371785336283358</v>
      </c>
      <c r="N10">
        <v>3</v>
      </c>
      <c r="O10">
        <v>3</v>
      </c>
      <c r="P10">
        <v>3</v>
      </c>
      <c r="Q10">
        <v>3</v>
      </c>
      <c r="R10">
        <v>3</v>
      </c>
      <c r="S10">
        <v>5</v>
      </c>
      <c r="T10">
        <v>3</v>
      </c>
      <c r="V10">
        <v>3</v>
      </c>
      <c r="W10">
        <v>3</v>
      </c>
      <c r="X10">
        <v>3</v>
      </c>
      <c r="Y10">
        <v>5</v>
      </c>
    </row>
    <row r="11" spans="1:25" x14ac:dyDescent="0.25">
      <c r="A11" t="s">
        <v>122</v>
      </c>
      <c r="B11" s="7">
        <v>0.86861424190288239</v>
      </c>
      <c r="C11" s="7">
        <v>0.89897469228042837</v>
      </c>
      <c r="D11" s="7">
        <v>0.9127509759385134</v>
      </c>
      <c r="E11" s="7">
        <v>0.87224755725565428</v>
      </c>
      <c r="F11" s="7">
        <v>0.68088223899377731</v>
      </c>
      <c r="G11" s="7"/>
      <c r="H11" s="7">
        <v>0.75376666924306424</v>
      </c>
      <c r="I11" s="7"/>
      <c r="J11" s="7">
        <v>0.69891223093108901</v>
      </c>
      <c r="K11" s="7">
        <v>0.83540581318801266</v>
      </c>
      <c r="L11" s="7">
        <v>0.83777821419873222</v>
      </c>
      <c r="M11" s="7">
        <v>0.9987571675319562</v>
      </c>
      <c r="N11">
        <v>3</v>
      </c>
      <c r="O11">
        <v>3</v>
      </c>
      <c r="P11">
        <v>3</v>
      </c>
      <c r="Q11">
        <v>3</v>
      </c>
      <c r="R11">
        <v>3</v>
      </c>
      <c r="T11">
        <v>3</v>
      </c>
      <c r="V11">
        <v>3</v>
      </c>
      <c r="W11">
        <v>3</v>
      </c>
      <c r="X11">
        <v>3</v>
      </c>
      <c r="Y11">
        <v>5</v>
      </c>
    </row>
    <row r="12" spans="1:25" x14ac:dyDescent="0.25">
      <c r="A12" t="s">
        <v>126</v>
      </c>
      <c r="B12" s="7">
        <v>0.95986278810653303</v>
      </c>
      <c r="C12" s="7">
        <v>0.99574772049701865</v>
      </c>
      <c r="D12" s="7">
        <v>0.96327767932919295</v>
      </c>
      <c r="E12" s="7">
        <v>1</v>
      </c>
      <c r="F12" s="7">
        <v>0.86620903095653823</v>
      </c>
      <c r="G12" s="7"/>
      <c r="H12" s="7">
        <v>1</v>
      </c>
      <c r="I12" s="7"/>
      <c r="J12" s="7">
        <v>0.87260566080155688</v>
      </c>
      <c r="K12" s="7">
        <v>0.9015227183225778</v>
      </c>
      <c r="L12" s="7">
        <v>0.78699889608090523</v>
      </c>
      <c r="M12" s="7">
        <v>0.99764373289864527</v>
      </c>
      <c r="N12">
        <v>3</v>
      </c>
      <c r="O12">
        <v>5</v>
      </c>
      <c r="P12">
        <v>3</v>
      </c>
      <c r="Q12">
        <v>5</v>
      </c>
      <c r="R12">
        <v>3</v>
      </c>
      <c r="T12">
        <v>5</v>
      </c>
      <c r="V12">
        <v>3</v>
      </c>
      <c r="W12">
        <v>3</v>
      </c>
      <c r="X12">
        <v>3</v>
      </c>
      <c r="Y12">
        <v>5</v>
      </c>
    </row>
    <row r="13" spans="1:25" x14ac:dyDescent="0.25">
      <c r="A13" t="s">
        <v>130</v>
      </c>
      <c r="B13" s="7">
        <v>0.94395238951892624</v>
      </c>
      <c r="C13" s="7">
        <v>0.77248497670001903</v>
      </c>
      <c r="D13" s="7">
        <v>0.97367674419407779</v>
      </c>
      <c r="E13" s="7">
        <v>0.75225393424666631</v>
      </c>
      <c r="F13" s="7">
        <v>0.59726827799086224</v>
      </c>
      <c r="G13" s="7"/>
      <c r="H13" s="7">
        <v>0.64843764992459052</v>
      </c>
      <c r="I13" s="7">
        <v>1</v>
      </c>
      <c r="J13" s="7">
        <v>0.7917744994655187</v>
      </c>
      <c r="K13" s="7">
        <v>0.88427653892873237</v>
      </c>
      <c r="L13" s="7">
        <v>0.79705971626054661</v>
      </c>
      <c r="M13" s="7"/>
      <c r="N13">
        <v>3</v>
      </c>
      <c r="O13">
        <v>3</v>
      </c>
      <c r="P13">
        <v>5</v>
      </c>
      <c r="Q13">
        <v>3</v>
      </c>
      <c r="R13">
        <v>3</v>
      </c>
      <c r="T13">
        <v>3</v>
      </c>
      <c r="U13">
        <v>5</v>
      </c>
      <c r="V13">
        <v>3</v>
      </c>
      <c r="W13">
        <v>3</v>
      </c>
      <c r="X13">
        <v>3</v>
      </c>
    </row>
    <row r="14" spans="1:25" x14ac:dyDescent="0.25">
      <c r="A14" t="s">
        <v>134</v>
      </c>
      <c r="B14" s="7">
        <v>0.92007885460475491</v>
      </c>
      <c r="C14" s="7">
        <v>0.86797942638549819</v>
      </c>
      <c r="D14" s="7">
        <v>0.93321228824760105</v>
      </c>
      <c r="E14" s="7">
        <v>0.92390880680474086</v>
      </c>
      <c r="F14" s="7">
        <v>0.81438455023455669</v>
      </c>
      <c r="G14" s="7"/>
      <c r="H14" s="7">
        <v>0.76474450594870469</v>
      </c>
      <c r="I14" s="7"/>
      <c r="J14" s="7">
        <v>0.73260966519326776</v>
      </c>
      <c r="K14" s="7">
        <v>0.81145018022750404</v>
      </c>
      <c r="L14" s="7">
        <v>0.4204445236287036</v>
      </c>
      <c r="M14" s="7">
        <v>0.772679683357548</v>
      </c>
      <c r="N14">
        <v>3</v>
      </c>
      <c r="O14">
        <v>3</v>
      </c>
      <c r="P14">
        <v>3</v>
      </c>
      <c r="Q14">
        <v>3</v>
      </c>
      <c r="R14">
        <v>3</v>
      </c>
      <c r="T14">
        <v>3</v>
      </c>
      <c r="V14">
        <v>3</v>
      </c>
      <c r="W14">
        <v>3</v>
      </c>
      <c r="X14">
        <v>3</v>
      </c>
      <c r="Y14">
        <v>3</v>
      </c>
    </row>
    <row r="15" spans="1:25" x14ac:dyDescent="0.25">
      <c r="A15" t="s">
        <v>138</v>
      </c>
      <c r="B15" s="7">
        <v>0.85740188514692317</v>
      </c>
      <c r="C15" s="7">
        <v>0.79664979336216801</v>
      </c>
      <c r="D15" s="7">
        <v>0.86857909074101936</v>
      </c>
      <c r="E15" s="7">
        <v>0.99749693917206672</v>
      </c>
      <c r="F15" s="7">
        <v>0.83922697691414472</v>
      </c>
      <c r="G15" s="7"/>
      <c r="H15" s="7">
        <v>0.64858790924647081</v>
      </c>
      <c r="I15" s="7"/>
      <c r="J15" s="7">
        <v>0.77148449657795992</v>
      </c>
      <c r="K15" s="7">
        <v>0.91651492838143356</v>
      </c>
      <c r="L15" s="7">
        <v>0.86791452863127994</v>
      </c>
      <c r="M15" s="7"/>
      <c r="N15">
        <v>3</v>
      </c>
      <c r="O15">
        <v>3</v>
      </c>
      <c r="P15">
        <v>3</v>
      </c>
      <c r="Q15">
        <v>5</v>
      </c>
      <c r="R15">
        <v>3</v>
      </c>
      <c r="T15">
        <v>3</v>
      </c>
      <c r="V15">
        <v>3</v>
      </c>
      <c r="W15">
        <v>3</v>
      </c>
      <c r="X15">
        <v>3</v>
      </c>
    </row>
    <row r="16" spans="1:25" x14ac:dyDescent="0.25">
      <c r="A16" t="s">
        <v>142</v>
      </c>
      <c r="B16" s="7">
        <v>0.68593665609807264</v>
      </c>
      <c r="C16" s="7">
        <v>0.75222471723051176</v>
      </c>
      <c r="D16" s="7">
        <v>0.69366090224548804</v>
      </c>
      <c r="E16" s="7">
        <v>0.99996992424992581</v>
      </c>
      <c r="F16" s="7">
        <v>0.82667187248053309</v>
      </c>
      <c r="G16" s="7"/>
      <c r="H16" s="7">
        <v>0.64432837329853432</v>
      </c>
      <c r="I16" s="7"/>
      <c r="J16" s="7">
        <v>0.75755635270268062</v>
      </c>
      <c r="K16" s="7">
        <v>0.47390860853913408</v>
      </c>
      <c r="L16" s="7"/>
      <c r="M16" s="7"/>
      <c r="N16">
        <v>3</v>
      </c>
      <c r="O16">
        <v>3</v>
      </c>
      <c r="P16">
        <v>3</v>
      </c>
      <c r="Q16">
        <v>5</v>
      </c>
      <c r="R16">
        <v>3</v>
      </c>
      <c r="T16">
        <v>3</v>
      </c>
      <c r="V16">
        <v>3</v>
      </c>
      <c r="W16">
        <v>3</v>
      </c>
    </row>
    <row r="17" spans="1:25" x14ac:dyDescent="0.25">
      <c r="A17" t="s">
        <v>146</v>
      </c>
      <c r="B17" s="7">
        <v>0.94401023212705071</v>
      </c>
      <c r="C17" s="7">
        <v>0.7345203723232856</v>
      </c>
      <c r="D17" s="7">
        <v>0.95148340061992065</v>
      </c>
      <c r="E17" s="7">
        <v>1</v>
      </c>
      <c r="F17" s="7">
        <v>0.84427099273639905</v>
      </c>
      <c r="G17" s="7"/>
      <c r="H17" s="7">
        <v>0.80643887234655109</v>
      </c>
      <c r="I17" s="7"/>
      <c r="J17" s="7">
        <v>0.78179170408653864</v>
      </c>
      <c r="K17" s="7">
        <v>0.90231287598801679</v>
      </c>
      <c r="L17" s="7">
        <v>0.78620220673177843</v>
      </c>
      <c r="M17" s="7">
        <v>0.59601189230288121</v>
      </c>
      <c r="N17">
        <v>3</v>
      </c>
      <c r="O17">
        <v>3</v>
      </c>
      <c r="P17">
        <v>3</v>
      </c>
      <c r="Q17">
        <v>5</v>
      </c>
      <c r="R17">
        <v>3</v>
      </c>
      <c r="T17">
        <v>3</v>
      </c>
      <c r="V17">
        <v>3</v>
      </c>
      <c r="W17">
        <v>3</v>
      </c>
      <c r="X17">
        <v>3</v>
      </c>
      <c r="Y17">
        <v>3</v>
      </c>
    </row>
    <row r="18" spans="1:25" x14ac:dyDescent="0.25">
      <c r="A18" t="s">
        <v>150</v>
      </c>
      <c r="B18" s="7">
        <v>0.89451216199815886</v>
      </c>
      <c r="C18" s="7">
        <v>0.80665455581718248</v>
      </c>
      <c r="D18" s="7">
        <v>0.96009596490099514</v>
      </c>
      <c r="E18" s="7">
        <v>0.98101495234380265</v>
      </c>
      <c r="F18" s="7">
        <v>0.60857541036905494</v>
      </c>
      <c r="G18" s="7"/>
      <c r="H18" s="7">
        <v>0.53026469272247356</v>
      </c>
      <c r="I18" s="7"/>
      <c r="J18" s="7">
        <v>0.9972315477508189</v>
      </c>
      <c r="K18" s="7">
        <v>0.99694696954502104</v>
      </c>
      <c r="L18" s="7">
        <v>0.81537445308555911</v>
      </c>
      <c r="M18" s="7">
        <v>0.99999975550526143</v>
      </c>
      <c r="N18">
        <v>3</v>
      </c>
      <c r="O18">
        <v>3</v>
      </c>
      <c r="P18">
        <v>3</v>
      </c>
      <c r="Q18">
        <v>5</v>
      </c>
      <c r="R18">
        <v>3</v>
      </c>
      <c r="T18">
        <v>3</v>
      </c>
      <c r="V18">
        <v>5</v>
      </c>
      <c r="W18">
        <v>5</v>
      </c>
      <c r="X18">
        <v>3</v>
      </c>
      <c r="Y18">
        <v>5</v>
      </c>
    </row>
    <row r="19" spans="1:25" x14ac:dyDescent="0.25">
      <c r="A19" t="s">
        <v>154</v>
      </c>
      <c r="B19" s="7">
        <v>0.97487417704774681</v>
      </c>
      <c r="C19" s="7">
        <v>0.74218255473929562</v>
      </c>
      <c r="D19" s="7">
        <v>0.98543823621301008</v>
      </c>
      <c r="E19" s="7">
        <v>0.9995066853889113</v>
      </c>
      <c r="F19" s="7">
        <v>0.80232868882905584</v>
      </c>
      <c r="G19" s="7"/>
      <c r="H19" s="7">
        <v>0.79635128157506319</v>
      </c>
      <c r="I19" s="7"/>
      <c r="J19" s="7">
        <v>0.80163267834776808</v>
      </c>
      <c r="K19" s="7">
        <v>0.95470268844115536</v>
      </c>
      <c r="L19" s="7">
        <v>0.9943418424288365</v>
      </c>
      <c r="M19" s="7">
        <v>0.75758885142273569</v>
      </c>
      <c r="N19">
        <v>5</v>
      </c>
      <c r="O19">
        <v>3</v>
      </c>
      <c r="P19">
        <v>5</v>
      </c>
      <c r="Q19">
        <v>5</v>
      </c>
      <c r="R19">
        <v>3</v>
      </c>
      <c r="T19">
        <v>3</v>
      </c>
      <c r="V19">
        <v>3</v>
      </c>
      <c r="W19">
        <v>3</v>
      </c>
      <c r="X19">
        <v>5</v>
      </c>
      <c r="Y19">
        <v>3</v>
      </c>
    </row>
    <row r="20" spans="1:25" x14ac:dyDescent="0.25">
      <c r="A20" t="s">
        <v>158</v>
      </c>
      <c r="B20" s="7">
        <v>0.94005879821714511</v>
      </c>
      <c r="C20" s="7">
        <v>0.90448707219573266</v>
      </c>
      <c r="D20" s="7">
        <v>0.92540126488282981</v>
      </c>
      <c r="E20" s="7">
        <v>1</v>
      </c>
      <c r="F20" s="7">
        <v>0.99612307551232016</v>
      </c>
      <c r="G20" s="7"/>
      <c r="H20" s="7">
        <v>0.90267460954302392</v>
      </c>
      <c r="I20" s="7"/>
      <c r="J20" s="7">
        <v>0.99997585683680068</v>
      </c>
      <c r="K20" s="7">
        <v>0.96204975017126615</v>
      </c>
      <c r="L20" s="7">
        <v>0.90824678084707611</v>
      </c>
      <c r="M20" s="7">
        <v>0.795626954646937</v>
      </c>
      <c r="N20">
        <v>3</v>
      </c>
      <c r="O20">
        <v>3</v>
      </c>
      <c r="P20">
        <v>3</v>
      </c>
      <c r="Q20">
        <v>5</v>
      </c>
      <c r="R20">
        <v>5</v>
      </c>
      <c r="T20">
        <v>3</v>
      </c>
      <c r="V20">
        <v>5</v>
      </c>
      <c r="W20">
        <v>3</v>
      </c>
      <c r="X20">
        <v>3</v>
      </c>
      <c r="Y20">
        <v>3</v>
      </c>
    </row>
    <row r="21" spans="1:25" x14ac:dyDescent="0.25">
      <c r="A21" t="s">
        <v>162</v>
      </c>
      <c r="B21" s="7">
        <v>0.8295394291018372</v>
      </c>
      <c r="C21" s="7">
        <v>0.79518984294242068</v>
      </c>
      <c r="D21" s="7">
        <v>0.91358195652714369</v>
      </c>
      <c r="E21" s="7">
        <v>0.94645103311178458</v>
      </c>
      <c r="F21" s="7">
        <v>0.70410085230053499</v>
      </c>
      <c r="G21" s="7"/>
      <c r="H21" s="7">
        <v>0.69349338370629243</v>
      </c>
      <c r="I21" s="7"/>
      <c r="J21" s="7">
        <v>0.61549893381003573</v>
      </c>
      <c r="K21" s="7">
        <v>0.84711286720361534</v>
      </c>
      <c r="L21" s="7">
        <v>0.71901329325887831</v>
      </c>
      <c r="M21" s="7">
        <v>3.7225073618998961E-2</v>
      </c>
      <c r="N21">
        <v>3</v>
      </c>
      <c r="O21">
        <v>3</v>
      </c>
      <c r="P21">
        <v>3</v>
      </c>
      <c r="Q21">
        <v>3</v>
      </c>
      <c r="R21">
        <v>3</v>
      </c>
      <c r="T21">
        <v>3</v>
      </c>
      <c r="V21">
        <v>3</v>
      </c>
      <c r="W21">
        <v>3</v>
      </c>
      <c r="X21">
        <v>3</v>
      </c>
      <c r="Y21">
        <v>1</v>
      </c>
    </row>
    <row r="22" spans="1:25" x14ac:dyDescent="0.25">
      <c r="A22" t="s">
        <v>166</v>
      </c>
      <c r="B22" s="7">
        <v>0.95064200908911967</v>
      </c>
      <c r="C22" s="7">
        <v>0.91252400655016741</v>
      </c>
      <c r="D22" s="7">
        <v>0.94442823385867991</v>
      </c>
      <c r="E22" s="7">
        <v>0.99970879066770069</v>
      </c>
      <c r="F22" s="7">
        <v>0.99689074844707204</v>
      </c>
      <c r="G22" s="7"/>
      <c r="H22" s="7">
        <v>0.99281782926124795</v>
      </c>
      <c r="I22" s="7"/>
      <c r="J22" s="7">
        <v>0.99299253222627115</v>
      </c>
      <c r="K22" s="7">
        <v>0.94172109191075981</v>
      </c>
      <c r="L22" s="7">
        <v>0.95908559086710254</v>
      </c>
      <c r="M22" s="7">
        <v>0.99937591209940668</v>
      </c>
      <c r="N22">
        <v>3</v>
      </c>
      <c r="O22">
        <v>3</v>
      </c>
      <c r="P22">
        <v>3</v>
      </c>
      <c r="Q22">
        <v>5</v>
      </c>
      <c r="R22">
        <v>5</v>
      </c>
      <c r="T22">
        <v>5</v>
      </c>
      <c r="V22">
        <v>5</v>
      </c>
      <c r="W22">
        <v>3</v>
      </c>
      <c r="X22">
        <v>3</v>
      </c>
      <c r="Y22">
        <v>5</v>
      </c>
    </row>
    <row r="23" spans="1:25" x14ac:dyDescent="0.25">
      <c r="A23" t="s">
        <v>170</v>
      </c>
      <c r="B23" s="7">
        <v>0.94884001735342949</v>
      </c>
      <c r="C23" s="7">
        <v>0.77508803050177844</v>
      </c>
      <c r="D23" s="7">
        <v>0.95670638031840571</v>
      </c>
      <c r="E23" s="7">
        <v>0.99982818503563453</v>
      </c>
      <c r="F23" s="7">
        <v>0.7520519497284649</v>
      </c>
      <c r="G23" s="7"/>
      <c r="H23" s="7">
        <v>0.46345185824261531</v>
      </c>
      <c r="I23" s="7"/>
      <c r="J23" s="7">
        <v>0.92174095691453972</v>
      </c>
      <c r="K23" s="7">
        <v>0.96159347597826439</v>
      </c>
      <c r="L23" s="7">
        <v>0.78557448624898507</v>
      </c>
      <c r="M23" s="7">
        <v>0.45025562897113169</v>
      </c>
      <c r="N23">
        <v>3</v>
      </c>
      <c r="O23">
        <v>3</v>
      </c>
      <c r="P23">
        <v>3</v>
      </c>
      <c r="Q23">
        <v>5</v>
      </c>
      <c r="R23">
        <v>3</v>
      </c>
      <c r="T23">
        <v>3</v>
      </c>
      <c r="V23">
        <v>3</v>
      </c>
      <c r="W23">
        <v>3</v>
      </c>
      <c r="X23">
        <v>3</v>
      </c>
      <c r="Y23">
        <v>3</v>
      </c>
    </row>
    <row r="24" spans="1:25" x14ac:dyDescent="0.25">
      <c r="A24" t="s">
        <v>174</v>
      </c>
      <c r="B24" s="7">
        <v>0.95726511853075924</v>
      </c>
      <c r="C24" s="7">
        <v>0.68195096936848165</v>
      </c>
      <c r="D24" s="7">
        <v>0.98585999967883775</v>
      </c>
      <c r="E24" s="7">
        <v>0.90712429518441551</v>
      </c>
      <c r="F24" s="7">
        <v>0.81045453447537552</v>
      </c>
      <c r="G24" s="7"/>
      <c r="H24" s="7">
        <v>0.71854791674062857</v>
      </c>
      <c r="I24" s="7"/>
      <c r="J24" s="7">
        <v>0.77662219555226053</v>
      </c>
      <c r="K24" s="7">
        <v>0.88959471675036117</v>
      </c>
      <c r="L24" s="7">
        <v>0.58605374645327057</v>
      </c>
      <c r="M24" s="7">
        <v>0.810746039163321</v>
      </c>
      <c r="N24">
        <v>3</v>
      </c>
      <c r="O24">
        <v>3</v>
      </c>
      <c r="P24">
        <v>5</v>
      </c>
      <c r="Q24">
        <v>3</v>
      </c>
      <c r="R24">
        <v>3</v>
      </c>
      <c r="T24">
        <v>3</v>
      </c>
      <c r="V24">
        <v>3</v>
      </c>
      <c r="W24">
        <v>3</v>
      </c>
      <c r="X24">
        <v>3</v>
      </c>
      <c r="Y24">
        <v>3</v>
      </c>
    </row>
    <row r="25" spans="1:25" x14ac:dyDescent="0.25">
      <c r="A25" t="s">
        <v>179</v>
      </c>
      <c r="B25" s="7">
        <v>0.93700601153677776</v>
      </c>
      <c r="C25" s="7">
        <v>0.811274278802806</v>
      </c>
      <c r="D25" s="7">
        <v>0.96272292154005146</v>
      </c>
      <c r="E25" s="7">
        <v>0.92689153472910502</v>
      </c>
      <c r="F25" s="7">
        <v>0.86599419166048164</v>
      </c>
      <c r="G25" s="7"/>
      <c r="H25" s="7">
        <v>0.73848038000102267</v>
      </c>
      <c r="I25" s="7"/>
      <c r="J25" s="7">
        <v>0.80142034553047103</v>
      </c>
      <c r="K25" s="7">
        <v>0.94139467227299933</v>
      </c>
      <c r="L25" s="7">
        <v>0.87654480601847451</v>
      </c>
      <c r="M25" s="7">
        <v>0.97722360670341579</v>
      </c>
      <c r="N25">
        <v>3</v>
      </c>
      <c r="O25">
        <v>3</v>
      </c>
      <c r="P25">
        <v>3</v>
      </c>
      <c r="Q25">
        <v>3</v>
      </c>
      <c r="R25">
        <v>3</v>
      </c>
      <c r="T25">
        <v>3</v>
      </c>
      <c r="V25">
        <v>3</v>
      </c>
      <c r="W25">
        <v>3</v>
      </c>
      <c r="X25">
        <v>3</v>
      </c>
      <c r="Y25">
        <v>5</v>
      </c>
    </row>
    <row r="26" spans="1:25" x14ac:dyDescent="0.25">
      <c r="A26" t="s">
        <v>183</v>
      </c>
      <c r="B26" s="7">
        <v>0.98266403650608081</v>
      </c>
      <c r="C26" s="7">
        <v>0.83281720541833559</v>
      </c>
      <c r="D26" s="7">
        <v>0.90340818668693124</v>
      </c>
      <c r="E26" s="7">
        <v>0.92363621328383305</v>
      </c>
      <c r="F26" s="7">
        <v>0.77623921519455485</v>
      </c>
      <c r="G26" s="7"/>
      <c r="H26" s="7">
        <v>0.8570837881383746</v>
      </c>
      <c r="I26" s="7"/>
      <c r="J26" s="7">
        <v>0.67656542899587846</v>
      </c>
      <c r="K26" s="7">
        <v>0.88610824929327359</v>
      </c>
      <c r="L26" s="7">
        <v>0.74005861059487221</v>
      </c>
      <c r="M26" s="7">
        <v>0.92885728508947252</v>
      </c>
      <c r="N26">
        <v>5</v>
      </c>
      <c r="O26">
        <v>3</v>
      </c>
      <c r="P26">
        <v>3</v>
      </c>
      <c r="Q26">
        <v>3</v>
      </c>
      <c r="R26">
        <v>3</v>
      </c>
      <c r="T26">
        <v>3</v>
      </c>
      <c r="V26">
        <v>3</v>
      </c>
      <c r="W26">
        <v>3</v>
      </c>
      <c r="X26">
        <v>3</v>
      </c>
      <c r="Y26">
        <v>3</v>
      </c>
    </row>
    <row r="27" spans="1:25" x14ac:dyDescent="0.25">
      <c r="A27" t="s">
        <v>187</v>
      </c>
      <c r="B27" s="7">
        <v>0.91994331734414603</v>
      </c>
      <c r="C27" s="7">
        <v>0.83953765173979777</v>
      </c>
      <c r="D27" s="7">
        <v>0.92398381621730163</v>
      </c>
      <c r="E27" s="7">
        <v>0.99988821737792333</v>
      </c>
      <c r="F27" s="7">
        <v>0.99954055294731259</v>
      </c>
      <c r="G27" s="7">
        <v>1</v>
      </c>
      <c r="H27" s="7">
        <v>0.98992944907011082</v>
      </c>
      <c r="I27" s="7"/>
      <c r="J27" s="7">
        <v>0.68226461821944639</v>
      </c>
      <c r="K27" s="7">
        <v>0.94571126514173098</v>
      </c>
      <c r="L27" s="7">
        <v>0.99999743627690252</v>
      </c>
      <c r="M27" s="7">
        <v>2.8814730088839419E-2</v>
      </c>
      <c r="N27">
        <v>3</v>
      </c>
      <c r="O27">
        <v>3</v>
      </c>
      <c r="P27">
        <v>3</v>
      </c>
      <c r="Q27">
        <v>5</v>
      </c>
      <c r="R27">
        <v>5</v>
      </c>
      <c r="S27">
        <v>5</v>
      </c>
      <c r="T27">
        <v>5</v>
      </c>
      <c r="V27">
        <v>3</v>
      </c>
      <c r="W27">
        <v>3</v>
      </c>
      <c r="X27">
        <v>5</v>
      </c>
      <c r="Y27">
        <v>1</v>
      </c>
    </row>
    <row r="28" spans="1:25" x14ac:dyDescent="0.25">
      <c r="A28" t="s">
        <v>192</v>
      </c>
      <c r="B28" s="7">
        <v>0.95641140682043668</v>
      </c>
      <c r="C28" s="7">
        <v>0.79897190548279295</v>
      </c>
      <c r="D28" s="7">
        <v>0.96966040471415105</v>
      </c>
      <c r="E28" s="7">
        <v>0.8362529855758738</v>
      </c>
      <c r="F28" s="7">
        <v>0.84559739182110516</v>
      </c>
      <c r="G28" s="7"/>
      <c r="H28" s="7">
        <v>0.78187960470556817</v>
      </c>
      <c r="I28" s="7"/>
      <c r="J28" s="7">
        <v>0.86064333544600768</v>
      </c>
      <c r="K28" s="7">
        <v>0.9600021644912925</v>
      </c>
      <c r="L28" s="7">
        <v>0.89511634261836981</v>
      </c>
      <c r="M28" s="7">
        <v>0.94090636217142165</v>
      </c>
      <c r="N28">
        <v>3</v>
      </c>
      <c r="O28">
        <v>3</v>
      </c>
      <c r="P28">
        <v>3</v>
      </c>
      <c r="Q28">
        <v>3</v>
      </c>
      <c r="R28">
        <v>3</v>
      </c>
      <c r="T28">
        <v>3</v>
      </c>
      <c r="V28">
        <v>3</v>
      </c>
      <c r="W28">
        <v>3</v>
      </c>
      <c r="X28">
        <v>3</v>
      </c>
      <c r="Y28">
        <v>3</v>
      </c>
    </row>
    <row r="29" spans="1:25" x14ac:dyDescent="0.25">
      <c r="A29" t="s">
        <v>195</v>
      </c>
      <c r="B29" s="7">
        <v>0.90181167249018412</v>
      </c>
      <c r="C29" s="7">
        <v>0.83581426378620605</v>
      </c>
      <c r="D29" s="7">
        <v>0.89333342914948954</v>
      </c>
      <c r="E29" s="7">
        <v>0.8789648603583825</v>
      </c>
      <c r="F29" s="7">
        <v>0.85150644805889597</v>
      </c>
      <c r="G29" s="7"/>
      <c r="H29" s="7">
        <v>0.8595521980379911</v>
      </c>
      <c r="I29" s="7"/>
      <c r="J29" s="7">
        <v>1</v>
      </c>
      <c r="K29" s="7">
        <v>0.85755293674767752</v>
      </c>
      <c r="L29" s="7">
        <v>0.75322592175766823</v>
      </c>
      <c r="M29" s="7">
        <v>0.67154313620313089</v>
      </c>
      <c r="N29">
        <v>3</v>
      </c>
      <c r="O29">
        <v>3</v>
      </c>
      <c r="P29">
        <v>3</v>
      </c>
      <c r="Q29">
        <v>3</v>
      </c>
      <c r="R29">
        <v>3</v>
      </c>
      <c r="T29">
        <v>3</v>
      </c>
      <c r="V29">
        <v>5</v>
      </c>
      <c r="W29">
        <v>3</v>
      </c>
      <c r="X29">
        <v>3</v>
      </c>
      <c r="Y29">
        <v>3</v>
      </c>
    </row>
    <row r="30" spans="1:25" x14ac:dyDescent="0.25">
      <c r="A30" t="s">
        <v>200</v>
      </c>
      <c r="B30" s="7">
        <v>0.96333583390990685</v>
      </c>
      <c r="C30" s="7">
        <v>0.72380451344411034</v>
      </c>
      <c r="D30" s="7">
        <v>0.96391483474255535</v>
      </c>
      <c r="E30" s="7">
        <v>0.99984163767102874</v>
      </c>
      <c r="F30" s="7">
        <v>0.8203873611766126</v>
      </c>
      <c r="G30" s="7"/>
      <c r="H30" s="7">
        <v>0.75937018868605655</v>
      </c>
      <c r="I30" s="7"/>
      <c r="J30" s="7">
        <v>0.9967464413239816</v>
      </c>
      <c r="K30" s="7">
        <v>0.93416155963012815</v>
      </c>
      <c r="L30" s="7">
        <v>0.94036209999149456</v>
      </c>
      <c r="M30" s="7">
        <v>0.53410737392688001</v>
      </c>
      <c r="N30">
        <v>3</v>
      </c>
      <c r="O30">
        <v>3</v>
      </c>
      <c r="P30">
        <v>3</v>
      </c>
      <c r="Q30">
        <v>5</v>
      </c>
      <c r="R30">
        <v>3</v>
      </c>
      <c r="T30">
        <v>3</v>
      </c>
      <c r="V30">
        <v>5</v>
      </c>
      <c r="W30">
        <v>3</v>
      </c>
      <c r="X30">
        <v>3</v>
      </c>
      <c r="Y30">
        <v>3</v>
      </c>
    </row>
    <row r="31" spans="1:25" x14ac:dyDescent="0.25">
      <c r="A31" t="s">
        <v>204</v>
      </c>
      <c r="B31" s="7">
        <v>0.99999988286569708</v>
      </c>
      <c r="C31" s="7">
        <v>0.72851622113676484</v>
      </c>
      <c r="D31" s="7">
        <v>0.99999999999520017</v>
      </c>
      <c r="E31" s="7">
        <v>0.82749377314634731</v>
      </c>
      <c r="F31" s="7">
        <v>0.8243693112266357</v>
      </c>
      <c r="G31" s="7"/>
      <c r="H31" s="7">
        <v>0.80800123969161408</v>
      </c>
      <c r="I31" s="7"/>
      <c r="J31" s="7">
        <v>0.80983397228063536</v>
      </c>
      <c r="K31" s="7">
        <v>0.93088613973933365</v>
      </c>
      <c r="L31" s="7">
        <v>0.74647407235934105</v>
      </c>
      <c r="M31" s="7">
        <v>0.18635287725083879</v>
      </c>
      <c r="N31">
        <v>5</v>
      </c>
      <c r="O31">
        <v>3</v>
      </c>
      <c r="P31">
        <v>5</v>
      </c>
      <c r="Q31">
        <v>3</v>
      </c>
      <c r="R31">
        <v>3</v>
      </c>
      <c r="T31">
        <v>3</v>
      </c>
      <c r="V31">
        <v>3</v>
      </c>
      <c r="W31">
        <v>3</v>
      </c>
      <c r="X31">
        <v>3</v>
      </c>
      <c r="Y31">
        <v>1</v>
      </c>
    </row>
    <row r="32" spans="1:25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</row>
    <row r="33" spans="1:25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</row>
    <row r="34" spans="1:25" x14ac:dyDescent="0.25">
      <c r="A34" t="s">
        <v>208</v>
      </c>
      <c r="B34" s="7">
        <v>0.68593665609807264</v>
      </c>
      <c r="C34" s="7">
        <v>0.68195096936848165</v>
      </c>
      <c r="D34" s="7">
        <v>0.69366090224548804</v>
      </c>
      <c r="E34" s="7">
        <v>9.1073483438915234E-2</v>
      </c>
      <c r="F34" s="7">
        <v>0.35338059746499217</v>
      </c>
      <c r="G34" s="7">
        <v>0.98901226957152633</v>
      </c>
      <c r="H34" s="7">
        <v>0.46345185824261531</v>
      </c>
      <c r="I34" s="7">
        <v>1</v>
      </c>
      <c r="J34" s="7">
        <v>0.61549893381003573</v>
      </c>
      <c r="K34" s="7">
        <v>0.47390860853913408</v>
      </c>
      <c r="L34" s="7">
        <v>0.4204445236287036</v>
      </c>
      <c r="M34" s="7">
        <v>2.8814730088839419E-2</v>
      </c>
      <c r="N34">
        <v>3</v>
      </c>
      <c r="O34">
        <v>3</v>
      </c>
      <c r="P34">
        <v>3</v>
      </c>
      <c r="Q34">
        <v>1</v>
      </c>
      <c r="R34">
        <v>3</v>
      </c>
      <c r="S34">
        <v>5</v>
      </c>
      <c r="T34">
        <v>3</v>
      </c>
      <c r="U34">
        <v>5</v>
      </c>
      <c r="V34">
        <v>3</v>
      </c>
      <c r="W34">
        <v>3</v>
      </c>
      <c r="X34">
        <v>3</v>
      </c>
      <c r="Y34">
        <v>1</v>
      </c>
    </row>
    <row r="35" spans="1:25" x14ac:dyDescent="0.25">
      <c r="A35" t="s">
        <v>209</v>
      </c>
      <c r="B35" s="7">
        <v>0.99999988286569708</v>
      </c>
      <c r="C35" s="7">
        <v>0.99999999938154904</v>
      </c>
      <c r="D35" s="7">
        <v>0.99999999999520017</v>
      </c>
      <c r="E35" s="7">
        <v>1</v>
      </c>
      <c r="F35" s="7">
        <v>1</v>
      </c>
      <c r="G35" s="7">
        <v>1</v>
      </c>
      <c r="H35" s="7">
        <v>1</v>
      </c>
      <c r="I35" s="7">
        <v>1</v>
      </c>
      <c r="J35" s="7">
        <v>1</v>
      </c>
      <c r="K35" s="7">
        <v>0.99999996576260597</v>
      </c>
      <c r="L35" s="7">
        <v>1</v>
      </c>
      <c r="M35" s="7">
        <v>1</v>
      </c>
      <c r="N35">
        <v>5</v>
      </c>
      <c r="O35">
        <v>5</v>
      </c>
      <c r="P35">
        <v>5</v>
      </c>
      <c r="Q35">
        <v>5</v>
      </c>
      <c r="R35">
        <v>5</v>
      </c>
      <c r="S35">
        <v>5</v>
      </c>
      <c r="T35">
        <v>5</v>
      </c>
      <c r="U35">
        <v>5</v>
      </c>
      <c r="V35">
        <v>5</v>
      </c>
      <c r="W35">
        <v>5</v>
      </c>
      <c r="X35">
        <v>5</v>
      </c>
      <c r="Y35">
        <v>5</v>
      </c>
    </row>
    <row r="36" spans="1:25" x14ac:dyDescent="0.25">
      <c r="A36" t="s">
        <v>210</v>
      </c>
      <c r="B36" s="7">
        <v>0.90898505549928754</v>
      </c>
      <c r="C36" s="7">
        <v>0.82323280850873337</v>
      </c>
      <c r="D36" s="7">
        <v>0.91786235033967967</v>
      </c>
      <c r="E36" s="7">
        <v>0.89618046467340451</v>
      </c>
      <c r="F36" s="7">
        <v>0.80327757276920064</v>
      </c>
      <c r="G36" s="7">
        <v>0.99633742318947582</v>
      </c>
      <c r="H36" s="7">
        <v>0.79176492954724564</v>
      </c>
      <c r="I36" s="7">
        <v>1</v>
      </c>
      <c r="J36" s="7">
        <v>0.84542222410886725</v>
      </c>
      <c r="K36" s="7">
        <v>0.8917414122004157</v>
      </c>
      <c r="L36" s="7">
        <v>0.82412486422968334</v>
      </c>
      <c r="M36" s="7">
        <v>0.75469364407965256</v>
      </c>
    </row>
    <row r="37" spans="1:25" x14ac:dyDescent="0.25">
      <c r="A37" t="s">
        <v>211</v>
      </c>
      <c r="N37">
        <v>3</v>
      </c>
      <c r="O37">
        <v>3</v>
      </c>
      <c r="P37">
        <v>3</v>
      </c>
      <c r="Q37">
        <f>MEDIAN(Tabelle6[cropland_class])</f>
        <v>4</v>
      </c>
      <c r="R37">
        <v>3</v>
      </c>
      <c r="S37">
        <v>5</v>
      </c>
      <c r="T37">
        <v>3</v>
      </c>
      <c r="U37">
        <v>5</v>
      </c>
      <c r="V37">
        <v>3</v>
      </c>
      <c r="W37">
        <v>3</v>
      </c>
      <c r="X37">
        <v>3</v>
      </c>
      <c r="Y37">
        <v>3</v>
      </c>
    </row>
    <row r="40" spans="1:25" x14ac:dyDescent="0.25">
      <c r="A40" t="s">
        <v>213</v>
      </c>
      <c r="B40" t="s">
        <v>214</v>
      </c>
      <c r="C40" t="s">
        <v>226</v>
      </c>
    </row>
    <row r="41" spans="1:25" x14ac:dyDescent="0.25">
      <c r="A41" t="s">
        <v>215</v>
      </c>
      <c r="B41" s="6">
        <f>B36</f>
        <v>0.90898505549928754</v>
      </c>
      <c r="C41">
        <f>N37</f>
        <v>3</v>
      </c>
    </row>
    <row r="42" spans="1:25" x14ac:dyDescent="0.25">
      <c r="A42" t="s">
        <v>216</v>
      </c>
      <c r="B42" s="6">
        <f>C36</f>
        <v>0.82323280850873337</v>
      </c>
      <c r="C42">
        <f>O37</f>
        <v>3</v>
      </c>
    </row>
    <row r="43" spans="1:25" x14ac:dyDescent="0.25">
      <c r="A43" t="s">
        <v>217</v>
      </c>
      <c r="B43" s="6">
        <f>D36</f>
        <v>0.91786235033967967</v>
      </c>
      <c r="C43">
        <f>P37</f>
        <v>3</v>
      </c>
    </row>
    <row r="44" spans="1:25" x14ac:dyDescent="0.25">
      <c r="A44" t="s">
        <v>218</v>
      </c>
      <c r="B44" s="6">
        <f>E36</f>
        <v>0.89618046467340451</v>
      </c>
      <c r="C44">
        <f>Q37</f>
        <v>4</v>
      </c>
    </row>
    <row r="45" spans="1:25" x14ac:dyDescent="0.25">
      <c r="A45" t="s">
        <v>219</v>
      </c>
      <c r="B45" s="6">
        <f>F36</f>
        <v>0.80327757276920064</v>
      </c>
      <c r="C45">
        <f>R37</f>
        <v>3</v>
      </c>
    </row>
    <row r="46" spans="1:25" x14ac:dyDescent="0.25">
      <c r="A46" t="s">
        <v>220</v>
      </c>
      <c r="B46" s="6">
        <f>G36</f>
        <v>0.99633742318947582</v>
      </c>
      <c r="C46">
        <f>S37</f>
        <v>5</v>
      </c>
    </row>
    <row r="47" spans="1:25" x14ac:dyDescent="0.25">
      <c r="A47" t="s">
        <v>221</v>
      </c>
      <c r="B47" s="6">
        <f>H36</f>
        <v>0.79176492954724564</v>
      </c>
      <c r="C47">
        <f>T37</f>
        <v>3</v>
      </c>
    </row>
    <row r="48" spans="1:25" x14ac:dyDescent="0.25">
      <c r="A48" t="s">
        <v>222</v>
      </c>
      <c r="B48" s="6">
        <f>I36</f>
        <v>1</v>
      </c>
      <c r="C48">
        <f>U37</f>
        <v>5</v>
      </c>
    </row>
    <row r="49" spans="1:3" x14ac:dyDescent="0.25">
      <c r="A49" t="s">
        <v>223</v>
      </c>
      <c r="B49" s="6">
        <f>J36</f>
        <v>0.84542222410886725</v>
      </c>
      <c r="C49">
        <f>V37</f>
        <v>3</v>
      </c>
    </row>
    <row r="50" spans="1:3" x14ac:dyDescent="0.25">
      <c r="A50" t="s">
        <v>224</v>
      </c>
      <c r="B50" s="6">
        <f>K36</f>
        <v>0.8917414122004157</v>
      </c>
      <c r="C50">
        <f>W37</f>
        <v>3</v>
      </c>
    </row>
    <row r="51" spans="1:3" x14ac:dyDescent="0.25">
      <c r="A51" t="s">
        <v>225</v>
      </c>
      <c r="B51" s="6">
        <f>L36</f>
        <v>0.82412486422968334</v>
      </c>
      <c r="C51">
        <f>X37</f>
        <v>3</v>
      </c>
    </row>
    <row r="52" spans="1:3" x14ac:dyDescent="0.25">
      <c r="A52" t="s">
        <v>227</v>
      </c>
      <c r="B52" s="6">
        <f>M36</f>
        <v>0.75469364407965256</v>
      </c>
      <c r="C52">
        <f>Y37</f>
        <v>3</v>
      </c>
    </row>
  </sheetData>
  <conditionalFormatting sqref="B41:B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63C6C-30AB-476C-973B-264FDF43FE1C}">
  <dimension ref="A1:D34"/>
  <sheetViews>
    <sheetView workbookViewId="0">
      <selection sqref="A1:D34"/>
    </sheetView>
  </sheetViews>
  <sheetFormatPr baseColWidth="10" defaultRowHeight="15" x14ac:dyDescent="0.25"/>
  <cols>
    <col min="1" max="1" width="17.5703125" customWidth="1"/>
    <col min="2" max="2" width="27.140625" customWidth="1"/>
    <col min="3" max="3" width="32.140625" customWidth="1"/>
    <col min="4" max="4" width="14.42578125" customWidth="1"/>
  </cols>
  <sheetData>
    <row r="1" spans="1:4" x14ac:dyDescent="0.25">
      <c r="A1" s="1" t="s">
        <v>8</v>
      </c>
      <c r="B1" s="1" t="s">
        <v>35</v>
      </c>
      <c r="C1" s="1" t="s">
        <v>45</v>
      </c>
      <c r="D1" s="2" t="s">
        <v>212</v>
      </c>
    </row>
    <row r="2" spans="1:4" x14ac:dyDescent="0.25">
      <c r="A2" t="s">
        <v>86</v>
      </c>
      <c r="B2" s="6">
        <v>93.946455790018319</v>
      </c>
      <c r="C2" s="6">
        <v>94.672462398129554</v>
      </c>
      <c r="D2" s="6">
        <f>Tabelle8[[#This Row],[osm_acc_agg_2021_no_nan]]-Tabelle8[[#This Row],[osm_acc_agg_2020_no_nan]]</f>
        <v>0.72600660811123419</v>
      </c>
    </row>
    <row r="3" spans="1:4" x14ac:dyDescent="0.25">
      <c r="A3" t="s">
        <v>90</v>
      </c>
      <c r="B3" s="6">
        <v>88.47179181419132</v>
      </c>
      <c r="C3" s="6">
        <v>89.222104379958282</v>
      </c>
      <c r="D3" s="6">
        <f>Tabelle8[[#This Row],[osm_acc_agg_2021_no_nan]]-Tabelle8[[#This Row],[osm_acc_agg_2020_no_nan]]</f>
        <v>0.75031256576696137</v>
      </c>
    </row>
    <row r="4" spans="1:4" x14ac:dyDescent="0.25">
      <c r="A4" t="s">
        <v>94</v>
      </c>
      <c r="B4" s="6">
        <v>86.217840155052443</v>
      </c>
      <c r="C4" s="6">
        <v>87.904053672138062</v>
      </c>
      <c r="D4" s="6">
        <f>Tabelle8[[#This Row],[osm_acc_agg_2021_no_nan]]-Tabelle8[[#This Row],[osm_acc_agg_2020_no_nan]]</f>
        <v>1.6862135170856192</v>
      </c>
    </row>
    <row r="5" spans="1:4" x14ac:dyDescent="0.25">
      <c r="A5" t="s">
        <v>98</v>
      </c>
      <c r="B5" s="6">
        <v>90.314026030996359</v>
      </c>
      <c r="C5" s="6">
        <v>91.778984030042039</v>
      </c>
      <c r="D5" s="6">
        <f>Tabelle8[[#This Row],[osm_acc_agg_2021_no_nan]]-Tabelle8[[#This Row],[osm_acc_agg_2020_no_nan]]</f>
        <v>1.46495799904568</v>
      </c>
    </row>
    <row r="6" spans="1:4" x14ac:dyDescent="0.25">
      <c r="A6" t="s">
        <v>102</v>
      </c>
      <c r="B6" s="6">
        <v>93.761866991451299</v>
      </c>
      <c r="C6" s="6">
        <v>94.399412053085385</v>
      </c>
      <c r="D6" s="6">
        <f>Tabelle8[[#This Row],[osm_acc_agg_2021_no_nan]]-Tabelle8[[#This Row],[osm_acc_agg_2020_no_nan]]</f>
        <v>0.63754506163408564</v>
      </c>
    </row>
    <row r="7" spans="1:4" x14ac:dyDescent="0.25">
      <c r="A7" t="s">
        <v>106</v>
      </c>
      <c r="B7" s="6">
        <v>94.615766461830702</v>
      </c>
      <c r="C7" s="6">
        <v>95.400495835764431</v>
      </c>
      <c r="D7" s="6">
        <f>Tabelle8[[#This Row],[osm_acc_agg_2021_no_nan]]-Tabelle8[[#This Row],[osm_acc_agg_2020_no_nan]]</f>
        <v>0.78472937393372888</v>
      </c>
    </row>
    <row r="8" spans="1:4" x14ac:dyDescent="0.25">
      <c r="A8" t="s">
        <v>110</v>
      </c>
      <c r="B8" s="6">
        <v>74.790443574690144</v>
      </c>
      <c r="C8" s="6">
        <v>82.695564136794104</v>
      </c>
      <c r="D8" s="6">
        <f>Tabelle8[[#This Row],[osm_acc_agg_2021_no_nan]]-Tabelle8[[#This Row],[osm_acc_agg_2020_no_nan]]</f>
        <v>7.90512056210396</v>
      </c>
    </row>
    <row r="9" spans="1:4" x14ac:dyDescent="0.25">
      <c r="A9" t="s">
        <v>114</v>
      </c>
      <c r="B9" s="6">
        <v>94.081190438059437</v>
      </c>
      <c r="C9" s="6">
        <v>94.557103210566382</v>
      </c>
      <c r="D9" s="6">
        <f>Tabelle8[[#This Row],[osm_acc_agg_2021_no_nan]]-Tabelle8[[#This Row],[osm_acc_agg_2020_no_nan]]</f>
        <v>0.47591277250694475</v>
      </c>
    </row>
    <row r="10" spans="1:4" x14ac:dyDescent="0.25">
      <c r="A10" t="s">
        <v>118</v>
      </c>
      <c r="B10" s="6">
        <v>93.303276273708562</v>
      </c>
      <c r="C10" s="6">
        <v>93.848945786628718</v>
      </c>
      <c r="D10" s="6">
        <f>Tabelle8[[#This Row],[osm_acc_agg_2021_no_nan]]-Tabelle8[[#This Row],[osm_acc_agg_2020_no_nan]]</f>
        <v>0.54566951292015631</v>
      </c>
    </row>
    <row r="11" spans="1:4" x14ac:dyDescent="0.25">
      <c r="A11" t="s">
        <v>122</v>
      </c>
      <c r="B11" s="6">
        <v>88.687667935033744</v>
      </c>
      <c r="C11" s="6">
        <v>89.78456865570729</v>
      </c>
      <c r="D11" s="6">
        <f>Tabelle8[[#This Row],[osm_acc_agg_2021_no_nan]]-Tabelle8[[#This Row],[osm_acc_agg_2020_no_nan]]</f>
        <v>1.0969007206735455</v>
      </c>
    </row>
    <row r="12" spans="1:4" x14ac:dyDescent="0.25">
      <c r="A12" t="s">
        <v>126</v>
      </c>
      <c r="B12" s="6">
        <v>91.75388218773827</v>
      </c>
      <c r="C12" s="6">
        <v>92.945663317613295</v>
      </c>
      <c r="D12" s="6">
        <f>Tabelle8[[#This Row],[osm_acc_agg_2021_no_nan]]-Tabelle8[[#This Row],[osm_acc_agg_2020_no_nan]]</f>
        <v>1.1917811298750252</v>
      </c>
    </row>
    <row r="13" spans="1:4" x14ac:dyDescent="0.25">
      <c r="A13" t="s">
        <v>130</v>
      </c>
      <c r="B13" s="6">
        <v>87.319830712410237</v>
      </c>
      <c r="C13" s="6">
        <v>88.963897277985041</v>
      </c>
      <c r="D13" s="6">
        <f>Tabelle8[[#This Row],[osm_acc_agg_2021_no_nan]]-Tabelle8[[#This Row],[osm_acc_agg_2020_no_nan]]</f>
        <v>1.6440665655748035</v>
      </c>
    </row>
    <row r="14" spans="1:4" x14ac:dyDescent="0.25">
      <c r="A14" t="s">
        <v>134</v>
      </c>
      <c r="B14" s="6">
        <v>81.504742505079605</v>
      </c>
      <c r="C14" s="6">
        <v>82.849260090261495</v>
      </c>
      <c r="D14" s="6">
        <f>Tabelle8[[#This Row],[osm_acc_agg_2021_no_nan]]-Tabelle8[[#This Row],[osm_acc_agg_2020_no_nan]]</f>
        <v>1.3445175851818902</v>
      </c>
    </row>
    <row r="15" spans="1:4" x14ac:dyDescent="0.25">
      <c r="A15" t="s">
        <v>138</v>
      </c>
      <c r="B15" s="6">
        <v>81.17580414757893</v>
      </c>
      <c r="C15" s="6">
        <v>84.194244865374841</v>
      </c>
      <c r="D15" s="6">
        <f>Tabelle8[[#This Row],[osm_acc_agg_2021_no_nan]]-Tabelle8[[#This Row],[osm_acc_agg_2020_no_nan]]</f>
        <v>3.0184407177959116</v>
      </c>
    </row>
    <row r="16" spans="1:4" x14ac:dyDescent="0.25">
      <c r="A16" t="s">
        <v>142</v>
      </c>
      <c r="B16" s="6">
        <v>87.732303040318058</v>
      </c>
      <c r="C16" s="6">
        <v>89.295029500235657</v>
      </c>
      <c r="D16" s="6">
        <f>Tabelle8[[#This Row],[osm_acc_agg_2021_no_nan]]-Tabelle8[[#This Row],[osm_acc_agg_2020_no_nan]]</f>
        <v>1.5627264599175987</v>
      </c>
    </row>
    <row r="17" spans="1:4" x14ac:dyDescent="0.25">
      <c r="A17" t="s">
        <v>146</v>
      </c>
      <c r="B17" s="6">
        <v>82.802393668644157</v>
      </c>
      <c r="C17" s="6">
        <v>85.282980334760069</v>
      </c>
      <c r="D17" s="6">
        <f>Tabelle8[[#This Row],[osm_acc_agg_2021_no_nan]]-Tabelle8[[#This Row],[osm_acc_agg_2020_no_nan]]</f>
        <v>2.4805866661159115</v>
      </c>
    </row>
    <row r="18" spans="1:4" x14ac:dyDescent="0.25">
      <c r="A18" t="s">
        <v>150</v>
      </c>
      <c r="B18" s="6">
        <v>91.830114043215843</v>
      </c>
      <c r="C18" s="6">
        <v>93.070674124328562</v>
      </c>
      <c r="D18" s="6">
        <f>Tabelle8[[#This Row],[osm_acc_agg_2021_no_nan]]-Tabelle8[[#This Row],[osm_acc_agg_2020_no_nan]]</f>
        <v>1.2405600811127186</v>
      </c>
    </row>
    <row r="19" spans="1:4" x14ac:dyDescent="0.25">
      <c r="A19" t="s">
        <v>154</v>
      </c>
      <c r="B19" s="6">
        <v>68.740162563610539</v>
      </c>
      <c r="C19" s="6">
        <v>70.428524124764564</v>
      </c>
      <c r="D19" s="6">
        <f>Tabelle8[[#This Row],[osm_acc_agg_2021_no_nan]]-Tabelle8[[#This Row],[osm_acc_agg_2020_no_nan]]</f>
        <v>1.688361561154025</v>
      </c>
    </row>
    <row r="20" spans="1:4" x14ac:dyDescent="0.25">
      <c r="A20" t="s">
        <v>158</v>
      </c>
      <c r="B20" s="6">
        <v>81.368771487686871</v>
      </c>
      <c r="C20" s="6">
        <v>83.882170826917232</v>
      </c>
      <c r="D20" s="6">
        <f>Tabelle8[[#This Row],[osm_acc_agg_2021_no_nan]]-Tabelle8[[#This Row],[osm_acc_agg_2020_no_nan]]</f>
        <v>2.5133993392303609</v>
      </c>
    </row>
    <row r="21" spans="1:4" x14ac:dyDescent="0.25">
      <c r="A21" t="s">
        <v>162</v>
      </c>
      <c r="B21" s="6">
        <v>81.713549137018276</v>
      </c>
      <c r="C21" s="6">
        <v>82.621990899931745</v>
      </c>
      <c r="D21" s="6">
        <f>Tabelle8[[#This Row],[osm_acc_agg_2021_no_nan]]-Tabelle8[[#This Row],[osm_acc_agg_2020_no_nan]]</f>
        <v>0.90844176291346912</v>
      </c>
    </row>
    <row r="22" spans="1:4" x14ac:dyDescent="0.25">
      <c r="A22" t="s">
        <v>166</v>
      </c>
      <c r="B22" s="6">
        <v>75.927449647622794</v>
      </c>
      <c r="C22" s="6">
        <v>78.808110404914345</v>
      </c>
      <c r="D22" s="6">
        <f>Tabelle8[[#This Row],[osm_acc_agg_2021_no_nan]]-Tabelle8[[#This Row],[osm_acc_agg_2020_no_nan]]</f>
        <v>2.880660757291551</v>
      </c>
    </row>
    <row r="23" spans="1:4" x14ac:dyDescent="0.25">
      <c r="A23" t="s">
        <v>170</v>
      </c>
      <c r="B23" s="6">
        <v>85.242010230866654</v>
      </c>
      <c r="C23" s="6">
        <v>88.170169680888208</v>
      </c>
      <c r="D23" s="6">
        <f>Tabelle8[[#This Row],[osm_acc_agg_2021_no_nan]]-Tabelle8[[#This Row],[osm_acc_agg_2020_no_nan]]</f>
        <v>2.9281594500215533</v>
      </c>
    </row>
    <row r="24" spans="1:4" x14ac:dyDescent="0.25">
      <c r="A24" t="s">
        <v>174</v>
      </c>
      <c r="B24" s="6">
        <v>84.131425804352034</v>
      </c>
      <c r="C24" s="6">
        <v>86.374539623188113</v>
      </c>
      <c r="D24" s="6">
        <f>Tabelle8[[#This Row],[osm_acc_agg_2021_no_nan]]-Tabelle8[[#This Row],[osm_acc_agg_2020_no_nan]]</f>
        <v>2.2431138188360791</v>
      </c>
    </row>
    <row r="25" spans="1:4" x14ac:dyDescent="0.25">
      <c r="A25" t="s">
        <v>179</v>
      </c>
      <c r="B25" s="6">
        <v>74.205629143908638</v>
      </c>
      <c r="C25" s="6">
        <v>78.127611760169529</v>
      </c>
      <c r="D25" s="6">
        <f>Tabelle8[[#This Row],[osm_acc_agg_2021_no_nan]]-Tabelle8[[#This Row],[osm_acc_agg_2020_no_nan]]</f>
        <v>3.9219826162608911</v>
      </c>
    </row>
    <row r="26" spans="1:4" x14ac:dyDescent="0.25">
      <c r="A26" t="s">
        <v>183</v>
      </c>
      <c r="B26" s="6">
        <v>82.22380058820869</v>
      </c>
      <c r="C26" s="6">
        <v>85.076191197107249</v>
      </c>
      <c r="D26" s="6">
        <f>Tabelle8[[#This Row],[osm_acc_agg_2021_no_nan]]-Tabelle8[[#This Row],[osm_acc_agg_2020_no_nan]]</f>
        <v>2.8523906088985598</v>
      </c>
    </row>
    <row r="27" spans="1:4" x14ac:dyDescent="0.25">
      <c r="A27" t="s">
        <v>187</v>
      </c>
      <c r="B27" s="6">
        <v>85.374783736077305</v>
      </c>
      <c r="C27" s="6">
        <v>86.700661627490533</v>
      </c>
      <c r="D27" s="6">
        <f>Tabelle8[[#This Row],[osm_acc_agg_2021_no_nan]]-Tabelle8[[#This Row],[osm_acc_agg_2020_no_nan]]</f>
        <v>1.3258778914132279</v>
      </c>
    </row>
    <row r="28" spans="1:4" x14ac:dyDescent="0.25">
      <c r="A28" t="s">
        <v>192</v>
      </c>
      <c r="B28" s="6">
        <v>80.359302372499798</v>
      </c>
      <c r="C28" s="6">
        <v>82.348915908935112</v>
      </c>
      <c r="D28" s="6">
        <f>Tabelle8[[#This Row],[osm_acc_agg_2021_no_nan]]-Tabelle8[[#This Row],[osm_acc_agg_2020_no_nan]]</f>
        <v>1.9896135364353142</v>
      </c>
    </row>
    <row r="29" spans="1:4" x14ac:dyDescent="0.25">
      <c r="A29" t="s">
        <v>195</v>
      </c>
      <c r="B29" s="6">
        <v>88.113220886657402</v>
      </c>
      <c r="C29" s="6">
        <v>89.513824140050261</v>
      </c>
      <c r="D29" s="6">
        <f>Tabelle8[[#This Row],[osm_acc_agg_2021_no_nan]]-Tabelle8[[#This Row],[osm_acc_agg_2020_no_nan]]</f>
        <v>1.400603253392859</v>
      </c>
    </row>
    <row r="30" spans="1:4" x14ac:dyDescent="0.25">
      <c r="A30" t="s">
        <v>200</v>
      </c>
      <c r="B30" s="6">
        <v>75.470606108075657</v>
      </c>
      <c r="C30" s="6">
        <v>78.689234018341907</v>
      </c>
      <c r="D30" s="6">
        <f>Tabelle8[[#This Row],[osm_acc_agg_2021_no_nan]]-Tabelle8[[#This Row],[osm_acc_agg_2020_no_nan]]</f>
        <v>3.2186279102662496</v>
      </c>
    </row>
    <row r="31" spans="1:4" x14ac:dyDescent="0.25">
      <c r="A31" t="s">
        <v>204</v>
      </c>
      <c r="B31" s="6">
        <v>69.20246848874433</v>
      </c>
      <c r="C31" s="6">
        <v>75.735493474028971</v>
      </c>
      <c r="D31" s="6">
        <f>Tabelle8[[#This Row],[osm_acc_agg_2021_no_nan]]-Tabelle8[[#This Row],[osm_acc_agg_2020_no_nan]]</f>
        <v>6.5330249852846407</v>
      </c>
    </row>
    <row r="32" spans="1:4" x14ac:dyDescent="0.25">
      <c r="A32" t="s">
        <v>208</v>
      </c>
      <c r="B32" s="6">
        <v>68.740162563610539</v>
      </c>
      <c r="C32" s="6">
        <v>70.428524124764564</v>
      </c>
      <c r="D32" s="6">
        <f>MIN(Tabelle8[change])</f>
        <v>0.47591277250694475</v>
      </c>
    </row>
    <row r="33" spans="1:4" x14ac:dyDescent="0.25">
      <c r="A33" t="s">
        <v>209</v>
      </c>
      <c r="B33" s="6">
        <v>94.615766461830702</v>
      </c>
      <c r="C33" s="6">
        <v>95.400495835764431</v>
      </c>
      <c r="D33" s="6">
        <f>MAX(Tabelle8[change])</f>
        <v>7.90512056210396</v>
      </c>
    </row>
    <row r="34" spans="1:4" x14ac:dyDescent="0.25">
      <c r="A34" t="s">
        <v>210</v>
      </c>
      <c r="B34" s="6">
        <v>84.47941919884488</v>
      </c>
      <c r="C34" s="6">
        <v>86.578096045203367</v>
      </c>
      <c r="D34" s="6">
        <f>AVERAGE(Tabelle8[change])</f>
        <v>2.0986768463584853</v>
      </c>
    </row>
  </sheetData>
  <conditionalFormatting sqref="B2:B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5">
    <cfRule type="expression" dxfId="3" priority="2">
      <formula>C2&lt;B2</formula>
    </cfRule>
    <cfRule type="expression" dxfId="2" priority="3">
      <formula>C2&gt;B2</formula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455F0-A522-404B-A212-9F30D942E5F5}">
  <dimension ref="A1:G34"/>
  <sheetViews>
    <sheetView workbookViewId="0">
      <selection activeCell="K14" sqref="K14"/>
    </sheetView>
  </sheetViews>
  <sheetFormatPr baseColWidth="10" defaultRowHeight="15" x14ac:dyDescent="0.25"/>
  <cols>
    <col min="1" max="1" width="17.5703125" customWidth="1"/>
    <col min="2" max="2" width="31.7109375" customWidth="1"/>
    <col min="3" max="3" width="28.42578125" customWidth="1"/>
    <col min="4" max="4" width="20.140625" customWidth="1"/>
    <col min="5" max="6" width="29" customWidth="1"/>
    <col min="7" max="7" width="18.85546875" customWidth="1"/>
  </cols>
  <sheetData>
    <row r="1" spans="1:7" x14ac:dyDescent="0.25">
      <c r="A1" s="2" t="s">
        <v>231</v>
      </c>
      <c r="B1" s="2" t="s">
        <v>234</v>
      </c>
      <c r="C1" s="2" t="s">
        <v>235</v>
      </c>
      <c r="D1" s="2" t="s">
        <v>232</v>
      </c>
      <c r="E1" s="2" t="s">
        <v>236</v>
      </c>
      <c r="F1" s="2" t="s">
        <v>237</v>
      </c>
      <c r="G1" s="2" t="s">
        <v>233</v>
      </c>
    </row>
    <row r="2" spans="1:7" x14ac:dyDescent="0.25">
      <c r="A2" t="s">
        <v>86</v>
      </c>
      <c r="B2" s="6">
        <v>0.3632355579859361</v>
      </c>
      <c r="C2" s="6">
        <v>0.41980350277659118</v>
      </c>
      <c r="D2" s="6">
        <f>Tabelle9[[#This Row],[OSM Built-up Precision 2021]]-Tabelle9[[#This Row],[OSM Built-up Precision 2020]]</f>
        <v>5.6567944790655078E-2</v>
      </c>
      <c r="E2" s="6">
        <v>0.95691712060505107</v>
      </c>
      <c r="F2" s="6">
        <v>0.96079619889329915</v>
      </c>
      <c r="G2" s="6">
        <f>Tabelle9[[#This Row],[OSM Built-up Recall 2021]]-Tabelle9[[#This Row],[OSM Built-up Recall 2020]]</f>
        <v>3.8790782882480723E-3</v>
      </c>
    </row>
    <row r="3" spans="1:7" x14ac:dyDescent="0.25">
      <c r="A3" t="s">
        <v>90</v>
      </c>
      <c r="B3" s="6">
        <v>0.36356659899044458</v>
      </c>
      <c r="C3" s="6">
        <v>0.4378253990017083</v>
      </c>
      <c r="D3" s="6">
        <f>Tabelle9[[#This Row],[OSM Built-up Precision 2021]]-Tabelle9[[#This Row],[OSM Built-up Precision 2020]]</f>
        <v>7.4258800011263726E-2</v>
      </c>
      <c r="E3" s="6">
        <v>0.98639579543157474</v>
      </c>
      <c r="F3" s="6">
        <v>0.98994570681681082</v>
      </c>
      <c r="G3" s="6">
        <f>Tabelle9[[#This Row],[OSM Built-up Recall 2021]]-Tabelle9[[#This Row],[OSM Built-up Recall 2020]]</f>
        <v>3.549911385236082E-3</v>
      </c>
    </row>
    <row r="4" spans="1:7" x14ac:dyDescent="0.25">
      <c r="A4" t="s">
        <v>94</v>
      </c>
      <c r="B4" s="6">
        <v>0.4633041389734352</v>
      </c>
      <c r="C4" s="6">
        <v>0.52872283171186085</v>
      </c>
      <c r="D4" s="6">
        <f>Tabelle9[[#This Row],[OSM Built-up Precision 2021]]-Tabelle9[[#This Row],[OSM Built-up Precision 2020]]</f>
        <v>6.5418692738425654E-2</v>
      </c>
      <c r="E4" s="6">
        <v>0.98291251559397674</v>
      </c>
      <c r="F4" s="6">
        <v>0.97937915062652414</v>
      </c>
      <c r="G4" s="6">
        <f>Tabelle9[[#This Row],[OSM Built-up Recall 2021]]-Tabelle9[[#This Row],[OSM Built-up Recall 2020]]</f>
        <v>-3.5333649674526013E-3</v>
      </c>
    </row>
    <row r="5" spans="1:7" x14ac:dyDescent="0.25">
      <c r="A5" t="s">
        <v>98</v>
      </c>
      <c r="B5" s="6">
        <v>0.46286336446636578</v>
      </c>
      <c r="C5" s="6">
        <v>0.53091576524098172</v>
      </c>
      <c r="D5" s="6">
        <f>Tabelle9[[#This Row],[OSM Built-up Precision 2021]]-Tabelle9[[#This Row],[OSM Built-up Precision 2020]]</f>
        <v>6.805240077461594E-2</v>
      </c>
      <c r="E5" s="6">
        <v>0.89405504703385807</v>
      </c>
      <c r="F5" s="6">
        <v>0.90533391615249692</v>
      </c>
      <c r="G5" s="6">
        <f>Tabelle9[[#This Row],[OSM Built-up Recall 2021]]-Tabelle9[[#This Row],[OSM Built-up Recall 2020]]</f>
        <v>1.1278869118638846E-2</v>
      </c>
    </row>
    <row r="6" spans="1:7" x14ac:dyDescent="0.25">
      <c r="A6" t="s">
        <v>102</v>
      </c>
      <c r="B6" s="6">
        <v>0.23983977545172799</v>
      </c>
      <c r="C6" s="6">
        <v>0.28086161407012539</v>
      </c>
      <c r="D6" s="6">
        <f>Tabelle9[[#This Row],[OSM Built-up Precision 2021]]-Tabelle9[[#This Row],[OSM Built-up Precision 2020]]</f>
        <v>4.1021838618397394E-2</v>
      </c>
      <c r="E6" s="6">
        <v>0.61429204395823844</v>
      </c>
      <c r="F6" s="6">
        <v>0.68652260789451647</v>
      </c>
      <c r="G6" s="6">
        <f>Tabelle9[[#This Row],[OSM Built-up Recall 2021]]-Tabelle9[[#This Row],[OSM Built-up Recall 2020]]</f>
        <v>7.2230563936278025E-2</v>
      </c>
    </row>
    <row r="7" spans="1:7" x14ac:dyDescent="0.25">
      <c r="A7" t="s">
        <v>106</v>
      </c>
      <c r="B7" s="6">
        <v>0.40644925632333428</v>
      </c>
      <c r="C7" s="6">
        <v>0.45578122756354011</v>
      </c>
      <c r="D7" s="6">
        <f>Tabelle9[[#This Row],[OSM Built-up Precision 2021]]-Tabelle9[[#This Row],[OSM Built-up Precision 2020]]</f>
        <v>4.933197124020583E-2</v>
      </c>
      <c r="E7" s="6">
        <v>0.95733023410260665</v>
      </c>
      <c r="F7" s="6">
        <v>0.94814367362111429</v>
      </c>
      <c r="G7" s="6">
        <f>Tabelle9[[#This Row],[OSM Built-up Recall 2021]]-Tabelle9[[#This Row],[OSM Built-up Recall 2020]]</f>
        <v>-9.1865604814923563E-3</v>
      </c>
    </row>
    <row r="8" spans="1:7" x14ac:dyDescent="0.25">
      <c r="A8" t="s">
        <v>110</v>
      </c>
      <c r="B8" s="6">
        <v>0.36727709384699692</v>
      </c>
      <c r="C8" s="6">
        <v>0.45204373288561089</v>
      </c>
      <c r="D8" s="6">
        <f>Tabelle9[[#This Row],[OSM Built-up Precision 2021]]-Tabelle9[[#This Row],[OSM Built-up Precision 2020]]</f>
        <v>8.4766639038613978E-2</v>
      </c>
      <c r="E8" s="6">
        <v>0.99052984831751423</v>
      </c>
      <c r="F8" s="6">
        <v>0.97875121174352586</v>
      </c>
      <c r="G8" s="6">
        <f>Tabelle9[[#This Row],[OSM Built-up Recall 2021]]-Tabelle9[[#This Row],[OSM Built-up Recall 2020]]</f>
        <v>-1.1778636573988366E-2</v>
      </c>
    </row>
    <row r="9" spans="1:7" x14ac:dyDescent="0.25">
      <c r="A9" t="s">
        <v>114</v>
      </c>
      <c r="B9" s="6">
        <v>0.18660066884159501</v>
      </c>
      <c r="C9" s="6">
        <v>0.2459842995169082</v>
      </c>
      <c r="D9" s="6">
        <f>Tabelle9[[#This Row],[OSM Built-up Precision 2021]]-Tabelle9[[#This Row],[OSM Built-up Precision 2020]]</f>
        <v>5.9383630675313187E-2</v>
      </c>
      <c r="E9" s="6">
        <v>0.94275085253694324</v>
      </c>
      <c r="F9" s="6">
        <v>0.95123375107028874</v>
      </c>
      <c r="G9" s="6">
        <f>Tabelle9[[#This Row],[OSM Built-up Recall 2021]]-Tabelle9[[#This Row],[OSM Built-up Recall 2020]]</f>
        <v>8.4828985333454954E-3</v>
      </c>
    </row>
    <row r="10" spans="1:7" x14ac:dyDescent="0.25">
      <c r="A10" t="s">
        <v>118</v>
      </c>
      <c r="B10" s="6">
        <v>0.28842834411915191</v>
      </c>
      <c r="C10" s="6">
        <v>0.33329392278134401</v>
      </c>
      <c r="D10" s="6">
        <f>Tabelle9[[#This Row],[OSM Built-up Precision 2021]]-Tabelle9[[#This Row],[OSM Built-up Precision 2020]]</f>
        <v>4.4865578662192096E-2</v>
      </c>
      <c r="E10" s="6">
        <v>0.93220739383895213</v>
      </c>
      <c r="F10" s="6">
        <v>0.94553296247777086</v>
      </c>
      <c r="G10" s="6">
        <f>Tabelle9[[#This Row],[OSM Built-up Recall 2021]]-Tabelle9[[#This Row],[OSM Built-up Recall 2020]]</f>
        <v>1.332556863881873E-2</v>
      </c>
    </row>
    <row r="11" spans="1:7" x14ac:dyDescent="0.25">
      <c r="A11" t="s">
        <v>122</v>
      </c>
      <c r="B11" s="6">
        <v>0.35413143047616702</v>
      </c>
      <c r="C11" s="6">
        <v>0.38082914086687308</v>
      </c>
      <c r="D11" s="6">
        <f>Tabelle9[[#This Row],[OSM Built-up Precision 2021]]-Tabelle9[[#This Row],[OSM Built-up Precision 2020]]</f>
        <v>2.6697710390706064E-2</v>
      </c>
      <c r="E11" s="6">
        <v>0.97248826131913957</v>
      </c>
      <c r="F11" s="6">
        <v>0.97431930693069302</v>
      </c>
      <c r="G11" s="6">
        <f>Tabelle9[[#This Row],[OSM Built-up Recall 2021]]-Tabelle9[[#This Row],[OSM Built-up Recall 2020]]</f>
        <v>1.8310456115534501E-3</v>
      </c>
    </row>
    <row r="12" spans="1:7" x14ac:dyDescent="0.25">
      <c r="A12" t="s">
        <v>126</v>
      </c>
      <c r="B12" s="6">
        <v>0.44004752228995259</v>
      </c>
      <c r="C12" s="6">
        <v>0.52858992633537538</v>
      </c>
      <c r="D12" s="6">
        <f>Tabelle9[[#This Row],[OSM Built-up Precision 2021]]-Tabelle9[[#This Row],[OSM Built-up Precision 2020]]</f>
        <v>8.8542404045422796E-2</v>
      </c>
      <c r="E12" s="6">
        <v>0.9362184635736559</v>
      </c>
      <c r="F12" s="6">
        <v>0.95462584499292569</v>
      </c>
      <c r="G12" s="6">
        <f>Tabelle9[[#This Row],[OSM Built-up Recall 2021]]-Tabelle9[[#This Row],[OSM Built-up Recall 2020]]</f>
        <v>1.8407381419269786E-2</v>
      </c>
    </row>
    <row r="13" spans="1:7" x14ac:dyDescent="0.25">
      <c r="A13" t="s">
        <v>130</v>
      </c>
      <c r="B13" s="6">
        <v>0.54938434050333107</v>
      </c>
      <c r="C13" s="6">
        <v>0.62265849401481521</v>
      </c>
      <c r="D13" s="6">
        <f>Tabelle9[[#This Row],[OSM Built-up Precision 2021]]-Tabelle9[[#This Row],[OSM Built-up Precision 2020]]</f>
        <v>7.3274153511484141E-2</v>
      </c>
      <c r="E13" s="6">
        <v>0.98893016529955868</v>
      </c>
      <c r="F13" s="6">
        <v>0.98581328807511126</v>
      </c>
      <c r="G13" s="6">
        <f>Tabelle9[[#This Row],[OSM Built-up Recall 2021]]-Tabelle9[[#This Row],[OSM Built-up Recall 2020]]</f>
        <v>-3.116877224447423E-3</v>
      </c>
    </row>
    <row r="14" spans="1:7" x14ac:dyDescent="0.25">
      <c r="A14" t="s">
        <v>134</v>
      </c>
      <c r="B14" s="6">
        <v>0.4630962074783771</v>
      </c>
      <c r="C14" s="6">
        <v>0.50547315473482979</v>
      </c>
      <c r="D14" s="6">
        <f>Tabelle9[[#This Row],[OSM Built-up Precision 2021]]-Tabelle9[[#This Row],[OSM Built-up Precision 2020]]</f>
        <v>4.2376947256452691E-2</v>
      </c>
      <c r="E14" s="6">
        <v>0.98468724792348017</v>
      </c>
      <c r="F14" s="6">
        <v>0.98418635510093522</v>
      </c>
      <c r="G14" s="6">
        <f>Tabelle9[[#This Row],[OSM Built-up Recall 2021]]-Tabelle9[[#This Row],[OSM Built-up Recall 2020]]</f>
        <v>-5.008928225449516E-4</v>
      </c>
    </row>
    <row r="15" spans="1:7" x14ac:dyDescent="0.25">
      <c r="A15" t="s">
        <v>138</v>
      </c>
      <c r="B15" s="6">
        <v>0.31468275075006841</v>
      </c>
      <c r="C15" s="6">
        <v>0.42872325058296712</v>
      </c>
      <c r="D15" s="6">
        <f>Tabelle9[[#This Row],[OSM Built-up Precision 2021]]-Tabelle9[[#This Row],[OSM Built-up Precision 2020]]</f>
        <v>0.11404049983289871</v>
      </c>
      <c r="E15" s="6">
        <v>0.98057768122938294</v>
      </c>
      <c r="F15" s="6">
        <v>0.98008043306482995</v>
      </c>
      <c r="G15" s="6">
        <f>Tabelle9[[#This Row],[OSM Built-up Recall 2021]]-Tabelle9[[#This Row],[OSM Built-up Recall 2020]]</f>
        <v>-4.9724816455298804E-4</v>
      </c>
    </row>
    <row r="16" spans="1:7" x14ac:dyDescent="0.25">
      <c r="A16" t="s">
        <v>142</v>
      </c>
      <c r="B16" s="6">
        <v>0.26477715899789761</v>
      </c>
      <c r="C16" s="6">
        <v>0.34251015401938312</v>
      </c>
      <c r="D16" s="6">
        <f>Tabelle9[[#This Row],[OSM Built-up Precision 2021]]-Tabelle9[[#This Row],[OSM Built-up Precision 2020]]</f>
        <v>7.7732995021485507E-2</v>
      </c>
      <c r="E16" s="6">
        <v>0.96938715553205246</v>
      </c>
      <c r="F16" s="6">
        <v>0.97266062170248724</v>
      </c>
      <c r="G16" s="6">
        <f>Tabelle9[[#This Row],[OSM Built-up Recall 2021]]-Tabelle9[[#This Row],[OSM Built-up Recall 2020]]</f>
        <v>3.2734661704347801E-3</v>
      </c>
    </row>
    <row r="17" spans="1:7" x14ac:dyDescent="0.25">
      <c r="A17" t="s">
        <v>146</v>
      </c>
      <c r="B17" s="6">
        <v>0.42475263075231662</v>
      </c>
      <c r="C17" s="6">
        <v>0.51180794200253654</v>
      </c>
      <c r="D17" s="6">
        <f>Tabelle9[[#This Row],[OSM Built-up Precision 2021]]-Tabelle9[[#This Row],[OSM Built-up Precision 2020]]</f>
        <v>8.7055311250219924E-2</v>
      </c>
      <c r="E17" s="6">
        <v>0.97997816150820871</v>
      </c>
      <c r="F17" s="6">
        <v>0.97165481975341994</v>
      </c>
      <c r="G17" s="6">
        <f>Tabelle9[[#This Row],[OSM Built-up Recall 2021]]-Tabelle9[[#This Row],[OSM Built-up Recall 2020]]</f>
        <v>-8.3233417547887711E-3</v>
      </c>
    </row>
    <row r="18" spans="1:7" x14ac:dyDescent="0.25">
      <c r="A18" t="s">
        <v>150</v>
      </c>
      <c r="B18" s="6">
        <v>0.29794584288535308</v>
      </c>
      <c r="C18" s="6">
        <v>0.37297861968103629</v>
      </c>
      <c r="D18" s="6">
        <f>Tabelle9[[#This Row],[OSM Built-up Precision 2021]]-Tabelle9[[#This Row],[OSM Built-up Precision 2020]]</f>
        <v>7.5032776795683209E-2</v>
      </c>
      <c r="E18" s="6">
        <v>0.98929804199388027</v>
      </c>
      <c r="F18" s="6">
        <v>0.97609992588182404</v>
      </c>
      <c r="G18" s="6">
        <f>Tabelle9[[#This Row],[OSM Built-up Recall 2021]]-Tabelle9[[#This Row],[OSM Built-up Recall 2020]]</f>
        <v>-1.3198116112056235E-2</v>
      </c>
    </row>
    <row r="19" spans="1:7" x14ac:dyDescent="0.25">
      <c r="A19" t="s">
        <v>154</v>
      </c>
      <c r="B19" s="6">
        <v>0.45178960486492492</v>
      </c>
      <c r="C19" s="6">
        <v>0.48483359646547181</v>
      </c>
      <c r="D19" s="6">
        <f>Tabelle9[[#This Row],[OSM Built-up Precision 2021]]-Tabelle9[[#This Row],[OSM Built-up Precision 2020]]</f>
        <v>3.3043991600546885E-2</v>
      </c>
      <c r="E19" s="6">
        <v>0.96842860338705217</v>
      </c>
      <c r="F19" s="6">
        <v>0.96717972307833844</v>
      </c>
      <c r="G19" s="6">
        <f>Tabelle9[[#This Row],[OSM Built-up Recall 2021]]-Tabelle9[[#This Row],[OSM Built-up Recall 2020]]</f>
        <v>-1.248880308713729E-3</v>
      </c>
    </row>
    <row r="20" spans="1:7" x14ac:dyDescent="0.25">
      <c r="A20" t="s">
        <v>158</v>
      </c>
      <c r="B20" s="6">
        <v>0.51133545118947243</v>
      </c>
      <c r="C20" s="6">
        <v>0.5907533742703992</v>
      </c>
      <c r="D20" s="6">
        <f>Tabelle9[[#This Row],[OSM Built-up Precision 2021]]-Tabelle9[[#This Row],[OSM Built-up Precision 2020]]</f>
        <v>7.9417923080926767E-2</v>
      </c>
      <c r="E20" s="6">
        <v>0.95843901989094926</v>
      </c>
      <c r="F20" s="6">
        <v>0.96413937124612126</v>
      </c>
      <c r="G20" s="6">
        <f>Tabelle9[[#This Row],[OSM Built-up Recall 2021]]-Tabelle9[[#This Row],[OSM Built-up Recall 2020]]</f>
        <v>5.7003513551719953E-3</v>
      </c>
    </row>
    <row r="21" spans="1:7" x14ac:dyDescent="0.25">
      <c r="A21" t="s">
        <v>162</v>
      </c>
      <c r="B21" s="6">
        <v>0.52504049492345573</v>
      </c>
      <c r="C21" s="6">
        <v>0.55984352184203989</v>
      </c>
      <c r="D21" s="6">
        <f>Tabelle9[[#This Row],[OSM Built-up Precision 2021]]-Tabelle9[[#This Row],[OSM Built-up Precision 2020]]</f>
        <v>3.4803026918584168E-2</v>
      </c>
      <c r="E21" s="6">
        <v>0.95418914853889281</v>
      </c>
      <c r="F21" s="6">
        <v>0.94874221680776927</v>
      </c>
      <c r="G21" s="6">
        <f>Tabelle9[[#This Row],[OSM Built-up Recall 2021]]-Tabelle9[[#This Row],[OSM Built-up Recall 2020]]</f>
        <v>-5.4469317311235388E-3</v>
      </c>
    </row>
    <row r="22" spans="1:7" x14ac:dyDescent="0.25">
      <c r="A22" t="s">
        <v>166</v>
      </c>
      <c r="B22" s="6">
        <v>0.45909263140444978</v>
      </c>
      <c r="C22" s="6">
        <v>0.5276959054821394</v>
      </c>
      <c r="D22" s="6">
        <f>Tabelle9[[#This Row],[OSM Built-up Precision 2021]]-Tabelle9[[#This Row],[OSM Built-up Precision 2020]]</f>
        <v>6.8603274077689624E-2</v>
      </c>
      <c r="E22" s="6">
        <v>0.97614660420734944</v>
      </c>
      <c r="F22" s="6">
        <v>0.97093638987491149</v>
      </c>
      <c r="G22" s="6">
        <f>Tabelle9[[#This Row],[OSM Built-up Recall 2021]]-Tabelle9[[#This Row],[OSM Built-up Recall 2020]]</f>
        <v>-5.2102143324379568E-3</v>
      </c>
    </row>
    <row r="23" spans="1:7" x14ac:dyDescent="0.25">
      <c r="A23" t="s">
        <v>170</v>
      </c>
      <c r="B23" s="6">
        <v>0.6134080604373825</v>
      </c>
      <c r="C23" s="6">
        <v>0.6863465101980466</v>
      </c>
      <c r="D23" s="6">
        <f>Tabelle9[[#This Row],[OSM Built-up Precision 2021]]-Tabelle9[[#This Row],[OSM Built-up Precision 2020]]</f>
        <v>7.2938449760664104E-2</v>
      </c>
      <c r="E23" s="6">
        <v>0.98149492263548122</v>
      </c>
      <c r="F23" s="6">
        <v>0.975383443234075</v>
      </c>
      <c r="G23" s="6">
        <f>Tabelle9[[#This Row],[OSM Built-up Recall 2021]]-Tabelle9[[#This Row],[OSM Built-up Recall 2020]]</f>
        <v>-6.1114794014062168E-3</v>
      </c>
    </row>
    <row r="24" spans="1:7" x14ac:dyDescent="0.25">
      <c r="A24" t="s">
        <v>174</v>
      </c>
      <c r="B24" s="6">
        <v>0.56799552447149049</v>
      </c>
      <c r="C24" s="6">
        <v>0.62385801248347916</v>
      </c>
      <c r="D24" s="6">
        <f>Tabelle9[[#This Row],[OSM Built-up Precision 2021]]-Tabelle9[[#This Row],[OSM Built-up Precision 2020]]</f>
        <v>5.5862488011988676E-2</v>
      </c>
      <c r="E24" s="6">
        <v>0.95869025909615546</v>
      </c>
      <c r="F24" s="6">
        <v>0.95897277147427762</v>
      </c>
      <c r="G24" s="6">
        <f>Tabelle9[[#This Row],[OSM Built-up Recall 2021]]-Tabelle9[[#This Row],[OSM Built-up Recall 2020]]</f>
        <v>2.8251237812215724E-4</v>
      </c>
    </row>
    <row r="25" spans="1:7" x14ac:dyDescent="0.25">
      <c r="A25" t="s">
        <v>179</v>
      </c>
      <c r="B25" s="6">
        <v>0.52379458770067733</v>
      </c>
      <c r="C25" s="6">
        <v>0.59647331756701361</v>
      </c>
      <c r="D25" s="6">
        <f>Tabelle9[[#This Row],[OSM Built-up Precision 2021]]-Tabelle9[[#This Row],[OSM Built-up Precision 2020]]</f>
        <v>7.2678729866336278E-2</v>
      </c>
      <c r="E25" s="6">
        <v>0.96485349573802315</v>
      </c>
      <c r="F25" s="6">
        <v>0.96460375850372981</v>
      </c>
      <c r="G25" s="6">
        <f>Tabelle9[[#This Row],[OSM Built-up Recall 2021]]-Tabelle9[[#This Row],[OSM Built-up Recall 2020]]</f>
        <v>-2.4973723429333461E-4</v>
      </c>
    </row>
    <row r="26" spans="1:7" x14ac:dyDescent="0.25">
      <c r="A26" t="s">
        <v>183</v>
      </c>
      <c r="B26" s="6">
        <v>0.6075190943000448</v>
      </c>
      <c r="C26" s="6">
        <v>0.68229150700570285</v>
      </c>
      <c r="D26" s="6">
        <f>Tabelle9[[#This Row],[OSM Built-up Precision 2021]]-Tabelle9[[#This Row],[OSM Built-up Precision 2020]]</f>
        <v>7.4772412705658042E-2</v>
      </c>
      <c r="E26" s="6">
        <v>0.96723971633115791</v>
      </c>
      <c r="F26" s="6">
        <v>0.96800065987297446</v>
      </c>
      <c r="G26" s="6">
        <f>Tabelle9[[#This Row],[OSM Built-up Recall 2021]]-Tabelle9[[#This Row],[OSM Built-up Recall 2020]]</f>
        <v>7.6094354181655E-4</v>
      </c>
    </row>
    <row r="27" spans="1:7" x14ac:dyDescent="0.25">
      <c r="A27" t="s">
        <v>187</v>
      </c>
      <c r="B27" s="6">
        <v>0.39962426876432289</v>
      </c>
      <c r="C27" s="6">
        <v>0.45565271990972939</v>
      </c>
      <c r="D27" s="6">
        <f>Tabelle9[[#This Row],[OSM Built-up Precision 2021]]-Tabelle9[[#This Row],[OSM Built-up Precision 2020]]</f>
        <v>5.6028451145406499E-2</v>
      </c>
      <c r="E27" s="6">
        <v>0.94988160944036759</v>
      </c>
      <c r="F27" s="6">
        <v>0.94346151211414098</v>
      </c>
      <c r="G27" s="6">
        <f>Tabelle9[[#This Row],[OSM Built-up Recall 2021]]-Tabelle9[[#This Row],[OSM Built-up Recall 2020]]</f>
        <v>-6.4200973262266148E-3</v>
      </c>
    </row>
    <row r="28" spans="1:7" x14ac:dyDescent="0.25">
      <c r="A28" t="s">
        <v>192</v>
      </c>
      <c r="B28" s="6">
        <v>0.58000593764806108</v>
      </c>
      <c r="C28" s="6">
        <v>0.61474569918255528</v>
      </c>
      <c r="D28" s="6">
        <f>Tabelle9[[#This Row],[OSM Built-up Precision 2021]]-Tabelle9[[#This Row],[OSM Built-up Precision 2020]]</f>
        <v>3.4739761534494207E-2</v>
      </c>
      <c r="E28" s="6">
        <v>0.96492564940365466</v>
      </c>
      <c r="F28" s="6">
        <v>0.96070903260679963</v>
      </c>
      <c r="G28" s="6">
        <f>Tabelle9[[#This Row],[OSM Built-up Recall 2021]]-Tabelle9[[#This Row],[OSM Built-up Recall 2020]]</f>
        <v>-4.2166167968550328E-3</v>
      </c>
    </row>
    <row r="29" spans="1:7" x14ac:dyDescent="0.25">
      <c r="A29" t="s">
        <v>195</v>
      </c>
      <c r="B29" s="6">
        <v>0.46575084180604542</v>
      </c>
      <c r="C29" s="6">
        <v>0.53213815218390337</v>
      </c>
      <c r="D29" s="6">
        <f>Tabelle9[[#This Row],[OSM Built-up Precision 2021]]-Tabelle9[[#This Row],[OSM Built-up Precision 2020]]</f>
        <v>6.6387310377857944E-2</v>
      </c>
      <c r="E29" s="6">
        <v>0.96238060654311075</v>
      </c>
      <c r="F29" s="6">
        <v>0.9669700152540297</v>
      </c>
      <c r="G29" s="6">
        <f>Tabelle9[[#This Row],[OSM Built-up Recall 2021]]-Tabelle9[[#This Row],[OSM Built-up Recall 2020]]</f>
        <v>4.5894087109189519E-3</v>
      </c>
    </row>
    <row r="30" spans="1:7" x14ac:dyDescent="0.25">
      <c r="A30" t="s">
        <v>200</v>
      </c>
      <c r="B30" s="6">
        <v>0.5463956777141199</v>
      </c>
      <c r="C30" s="6">
        <v>0.61228551295614231</v>
      </c>
      <c r="D30" s="6">
        <f>Tabelle9[[#This Row],[OSM Built-up Precision 2021]]-Tabelle9[[#This Row],[OSM Built-up Precision 2020]]</f>
        <v>6.588983524202241E-2</v>
      </c>
      <c r="E30" s="6">
        <v>0.95785463725474929</v>
      </c>
      <c r="F30" s="6">
        <v>0.95693552445837415</v>
      </c>
      <c r="G30" s="6">
        <f>Tabelle9[[#This Row],[OSM Built-up Recall 2021]]-Tabelle9[[#This Row],[OSM Built-up Recall 2020]]</f>
        <v>-9.1911279637513221E-4</v>
      </c>
    </row>
    <row r="31" spans="1:7" x14ac:dyDescent="0.25">
      <c r="A31" t="s">
        <v>204</v>
      </c>
      <c r="B31" s="6">
        <v>0.38139161454840731</v>
      </c>
      <c r="C31" s="6">
        <v>0.48059575966796308</v>
      </c>
      <c r="D31" s="6">
        <f>Tabelle9[[#This Row],[OSM Built-up Precision 2021]]-Tabelle9[[#This Row],[OSM Built-up Precision 2020]]</f>
        <v>9.9204145119555776E-2</v>
      </c>
      <c r="E31" s="6">
        <v>0.98657908193368204</v>
      </c>
      <c r="F31" s="6">
        <v>0.98230431733699064</v>
      </c>
      <c r="G31" s="6">
        <f>Tabelle9[[#This Row],[OSM Built-up Recall 2021]]-Tabelle9[[#This Row],[OSM Built-up Recall 2020]]</f>
        <v>-4.274764596691405E-3</v>
      </c>
    </row>
    <row r="32" spans="1:7" x14ac:dyDescent="0.25">
      <c r="A32" t="s">
        <v>208</v>
      </c>
      <c r="B32" s="6">
        <f>MIN(Tabelle9[OSM Built-up Precision 2020])</f>
        <v>0.18660066884159501</v>
      </c>
      <c r="C32" s="6">
        <f>MIN(Tabelle9[OSM Built-up Precision 2021])</f>
        <v>0.2459842995169082</v>
      </c>
      <c r="D32" s="6">
        <f>MIN(Tabelle9[Change Precision])</f>
        <v>2.6697710390706064E-2</v>
      </c>
      <c r="E32" s="6">
        <f>MIN(Tabelle9[OSM Built-up Recall 2020])</f>
        <v>0.61429204395823844</v>
      </c>
      <c r="F32" s="6">
        <f>MIN(Tabelle9[OSM Built-up Recall 2021])</f>
        <v>0.68652260789451647</v>
      </c>
      <c r="G32" s="6">
        <f>MIN(Tabelle9[Change Recall])</f>
        <v>-1.3198116112056235E-2</v>
      </c>
    </row>
    <row r="33" spans="1:7" x14ac:dyDescent="0.25">
      <c r="A33" t="s">
        <v>209</v>
      </c>
      <c r="B33" s="6">
        <f>MAX(Tabelle9[OSM Built-up Precision 2020])</f>
        <v>0.6134080604373825</v>
      </c>
      <c r="C33" s="6">
        <f>MAX(Tabelle9[OSM Built-up Precision 2021])</f>
        <v>0.6863465101980466</v>
      </c>
      <c r="D33" s="6">
        <f>MAX(Tabelle9[Change Precision])</f>
        <v>0.11404049983289871</v>
      </c>
      <c r="E33" s="6">
        <f>MAX(Tabelle9[OSM Built-up Recall 2020])</f>
        <v>0.99052984831751423</v>
      </c>
      <c r="F33" s="6">
        <f>MAX(Tabelle9[OSM Built-up Recall 2021])</f>
        <v>0.98994570681681082</v>
      </c>
      <c r="G33" s="6">
        <f>MAX(Tabelle9[Change Recall])</f>
        <v>7.2230563936278025E-2</v>
      </c>
    </row>
    <row r="34" spans="1:7" x14ac:dyDescent="0.25">
      <c r="A34" t="s">
        <v>210</v>
      </c>
      <c r="B34" s="6">
        <f>AVERAGE(Tabelle9[OSM Built-up Precision 2020])</f>
        <v>0.42945088243017687</v>
      </c>
      <c r="C34" s="6">
        <f>AVERAGE(Tabelle9[OSM Built-up Precision 2021])</f>
        <v>0.49421055223336902</v>
      </c>
      <c r="D34" s="6">
        <f>AVERAGE(Tabelle9[Change Precision])</f>
        <v>6.4759669803192255E-2</v>
      </c>
      <c r="E34" s="6">
        <f>AVERAGE(Tabelle9[OSM Built-up Recall 2020])</f>
        <v>0.95366864613995672</v>
      </c>
      <c r="F34" s="6">
        <f>AVERAGE(Tabelle9[OSM Built-up Recall 2021])</f>
        <v>0.95578061702203698</v>
      </c>
      <c r="G34" s="6">
        <f>AVERAGE(Tabelle9[Change Recall])</f>
        <v>2.1119708820802091E-3</v>
      </c>
    </row>
  </sheetData>
  <conditionalFormatting sqref="B2:B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4 F2:F34">
    <cfRule type="expression" dxfId="1" priority="5">
      <formula>C2&lt;B2</formula>
    </cfRule>
    <cfRule type="expression" dxfId="0" priority="6">
      <formula>C2&gt;B2</formula>
    </cfRule>
  </conditionalFormatting>
  <conditionalFormatting sqref="E2:E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0F600-D593-499A-9473-341D75C18204}">
  <dimension ref="A1:G9"/>
  <sheetViews>
    <sheetView tabSelected="1" workbookViewId="0">
      <selection activeCell="G17" sqref="G17"/>
    </sheetView>
  </sheetViews>
  <sheetFormatPr baseColWidth="10" defaultRowHeight="15" x14ac:dyDescent="0.25"/>
  <cols>
    <col min="1" max="1" width="27.140625" customWidth="1"/>
  </cols>
  <sheetData>
    <row r="1" spans="1:7" x14ac:dyDescent="0.25">
      <c r="B1" s="8" t="s">
        <v>228</v>
      </c>
      <c r="C1" s="9"/>
      <c r="D1" s="8" t="s">
        <v>229</v>
      </c>
      <c r="E1" s="9"/>
      <c r="F1" s="8" t="s">
        <v>230</v>
      </c>
      <c r="G1" s="9"/>
    </row>
    <row r="2" spans="1:7" x14ac:dyDescent="0.25">
      <c r="B2" s="4" t="s">
        <v>248</v>
      </c>
      <c r="C2" s="5" t="s">
        <v>249</v>
      </c>
      <c r="D2" s="4" t="s">
        <v>248</v>
      </c>
      <c r="E2" s="5" t="s">
        <v>249</v>
      </c>
      <c r="F2" s="4" t="s">
        <v>248</v>
      </c>
      <c r="G2" s="5" t="s">
        <v>249</v>
      </c>
    </row>
    <row r="3" spans="1:7" x14ac:dyDescent="0.25">
      <c r="A3" s="3" t="s">
        <v>14</v>
      </c>
      <c r="B3" s="10">
        <v>7.3862873578608268E-2</v>
      </c>
      <c r="C3" s="11">
        <v>0.69808731043152239</v>
      </c>
      <c r="D3" s="10">
        <v>7.4248825455714609E-2</v>
      </c>
      <c r="E3" s="11">
        <v>0.69658372915105504</v>
      </c>
      <c r="F3" s="10">
        <v>3.1217037564631771E-2</v>
      </c>
      <c r="G3" s="11">
        <v>0.86992238671126532</v>
      </c>
    </row>
    <row r="4" spans="1:7" x14ac:dyDescent="0.25">
      <c r="A4" s="3" t="s">
        <v>11</v>
      </c>
      <c r="B4" s="10">
        <v>-3.337041156840935E-3</v>
      </c>
      <c r="C4" s="11">
        <v>0.98603686691986892</v>
      </c>
      <c r="D4" s="10">
        <v>-9.2769744160177969E-2</v>
      </c>
      <c r="E4" s="11">
        <v>0.62584473669212615</v>
      </c>
      <c r="F4" s="10">
        <v>5.0055617352614018E-2</v>
      </c>
      <c r="G4" s="11">
        <v>0.79279668717617779</v>
      </c>
    </row>
    <row r="5" spans="1:7" x14ac:dyDescent="0.25">
      <c r="A5" s="3" t="s">
        <v>12</v>
      </c>
      <c r="B5" s="10">
        <v>0.29057787139502023</v>
      </c>
      <c r="C5" s="11">
        <v>0.1192896814134686</v>
      </c>
      <c r="D5" s="10">
        <v>-0.19337203868203259</v>
      </c>
      <c r="E5" s="11">
        <v>0.30590985455946851</v>
      </c>
      <c r="F5" s="10">
        <v>5.5023692984019858E-2</v>
      </c>
      <c r="G5" s="11">
        <v>0.77274212349448346</v>
      </c>
    </row>
    <row r="6" spans="1:7" x14ac:dyDescent="0.25">
      <c r="A6" s="3" t="s">
        <v>13</v>
      </c>
      <c r="B6" s="10">
        <v>-0.23566014374883831</v>
      </c>
      <c r="C6" s="11">
        <v>0.20996410527486081</v>
      </c>
      <c r="D6" s="10">
        <v>9.9476763746989549E-3</v>
      </c>
      <c r="E6" s="11">
        <v>0.95839191621033359</v>
      </c>
      <c r="F6" s="10">
        <v>-0.2289890789385686</v>
      </c>
      <c r="G6" s="11">
        <v>0.2235341481012062</v>
      </c>
    </row>
    <row r="7" spans="1:7" x14ac:dyDescent="0.25">
      <c r="A7" s="3" t="s">
        <v>15</v>
      </c>
      <c r="B7" s="10">
        <v>0.1977753058954394</v>
      </c>
      <c r="C7" s="11">
        <v>0.29481220706053962</v>
      </c>
      <c r="D7" s="10">
        <v>8.6985539488320357E-2</v>
      </c>
      <c r="E7" s="11">
        <v>0.64762589662690684</v>
      </c>
      <c r="F7" s="10">
        <v>0.221357063403782</v>
      </c>
      <c r="G7" s="11">
        <v>0.23977158905307691</v>
      </c>
    </row>
    <row r="8" spans="1:7" x14ac:dyDescent="0.25">
      <c r="A8" s="3" t="s">
        <v>246</v>
      </c>
      <c r="B8" s="10">
        <v>-0.35305895439377089</v>
      </c>
      <c r="C8" s="11">
        <v>5.5650819779969538E-2</v>
      </c>
      <c r="D8" s="10">
        <v>0.1546162402669633</v>
      </c>
      <c r="E8" s="11">
        <v>0.41461089743721408</v>
      </c>
      <c r="F8" s="10">
        <v>-0.29299221357063399</v>
      </c>
      <c r="G8" s="11">
        <v>0.1161123370061878</v>
      </c>
    </row>
    <row r="9" spans="1:7" ht="15.75" thickBot="1" x14ac:dyDescent="0.3">
      <c r="A9" s="3" t="s">
        <v>247</v>
      </c>
      <c r="B9" s="12">
        <v>4.006602718035529E-2</v>
      </c>
      <c r="C9" s="13">
        <v>0.83350375421600242</v>
      </c>
      <c r="D9" s="12">
        <v>-0.27455489444873132</v>
      </c>
      <c r="E9" s="13">
        <v>0.14202641026586429</v>
      </c>
      <c r="F9" s="12">
        <v>1.1803019631185831E-2</v>
      </c>
      <c r="G9" s="13">
        <v>0.95064021300532775</v>
      </c>
    </row>
  </sheetData>
  <mergeCells count="3">
    <mergeCell ref="B1:C1"/>
    <mergeCell ref="D1:E1"/>
    <mergeCell ref="F1:G1"/>
  </mergeCells>
  <conditionalFormatting sqref="B3:B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9">
    <cfRule type="colorScale" priority="3">
      <colorScale>
        <cfvo type="min"/>
        <cfvo type="max"/>
        <color rgb="FF63BE7B"/>
        <color rgb="FFFCFCFF"/>
      </colorScale>
    </cfRule>
  </conditionalFormatting>
  <conditionalFormatting sqref="D3:D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9">
    <cfRule type="colorScale" priority="2">
      <colorScale>
        <cfvo type="min"/>
        <cfvo type="max"/>
        <color rgb="FF63BE7B"/>
        <color rgb="FFFCFCFF"/>
      </colorScale>
    </cfRule>
  </conditionalFormatting>
  <conditionalFormatting sqref="F3:F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9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r W O U V 7 n 0 a y m l A A A A 9 w A A A B I A H A B D b 2 5 m a W c v U G F j a 2 F n Z S 5 4 b W w g o h g A K K A U A A A A A A A A A A A A A A A A A A A A A A A A A A A A h Y + 9 D o I w H M R f h X S n X y y G / C m D u k l i Y m J c m 1 K h E Y q h x f J u D j 6 S r y B G U T f H u / t d c n e / 3 i A f 2 y a 6 6 N 6 Z z m a I Y Y o i b V V X G l t l a P D H e I F y A V u p T r L S 0 Q R b l 4 7 O Z K j 2 / p w S E k L A I c F d X x F O K S O H Y r N T t W 5 l b K z z 0 i q N P q 3 y f w s J 2 L / G C I 4 Z T z C j n G M K Z H a h M P Z L 8 G n w M / 0 x Y T k 0 f u i 1 K H W 8 W g O Z J Z D 3 C f E A U E s D B B Q A A g A I A K 1 j l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t Y 5 R X K I p H u A 4 A A A A R A A A A E w A c A E Z v c m 1 1 b G F z L 1 N l Y 3 R p b 2 4 x L m 0 g o h g A K K A U A A A A A A A A A A A A A A A A A A A A A A A A A A A A K 0 5 N L s n M z 1 M I h t C G 1 g B Q S w E C L Q A U A A I A C A C t Y 5 R X u f R r K a U A A A D 3 A A A A E g A A A A A A A A A A A A A A A A A A A A A A Q 2 9 u Z m l n L 1 B h Y 2 t h Z 2 U u e G 1 s U E s B A i 0 A F A A C A A g A r W O U V w / K 6 a u k A A A A 6 Q A A A B M A A A A A A A A A A A A A A A A A 8 Q A A A F t D b 2 5 0 Z W 5 0 X 1 R 5 c G V z X S 5 4 b W x Q S w E C L Q A U A A I A C A C t Y 5 R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9 5 c z v M b Y l E + z U z z 3 g g t I e g A A A A A C A A A A A A A Q Z g A A A A E A A C A A A A D u g / o u 0 F R z 7 F r Q u Q + F / c n u e u B e q n p h k V j A 3 f 1 m D Z u b h w A A A A A O g A A A A A I A A C A A A A A E i 3 M W 1 h z V z W K n V s 1 T W 1 4 k z n A t H e k m 9 H / c T b 2 C h d z C C l A A A A D Y E 8 J s + 9 v 3 g R j d A z F x k b z R Z R t I U D a P Y e F M e C 7 K + r 9 s G 1 e G q f e s a / N u F o y E 8 X D A k g G d o 0 g t T M c a Y 2 N p T 2 a v a l R H O 9 D w s F E y 9 9 S J q q b T h d U u F U A A A A B x x y U Z U W c m f H K i c X T + v O v s j j + B F U X 8 a I p 6 u R F m w E w 2 U U s W C G b x b L n n C z q w 9 s a V v E M d s h 8 W Z + 7 J u w q u u S O X R k R X < / D a t a M a s h u p > 
</file>

<file path=customXml/itemProps1.xml><?xml version="1.0" encoding="utf-8"?>
<ds:datastoreItem xmlns:ds="http://schemas.openxmlformats.org/officeDocument/2006/customXml" ds:itemID="{2423DEB0-7E8C-4478-AA12-D3420DF549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Sheet1</vt:lpstr>
      <vt:lpstr>Tabelle1</vt:lpstr>
      <vt:lpstr>Accordance</vt:lpstr>
      <vt:lpstr>Area_to_Built-up</vt:lpstr>
      <vt:lpstr>Completeness</vt:lpstr>
      <vt:lpstr>Mapping_Saturation</vt:lpstr>
      <vt:lpstr>Accuracy</vt:lpstr>
      <vt:lpstr>Built-up_Accuracy</vt:lpstr>
      <vt:lpstr>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Jonas Danner</cp:lastModifiedBy>
  <dcterms:created xsi:type="dcterms:W3CDTF">2023-12-19T14:51:35Z</dcterms:created>
  <dcterms:modified xsi:type="dcterms:W3CDTF">2024-02-21T14:56:26Z</dcterms:modified>
</cp:coreProperties>
</file>