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2405"/>
  </bookViews>
  <sheets>
    <sheet name="Chapter E Compression" sheetId="1" r:id="rId1"/>
    <sheet name="세장비(응력)" sheetId="2" r:id="rId2"/>
    <sheet name="Hinged Required Strength" sheetId="3" r:id="rId3"/>
    <sheet name="Sheet1" sheetId="4" r:id="rId4"/>
  </sheets>
  <definedNames>
    <definedName name="_xlnm.Print_Area" localSheetId="0">'Chapter E Compression'!$A$1:$Q$85</definedName>
    <definedName name="_xlnm.Print_Area" localSheetId="2">'Hinged Required Strength'!$A$1:$Q$128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1" i="3" l="1"/>
  <c r="E121" i="3"/>
  <c r="O120" i="3"/>
  <c r="E120" i="3"/>
  <c r="O119" i="3"/>
  <c r="E119" i="3"/>
  <c r="I54" i="3"/>
  <c r="M117" i="3" s="1"/>
  <c r="I36" i="3"/>
  <c r="I35" i="3"/>
  <c r="D27" i="3"/>
  <c r="H30" i="3" s="1"/>
  <c r="F17" i="3"/>
  <c r="I38" i="3" s="1"/>
  <c r="D17" i="3"/>
  <c r="D8" i="3"/>
  <c r="D6" i="3"/>
  <c r="C48" i="2"/>
  <c r="E48" i="2" s="1"/>
  <c r="F47" i="2"/>
  <c r="E47" i="2"/>
  <c r="C47" i="2"/>
  <c r="D47" i="2" s="1"/>
  <c r="C46" i="2"/>
  <c r="E46" i="2" s="1"/>
  <c r="E45" i="2"/>
  <c r="C45" i="2"/>
  <c r="D45" i="2" s="1"/>
  <c r="E44" i="2"/>
  <c r="D44" i="2"/>
  <c r="C44" i="2"/>
  <c r="E43" i="2"/>
  <c r="C43" i="2"/>
  <c r="D43" i="2" s="1"/>
  <c r="E42" i="2"/>
  <c r="D42" i="2"/>
  <c r="C42" i="2"/>
  <c r="E41" i="2"/>
  <c r="C41" i="2"/>
  <c r="D41" i="2" s="1"/>
  <c r="C40" i="2"/>
  <c r="E40" i="2" s="1"/>
  <c r="F39" i="2"/>
  <c r="E39" i="2"/>
  <c r="C39" i="2"/>
  <c r="D39" i="2" s="1"/>
  <c r="C38" i="2"/>
  <c r="E38" i="2" s="1"/>
  <c r="E37" i="2"/>
  <c r="C37" i="2"/>
  <c r="D37" i="2" s="1"/>
  <c r="E36" i="2"/>
  <c r="D36" i="2"/>
  <c r="C36" i="2"/>
  <c r="E35" i="2"/>
  <c r="C35" i="2"/>
  <c r="D35" i="2" s="1"/>
  <c r="E34" i="2"/>
  <c r="D34" i="2"/>
  <c r="C34" i="2"/>
  <c r="E33" i="2"/>
  <c r="C33" i="2"/>
  <c r="D33" i="2" s="1"/>
  <c r="C32" i="2"/>
  <c r="E32" i="2" s="1"/>
  <c r="F31" i="2"/>
  <c r="E31" i="2"/>
  <c r="C31" i="2"/>
  <c r="D31" i="2" s="1"/>
  <c r="C30" i="2"/>
  <c r="E30" i="2" s="1"/>
  <c r="E29" i="2"/>
  <c r="C29" i="2"/>
  <c r="D29" i="2" s="1"/>
  <c r="E28" i="2"/>
  <c r="D28" i="2"/>
  <c r="C28" i="2"/>
  <c r="E27" i="2"/>
  <c r="C27" i="2"/>
  <c r="D27" i="2" s="1"/>
  <c r="E26" i="2"/>
  <c r="D26" i="2"/>
  <c r="C26" i="2"/>
  <c r="E25" i="2"/>
  <c r="C25" i="2"/>
  <c r="D25" i="2" s="1"/>
  <c r="C24" i="2"/>
  <c r="E24" i="2" s="1"/>
  <c r="F23" i="2"/>
  <c r="E23" i="2"/>
  <c r="C23" i="2"/>
  <c r="D23" i="2" s="1"/>
  <c r="C22" i="2"/>
  <c r="E22" i="2" s="1"/>
  <c r="E21" i="2"/>
  <c r="C21" i="2"/>
  <c r="D21" i="2" s="1"/>
  <c r="E20" i="2"/>
  <c r="D20" i="2"/>
  <c r="C20" i="2"/>
  <c r="E19" i="2"/>
  <c r="C19" i="2"/>
  <c r="D19" i="2" s="1"/>
  <c r="E18" i="2"/>
  <c r="D18" i="2"/>
  <c r="C18" i="2"/>
  <c r="E17" i="2"/>
  <c r="C17" i="2"/>
  <c r="D17" i="2" s="1"/>
  <c r="C16" i="2"/>
  <c r="E16" i="2" s="1"/>
  <c r="F15" i="2"/>
  <c r="E15" i="2"/>
  <c r="C15" i="2"/>
  <c r="D15" i="2" s="1"/>
  <c r="C14" i="2"/>
  <c r="E14" i="2" s="1"/>
  <c r="E13" i="2"/>
  <c r="C13" i="2"/>
  <c r="D13" i="2" s="1"/>
  <c r="E12" i="2"/>
  <c r="D12" i="2"/>
  <c r="C12" i="2"/>
  <c r="E11" i="2"/>
  <c r="C11" i="2"/>
  <c r="D11" i="2" s="1"/>
  <c r="E10" i="2"/>
  <c r="D10" i="2"/>
  <c r="C10" i="2"/>
  <c r="E9" i="2"/>
  <c r="C9" i="2"/>
  <c r="D9" i="2" s="1"/>
  <c r="C8" i="2"/>
  <c r="E8" i="2" s="1"/>
  <c r="C5" i="2"/>
  <c r="H68" i="1"/>
  <c r="L73" i="1" s="1"/>
  <c r="H67" i="1"/>
  <c r="G66" i="1"/>
  <c r="H56" i="1"/>
  <c r="L61" i="1" s="1"/>
  <c r="H55" i="1"/>
  <c r="G58" i="1" s="1"/>
  <c r="H32" i="1"/>
  <c r="M27" i="1"/>
  <c r="D27" i="1"/>
  <c r="J26" i="1"/>
  <c r="P26" i="1" s="1"/>
  <c r="G26" i="1"/>
  <c r="D26" i="1"/>
  <c r="P21" i="1"/>
  <c r="G54" i="1" s="1"/>
  <c r="L21" i="1"/>
  <c r="G27" i="1" s="1"/>
  <c r="J27" i="1" s="1"/>
  <c r="P27" i="1" s="1"/>
  <c r="D21" i="1"/>
  <c r="D20" i="1"/>
  <c r="H21" i="1" s="1"/>
  <c r="G40" i="1" s="1"/>
  <c r="P19" i="1"/>
  <c r="D19" i="1"/>
  <c r="L19" i="1" s="1"/>
  <c r="D18" i="1"/>
  <c r="I40" i="3" l="1"/>
  <c r="J41" i="3"/>
  <c r="L33" i="3"/>
  <c r="L32" i="3"/>
  <c r="L31" i="3"/>
  <c r="D68" i="3" s="1"/>
  <c r="L30" i="3"/>
  <c r="D63" i="3" s="1"/>
  <c r="G42" i="1"/>
  <c r="G41" i="1"/>
  <c r="F48" i="2"/>
  <c r="F46" i="2"/>
  <c r="F44" i="2"/>
  <c r="F42" i="2"/>
  <c r="F40" i="2"/>
  <c r="F38" i="2"/>
  <c r="F36" i="2"/>
  <c r="F34" i="2"/>
  <c r="F32" i="2"/>
  <c r="F28" i="2"/>
  <c r="F26" i="2"/>
  <c r="F20" i="2"/>
  <c r="F18" i="2"/>
  <c r="F14" i="2"/>
  <c r="F12" i="2"/>
  <c r="F10" i="2"/>
  <c r="G70" i="1"/>
  <c r="D8" i="2"/>
  <c r="F13" i="2"/>
  <c r="D16" i="2"/>
  <c r="F16" i="2" s="1"/>
  <c r="F21" i="2"/>
  <c r="D24" i="2"/>
  <c r="F24" i="2" s="1"/>
  <c r="F29" i="2"/>
  <c r="D32" i="2"/>
  <c r="F37" i="2"/>
  <c r="D40" i="2"/>
  <c r="F45" i="2"/>
  <c r="D48" i="2"/>
  <c r="F8" i="2"/>
  <c r="I45" i="3"/>
  <c r="I44" i="3"/>
  <c r="F11" i="2"/>
  <c r="F19" i="2"/>
  <c r="D22" i="2"/>
  <c r="F22" i="2" s="1"/>
  <c r="F27" i="2"/>
  <c r="D30" i="2"/>
  <c r="F30" i="2" s="1"/>
  <c r="F35" i="2"/>
  <c r="D38" i="2"/>
  <c r="F43" i="2"/>
  <c r="D46" i="2"/>
  <c r="I55" i="3"/>
  <c r="I59" i="3" s="1"/>
  <c r="I117" i="3" s="1"/>
  <c r="C117" i="3"/>
  <c r="D14" i="2"/>
  <c r="H19" i="1"/>
  <c r="H20" i="1"/>
  <c r="F9" i="2"/>
  <c r="F17" i="2"/>
  <c r="F25" i="2"/>
  <c r="F33" i="2"/>
  <c r="F41" i="2"/>
  <c r="D67" i="3" l="1"/>
  <c r="D65" i="3"/>
  <c r="D66" i="3"/>
  <c r="D64" i="3"/>
  <c r="I57" i="3"/>
  <c r="J56" i="3"/>
  <c r="I61" i="3"/>
  <c r="H31" i="1"/>
  <c r="C116" i="3"/>
  <c r="M116" i="3"/>
  <c r="I51" i="3"/>
  <c r="I71" i="3"/>
  <c r="I75" i="3"/>
  <c r="J46" i="3"/>
  <c r="I47" i="3"/>
  <c r="I49" i="3"/>
  <c r="I116" i="3" s="1"/>
  <c r="I77" i="3"/>
  <c r="I73" i="3" l="1"/>
  <c r="K117" i="3"/>
  <c r="G117" i="3"/>
  <c r="G116" i="3"/>
  <c r="K116" i="3"/>
  <c r="I87" i="3"/>
  <c r="I91" i="3"/>
  <c r="I93" i="3" s="1"/>
  <c r="I89" i="3"/>
  <c r="I83" i="3"/>
  <c r="I104" i="3" s="1"/>
  <c r="I79" i="3"/>
  <c r="I81" i="3" s="1"/>
  <c r="M119" i="3"/>
  <c r="I99" i="3"/>
  <c r="I101" i="3" s="1"/>
  <c r="I97" i="3"/>
  <c r="I95" i="3"/>
  <c r="G84" i="1"/>
  <c r="K84" i="1" s="1"/>
  <c r="G43" i="1"/>
  <c r="G34" i="1"/>
  <c r="I119" i="3"/>
  <c r="C119" i="3"/>
  <c r="I85" i="3"/>
  <c r="I105" i="3" s="1"/>
  <c r="I111" i="3" s="1"/>
  <c r="K118" i="3" s="1"/>
  <c r="I107" i="3" l="1"/>
  <c r="G118" i="3" s="1"/>
  <c r="G120" i="3" s="1"/>
  <c r="G36" i="1"/>
  <c r="G35" i="1"/>
  <c r="I102" i="3"/>
  <c r="C118" i="3" s="1"/>
  <c r="K121" i="3"/>
  <c r="K119" i="3"/>
  <c r="K120" i="3"/>
  <c r="G119" i="3"/>
  <c r="G121" i="3"/>
  <c r="I103" i="3"/>
  <c r="M118" i="3" s="1"/>
  <c r="C121" i="3" l="1"/>
  <c r="C120" i="3"/>
  <c r="M120" i="3"/>
  <c r="M121" i="3"/>
  <c r="G37" i="1"/>
  <c r="G46" i="1" s="1"/>
  <c r="G83" i="1"/>
  <c r="I109" i="3"/>
  <c r="I118" i="3" s="1"/>
  <c r="G85" i="1" l="1"/>
  <c r="K83" i="1"/>
  <c r="I120" i="3"/>
  <c r="I121" i="3"/>
  <c r="G50" i="1"/>
  <c r="G47" i="1"/>
  <c r="G69" i="1" l="1"/>
  <c r="P73" i="1" s="1"/>
  <c r="G57" i="1"/>
  <c r="P61" i="1" s="1"/>
  <c r="G60" i="1"/>
  <c r="G72" i="1"/>
  <c r="H61" i="1" l="1"/>
  <c r="H62" i="1" s="1"/>
  <c r="M61" i="1"/>
  <c r="M73" i="1"/>
  <c r="H73" i="1"/>
  <c r="G74" i="1" s="1"/>
  <c r="G76" i="1" l="1"/>
  <c r="H77" i="1" l="1"/>
  <c r="I85" i="1" s="1"/>
  <c r="K85" i="1" s="1"/>
  <c r="G79" i="1"/>
  <c r="G80" i="1" s="1"/>
</calcChain>
</file>

<file path=xl/sharedStrings.xml><?xml version="1.0" encoding="utf-8"?>
<sst xmlns="http://schemas.openxmlformats.org/spreadsheetml/2006/main" count="394" uniqueCount="262">
  <si>
    <t xml:space="preserve">Design of Member for Compression </t>
    <phoneticPr fontId="3" type="noConversion"/>
  </si>
  <si>
    <t xml:space="preserve">Compression Design Strength Based on Chapter E in AISC 360-16(LRFD) </t>
    <phoneticPr fontId="3" type="noConversion"/>
  </si>
  <si>
    <t>Units : mm, N, (Mpa)</t>
    <phoneticPr fontId="3" type="noConversion"/>
  </si>
  <si>
    <t>Effective Length of Compression Member</t>
    <phoneticPr fontId="3" type="noConversion"/>
  </si>
  <si>
    <t>=</t>
    <phoneticPr fontId="3" type="noConversion"/>
  </si>
  <si>
    <t>mm</t>
    <phoneticPr fontId="3" type="noConversion"/>
  </si>
  <si>
    <t>kx(1.0~1.5) x the distance of member connected to Flange of H-shape column</t>
    <phoneticPr fontId="3" type="noConversion"/>
  </si>
  <si>
    <t>ky(1.0) x the distance of member connected to Web of H-shape column</t>
    <phoneticPr fontId="3" type="noConversion"/>
  </si>
  <si>
    <t>mm</t>
    <phoneticPr fontId="3" type="noConversion"/>
  </si>
  <si>
    <t xml:space="preserve">the distance of member connected to the column for avoiding the Torsinal Buckling </t>
    <phoneticPr fontId="3" type="noConversion"/>
  </si>
  <si>
    <t>Section Properties of H Shapes</t>
    <phoneticPr fontId="3" type="noConversion"/>
  </si>
  <si>
    <t>Shape</t>
    <phoneticPr fontId="3" type="noConversion"/>
  </si>
  <si>
    <t xml:space="preserve">  Input "0"  or "1"  for Rolled or Built up respectively</t>
    <phoneticPr fontId="3" type="noConversion"/>
  </si>
  <si>
    <t>H</t>
    <phoneticPr fontId="3" type="noConversion"/>
  </si>
  <si>
    <t>B</t>
    <phoneticPr fontId="3" type="noConversion"/>
  </si>
  <si>
    <t>t1</t>
    <phoneticPr fontId="3" type="noConversion"/>
  </si>
  <si>
    <t xml:space="preserve">  for web thickness</t>
    <phoneticPr fontId="3" type="noConversion"/>
  </si>
  <si>
    <t>t2</t>
    <phoneticPr fontId="3" type="noConversion"/>
  </si>
  <si>
    <t xml:space="preserve">  for flange thickness</t>
    <phoneticPr fontId="3" type="noConversion"/>
  </si>
  <si>
    <t>r</t>
    <phoneticPr fontId="3" type="noConversion"/>
  </si>
  <si>
    <t xml:space="preserve">  in case of Built up, r = 0</t>
    <phoneticPr fontId="3" type="noConversion"/>
  </si>
  <si>
    <t>Fy</t>
    <phoneticPr fontId="3" type="noConversion"/>
  </si>
  <si>
    <t xml:space="preserve">  for steel yield stregth</t>
    <phoneticPr fontId="3" type="noConversion"/>
  </si>
  <si>
    <t>Ag</t>
    <phoneticPr fontId="3" type="noConversion"/>
  </si>
  <si>
    <t>Ix</t>
    <phoneticPr fontId="3" type="noConversion"/>
  </si>
  <si>
    <t>rx</t>
    <phoneticPr fontId="3" type="noConversion"/>
  </si>
  <si>
    <t>Sx</t>
    <phoneticPr fontId="3" type="noConversion"/>
  </si>
  <si>
    <t>Zx</t>
    <phoneticPr fontId="3" type="noConversion"/>
  </si>
  <si>
    <t>Iy</t>
    <phoneticPr fontId="3" type="noConversion"/>
  </si>
  <si>
    <t>ry</t>
    <phoneticPr fontId="3" type="noConversion"/>
  </si>
  <si>
    <t>Sy</t>
    <phoneticPr fontId="3" type="noConversion"/>
  </si>
  <si>
    <t>-</t>
    <phoneticPr fontId="3" type="noConversion"/>
  </si>
  <si>
    <t>Zy</t>
    <phoneticPr fontId="3" type="noConversion"/>
  </si>
  <si>
    <t>J</t>
    <phoneticPr fontId="3" type="noConversion"/>
  </si>
  <si>
    <t>Cw</t>
    <phoneticPr fontId="3" type="noConversion"/>
  </si>
  <si>
    <t>kc</t>
    <phoneticPr fontId="3" type="noConversion"/>
  </si>
  <si>
    <t>h</t>
    <phoneticPr fontId="3" type="noConversion"/>
  </si>
  <si>
    <t xml:space="preserve">G </t>
    <phoneticPr fontId="3" type="noConversion"/>
  </si>
  <si>
    <t xml:space="preserve">E </t>
    <phoneticPr fontId="3" type="noConversion"/>
  </si>
  <si>
    <t>Judgement of nonslender/slender element</t>
    <phoneticPr fontId="3" type="noConversion"/>
  </si>
  <si>
    <t>Part</t>
    <phoneticPr fontId="3" type="noConversion"/>
  </si>
  <si>
    <r>
      <t>Width to Thick 
Ratio (</t>
    </r>
    <r>
      <rPr>
        <sz val="8"/>
        <color theme="1"/>
        <rFont val="맑은 고딕"/>
        <family val="3"/>
        <charset val="129"/>
      </rPr>
      <t>λ</t>
    </r>
    <r>
      <rPr>
        <sz val="8"/>
        <color theme="1"/>
        <rFont val="맑은 고딕"/>
        <family val="2"/>
        <charset val="129"/>
      </rPr>
      <t>)</t>
    </r>
    <phoneticPr fontId="3" type="noConversion"/>
  </si>
  <si>
    <t>Limiting Width to Thick Ratio (λr)</t>
    <phoneticPr fontId="3" type="noConversion"/>
  </si>
  <si>
    <t>Thick Slender Element
Judgement</t>
    <phoneticPr fontId="3" type="noConversion"/>
  </si>
  <si>
    <t>Table B4.1a(AISC)</t>
    <phoneticPr fontId="3" type="noConversion"/>
  </si>
  <si>
    <t>Section</t>
    <phoneticPr fontId="3" type="noConversion"/>
  </si>
  <si>
    <t>Web</t>
    <phoneticPr fontId="3" type="noConversion"/>
  </si>
  <si>
    <t>Case 5</t>
    <phoneticPr fontId="3" type="noConversion"/>
  </si>
  <si>
    <t>Flange</t>
    <phoneticPr fontId="3" type="noConversion"/>
  </si>
  <si>
    <t>Limiting Width to Thickness Ratio (λr) is 0.56, 0.64, 1.49 x (E/Fy) square root for Flange of rolled, Flange of built up or web respectively</t>
    <phoneticPr fontId="3" type="noConversion"/>
  </si>
  <si>
    <t>Effective Length Slenderness Ratio</t>
    <phoneticPr fontId="3" type="noConversion"/>
  </si>
  <si>
    <t>=</t>
    <phoneticPr fontId="3" type="noConversion"/>
  </si>
  <si>
    <t>A) Flexural Buckling of Members (Section E3)</t>
    <phoneticPr fontId="3" type="noConversion"/>
  </si>
  <si>
    <t>Mpa</t>
    <phoneticPr fontId="3" type="noConversion"/>
  </si>
  <si>
    <t>for Flexural Buckling without slender elements</t>
    <phoneticPr fontId="3" type="noConversion"/>
  </si>
  <si>
    <t>(E3-4)</t>
    <phoneticPr fontId="3" type="noConversion"/>
  </si>
  <si>
    <t>in case of kL/r ≤ 4.71 (E/Fy) square root</t>
    <phoneticPr fontId="3" type="noConversion"/>
  </si>
  <si>
    <t>in case of kL/r &gt; 4.71 (E/Fy) square root</t>
    <phoneticPr fontId="3" type="noConversion"/>
  </si>
  <si>
    <t>N</t>
    <phoneticPr fontId="3" type="noConversion"/>
  </si>
  <si>
    <t>B) Torsional and Flexural-Torsional Buckling of Members (Section E4)</t>
    <phoneticPr fontId="3" type="noConversion"/>
  </si>
  <si>
    <t>Mpa</t>
    <phoneticPr fontId="3" type="noConversion"/>
  </si>
  <si>
    <t>for Torsional Buckling without slender elements</t>
    <phoneticPr fontId="3" type="noConversion"/>
  </si>
  <si>
    <t>(E4-2)</t>
    <phoneticPr fontId="3" type="noConversion"/>
  </si>
  <si>
    <t>N</t>
    <phoneticPr fontId="3" type="noConversion"/>
  </si>
  <si>
    <t xml:space="preserve">    Compressive  Design Strength - Min (E3 or E4)</t>
    <phoneticPr fontId="3" type="noConversion"/>
  </si>
  <si>
    <t>for norminal compressive strength</t>
    <phoneticPr fontId="3" type="noConversion"/>
  </si>
  <si>
    <t>for design compressive strength, φ=0.9</t>
    <phoneticPr fontId="3" type="noConversion"/>
  </si>
  <si>
    <t>C) Local Buckling with Flexural Buckling, Torsional and Flexural Buckling for Slender Elember (E7)</t>
    <phoneticPr fontId="3" type="noConversion"/>
  </si>
  <si>
    <t>from critical stress from E3 or E4</t>
    <phoneticPr fontId="3" type="noConversion"/>
  </si>
  <si>
    <t xml:space="preserve">  a) Effective Web Length</t>
    <phoneticPr fontId="3" type="noConversion"/>
  </si>
  <si>
    <t>c1</t>
    <phoneticPr fontId="3" type="noConversion"/>
  </si>
  <si>
    <t>from Table E7.1 for Case(a)</t>
    <phoneticPr fontId="3" type="noConversion"/>
  </si>
  <si>
    <t>c2</t>
    <phoneticPr fontId="3" type="noConversion"/>
  </si>
  <si>
    <t>from Table E7.1 for Case(a)</t>
    <phoneticPr fontId="3" type="noConversion"/>
  </si>
  <si>
    <t xml:space="preserve"> h</t>
    <phoneticPr fontId="3" type="noConversion"/>
  </si>
  <si>
    <t>mm</t>
    <phoneticPr fontId="3" type="noConversion"/>
  </si>
  <si>
    <t>Actual web length, H-2 x t2</t>
    <phoneticPr fontId="3" type="noConversion"/>
  </si>
  <si>
    <t xml:space="preserve">  λ𝑟</t>
    <phoneticPr fontId="3" type="noConversion"/>
  </si>
  <si>
    <t xml:space="preserve">for Limiting Width to Thickness Ratio ofWeb from Table </t>
    <phoneticPr fontId="3" type="noConversion"/>
  </si>
  <si>
    <t xml:space="preserve"> λ </t>
    <phoneticPr fontId="3" type="noConversion"/>
  </si>
  <si>
    <t xml:space="preserve">for Width to Thickness Ratio of Web from Table </t>
    <phoneticPr fontId="3" type="noConversion"/>
  </si>
  <si>
    <t>for web</t>
    <phoneticPr fontId="3" type="noConversion"/>
  </si>
  <si>
    <t>for web Local Buckling with slender elements</t>
    <phoneticPr fontId="3" type="noConversion"/>
  </si>
  <si>
    <t>RF1</t>
    <phoneticPr fontId="3" type="noConversion"/>
  </si>
  <si>
    <r>
      <t xml:space="preserve">When </t>
    </r>
    <r>
      <rPr>
        <sz val="8"/>
        <color rgb="FF0000FF"/>
        <rFont val="맑은 고딕"/>
        <family val="3"/>
        <charset val="129"/>
      </rPr>
      <t>λ</t>
    </r>
    <r>
      <rPr>
        <i/>
        <sz val="8"/>
        <color rgb="FF0000FF"/>
        <rFont val="맑은 고딕"/>
        <family val="3"/>
        <charset val="129"/>
      </rPr>
      <t xml:space="preserve"> ≤</t>
    </r>
    <phoneticPr fontId="3" type="noConversion"/>
  </si>
  <si>
    <r>
      <t xml:space="preserve">When </t>
    </r>
    <r>
      <rPr>
        <sz val="8"/>
        <color rgb="FF0000FF"/>
        <rFont val="맑은 고딕"/>
        <family val="3"/>
        <charset val="129"/>
      </rPr>
      <t>λ</t>
    </r>
    <r>
      <rPr>
        <i/>
        <sz val="8"/>
        <color rgb="FF0000FF"/>
        <rFont val="맑은 고딕"/>
        <family val="3"/>
        <charset val="129"/>
      </rPr>
      <t xml:space="preserve"> &gt; </t>
    </r>
    <phoneticPr fontId="3" type="noConversion"/>
  </si>
  <si>
    <t>RF</t>
    <phoneticPr fontId="3" type="noConversion"/>
  </si>
  <si>
    <t>Select(RF1,RF2)</t>
    <phoneticPr fontId="3" type="noConversion"/>
  </si>
  <si>
    <t>Due to    λ =</t>
    <phoneticPr fontId="3" type="noConversion"/>
  </si>
  <si>
    <t>Effective Web Length</t>
    <phoneticPr fontId="3" type="noConversion"/>
  </si>
  <si>
    <t xml:space="preserve">   b) Effective Flange Width</t>
    <phoneticPr fontId="3" type="noConversion"/>
  </si>
  <si>
    <t>c1</t>
    <phoneticPr fontId="3" type="noConversion"/>
  </si>
  <si>
    <t>from Table E7.1 for Case(c)</t>
    <phoneticPr fontId="3" type="noConversion"/>
  </si>
  <si>
    <t>c2</t>
    <phoneticPr fontId="3" type="noConversion"/>
  </si>
  <si>
    <t>B</t>
    <phoneticPr fontId="3" type="noConversion"/>
  </si>
  <si>
    <t>Actual Flange Width</t>
    <phoneticPr fontId="3" type="noConversion"/>
  </si>
  <si>
    <t xml:space="preserve">for Limiting Width to Thickness Ratio of Flange from Table </t>
    <phoneticPr fontId="3" type="noConversion"/>
  </si>
  <si>
    <t xml:space="preserve"> λ </t>
    <phoneticPr fontId="3" type="noConversion"/>
  </si>
  <si>
    <t xml:space="preserve">for Width to Thickness Ratio of Flange from Table </t>
    <phoneticPr fontId="3" type="noConversion"/>
  </si>
  <si>
    <t>for Flange</t>
    <phoneticPr fontId="3" type="noConversion"/>
  </si>
  <si>
    <t>for Flange Local Buckling with slender elements</t>
    <phoneticPr fontId="3" type="noConversion"/>
  </si>
  <si>
    <t xml:space="preserve"> RF1</t>
    <phoneticPr fontId="3" type="noConversion"/>
  </si>
  <si>
    <r>
      <t xml:space="preserve">When </t>
    </r>
    <r>
      <rPr>
        <sz val="8"/>
        <color rgb="FF0000FF"/>
        <rFont val="맑은 고딕"/>
        <family val="3"/>
        <charset val="129"/>
      </rPr>
      <t>λ</t>
    </r>
    <r>
      <rPr>
        <i/>
        <sz val="8"/>
        <color rgb="FF0000FF"/>
        <rFont val="맑은 고딕"/>
        <family val="3"/>
        <charset val="129"/>
      </rPr>
      <t xml:space="preserve"> ≤</t>
    </r>
    <phoneticPr fontId="3" type="noConversion"/>
  </si>
  <si>
    <r>
      <t xml:space="preserve">When </t>
    </r>
    <r>
      <rPr>
        <sz val="8"/>
        <color rgb="FF0000FF"/>
        <rFont val="맑은 고딕"/>
        <family val="3"/>
        <charset val="129"/>
      </rPr>
      <t>λ</t>
    </r>
    <r>
      <rPr>
        <i/>
        <sz val="8"/>
        <color rgb="FF0000FF"/>
        <rFont val="맑은 고딕"/>
        <family val="3"/>
        <charset val="129"/>
      </rPr>
      <t xml:space="preserve"> &gt; </t>
    </r>
    <phoneticPr fontId="3" type="noConversion"/>
  </si>
  <si>
    <t>RF</t>
    <phoneticPr fontId="3" type="noConversion"/>
  </si>
  <si>
    <t>Select(RF1,RF2)</t>
    <phoneticPr fontId="3" type="noConversion"/>
  </si>
  <si>
    <t>Due to    λ =</t>
    <phoneticPr fontId="3" type="noConversion"/>
  </si>
  <si>
    <t>Effective Flange Width</t>
    <phoneticPr fontId="3" type="noConversion"/>
  </si>
  <si>
    <t xml:space="preserve">   c) Effective Area</t>
    <phoneticPr fontId="3" type="noConversion"/>
  </si>
  <si>
    <t>mm2</t>
    <phoneticPr fontId="3" type="noConversion"/>
  </si>
  <si>
    <t xml:space="preserve">Effective Area </t>
    <phoneticPr fontId="3" type="noConversion"/>
  </si>
  <si>
    <t>Ratio of effective area to gross area</t>
    <phoneticPr fontId="3" type="noConversion"/>
  </si>
  <si>
    <t xml:space="preserve">   Compressive Design Strength  (E7)</t>
    <phoneticPr fontId="3" type="noConversion"/>
  </si>
  <si>
    <t>for norminal compressive strength</t>
    <phoneticPr fontId="3" type="noConversion"/>
  </si>
  <si>
    <t>(E7-1)</t>
    <phoneticPr fontId="3" type="noConversion"/>
  </si>
  <si>
    <t>D) Summary</t>
    <phoneticPr fontId="3" type="noConversion"/>
  </si>
  <si>
    <t>AISC 360
Section</t>
    <phoneticPr fontId="3" type="noConversion"/>
  </si>
  <si>
    <t>Behavior</t>
    <phoneticPr fontId="3" type="noConversion"/>
  </si>
  <si>
    <t>Fcr(stress)
Mpa</t>
    <phoneticPr fontId="3" type="noConversion"/>
  </si>
  <si>
    <t>Effective Area 
Ratio, Ae/Ag</t>
    <phoneticPr fontId="3" type="noConversion"/>
  </si>
  <si>
    <t>Design Comp. Strength
0.9xFcrxAe/AgxAg (N)</t>
    <phoneticPr fontId="3" type="noConversion"/>
  </si>
  <si>
    <t>Remark</t>
    <phoneticPr fontId="3" type="noConversion"/>
  </si>
  <si>
    <t>E3</t>
    <phoneticPr fontId="3" type="noConversion"/>
  </si>
  <si>
    <t>Flexural Buckling</t>
    <phoneticPr fontId="3" type="noConversion"/>
  </si>
  <si>
    <t>E4</t>
    <phoneticPr fontId="3" type="noConversion"/>
  </si>
  <si>
    <t>Torsional Buckling</t>
    <phoneticPr fontId="3" type="noConversion"/>
  </si>
  <si>
    <t>E7</t>
    <phoneticPr fontId="3" type="noConversion"/>
  </si>
  <si>
    <t>Local Buckling</t>
    <phoneticPr fontId="3" type="noConversion"/>
  </si>
  <si>
    <t>Govern</t>
    <phoneticPr fontId="3" type="noConversion"/>
  </si>
  <si>
    <t>Fy</t>
    <phoneticPr fontId="3" type="noConversion"/>
  </si>
  <si>
    <t>Mpa</t>
    <phoneticPr fontId="3" type="noConversion"/>
  </si>
  <si>
    <t>E</t>
    <phoneticPr fontId="3" type="noConversion"/>
  </si>
  <si>
    <t>Required Strength of Rafter and Column</t>
    <phoneticPr fontId="3" type="noConversion"/>
  </si>
  <si>
    <t>Information of Main Frame</t>
    <phoneticPr fontId="3" type="noConversion"/>
  </si>
  <si>
    <t>h</t>
    <phoneticPr fontId="3" type="noConversion"/>
  </si>
  <si>
    <t>=</t>
    <phoneticPr fontId="3" type="noConversion"/>
  </si>
  <si>
    <t>m</t>
    <phoneticPr fontId="3" type="noConversion"/>
  </si>
  <si>
    <t>Building Height</t>
    <phoneticPr fontId="3" type="noConversion"/>
  </si>
  <si>
    <t>L</t>
    <phoneticPr fontId="3" type="noConversion"/>
  </si>
  <si>
    <t>=</t>
    <phoneticPr fontId="3" type="noConversion"/>
  </si>
  <si>
    <t>m</t>
    <phoneticPr fontId="3" type="noConversion"/>
  </si>
  <si>
    <t>span</t>
    <phoneticPr fontId="3" type="noConversion"/>
  </si>
  <si>
    <t>f</t>
    <phoneticPr fontId="3" type="noConversion"/>
  </si>
  <si>
    <t>Ridge Height</t>
    <phoneticPr fontId="3" type="noConversion"/>
  </si>
  <si>
    <t>s</t>
    <phoneticPr fontId="3" type="noConversion"/>
  </si>
  <si>
    <t>roof beam length of one side</t>
    <phoneticPr fontId="3" type="noConversion"/>
  </si>
  <si>
    <t>G</t>
    <phoneticPr fontId="3" type="noConversion"/>
  </si>
  <si>
    <t>Column Grid Distance</t>
    <phoneticPr fontId="3" type="noConversion"/>
  </si>
  <si>
    <t>θ</t>
    <phoneticPr fontId="3" type="noConversion"/>
  </si>
  <si>
    <t>˚</t>
    <phoneticPr fontId="3" type="noConversion"/>
  </si>
  <si>
    <t>Roof Slope Degree</t>
    <phoneticPr fontId="3" type="noConversion"/>
  </si>
  <si>
    <t>Main Frame</t>
    <phoneticPr fontId="3" type="noConversion"/>
  </si>
  <si>
    <t>Member</t>
    <phoneticPr fontId="3" type="noConversion"/>
  </si>
  <si>
    <t>Column</t>
    <phoneticPr fontId="3" type="noConversion"/>
  </si>
  <si>
    <t>Beam</t>
    <phoneticPr fontId="3" type="noConversion"/>
  </si>
  <si>
    <t>H</t>
    <phoneticPr fontId="3" type="noConversion"/>
  </si>
  <si>
    <t>B</t>
    <phoneticPr fontId="3" type="noConversion"/>
  </si>
  <si>
    <t>t1</t>
    <phoneticPr fontId="3" type="noConversion"/>
  </si>
  <si>
    <t>t2</t>
    <phoneticPr fontId="3" type="noConversion"/>
  </si>
  <si>
    <t xml:space="preserve">  for flange thickness</t>
    <phoneticPr fontId="3" type="noConversion"/>
  </si>
  <si>
    <t>r</t>
    <phoneticPr fontId="3" type="noConversion"/>
  </si>
  <si>
    <t xml:space="preserve">  in case of Built up, r = 0</t>
    <phoneticPr fontId="3" type="noConversion"/>
  </si>
  <si>
    <t>Velocity Pressure Exposure Coefficients, Kh and Kz</t>
    <phoneticPr fontId="3" type="noConversion"/>
  </si>
  <si>
    <t>Ix</t>
    <phoneticPr fontId="3" type="noConversion"/>
  </si>
  <si>
    <t xml:space="preserve">  inertial moment</t>
    <phoneticPr fontId="3" type="noConversion"/>
  </si>
  <si>
    <t>Dead and Live Load</t>
    <phoneticPr fontId="3" type="noConversion"/>
  </si>
  <si>
    <t>Roof Dead</t>
    <phoneticPr fontId="3" type="noConversion"/>
  </si>
  <si>
    <t>kN/m2</t>
    <phoneticPr fontId="3" type="noConversion"/>
  </si>
  <si>
    <t>단, Frame Self-weight &amp; Wall Cladding : Ignored</t>
    <phoneticPr fontId="3" type="noConversion"/>
  </si>
  <si>
    <t>Roof Live</t>
    <phoneticPr fontId="3" type="noConversion"/>
  </si>
  <si>
    <t>kN/m2</t>
    <phoneticPr fontId="3" type="noConversion"/>
  </si>
  <si>
    <t>Wind Load</t>
    <phoneticPr fontId="3" type="noConversion"/>
  </si>
  <si>
    <t>Site Exposure</t>
    <phoneticPr fontId="3" type="noConversion"/>
  </si>
  <si>
    <t>D</t>
    <phoneticPr fontId="3" type="noConversion"/>
  </si>
  <si>
    <t>Basice Wind Speed</t>
    <phoneticPr fontId="3" type="noConversion"/>
  </si>
  <si>
    <t>m/sec</t>
    <phoneticPr fontId="3" type="noConversion"/>
  </si>
  <si>
    <t>(10m, 3 gust, 50 return period, exposure C)</t>
    <phoneticPr fontId="3" type="noConversion"/>
  </si>
  <si>
    <t>Kz</t>
    <phoneticPr fontId="3" type="noConversion"/>
  </si>
  <si>
    <t>(Velocity Pressure Exposure Coefficients)</t>
    <phoneticPr fontId="3" type="noConversion"/>
  </si>
  <si>
    <t>Wind Speed at Site</t>
    <phoneticPr fontId="3" type="noConversion"/>
  </si>
  <si>
    <t>m/sec</t>
    <phoneticPr fontId="3" type="noConversion"/>
  </si>
  <si>
    <t>(Roof Eave Height, Site Exposure)</t>
    <phoneticPr fontId="3" type="noConversion"/>
  </si>
  <si>
    <t>Location</t>
    <phoneticPr fontId="3" type="noConversion"/>
  </si>
  <si>
    <t>Direction</t>
    <phoneticPr fontId="3" type="noConversion"/>
  </si>
  <si>
    <t>Gust Factor 
G</t>
    <phoneticPr fontId="3" type="noConversion"/>
  </si>
  <si>
    <t>Wind Pressure 
q (kN/m2)</t>
    <phoneticPr fontId="3" type="noConversion"/>
  </si>
  <si>
    <t>Cp</t>
    <phoneticPr fontId="3" type="noConversion"/>
  </si>
  <si>
    <t>Wind Load
(kN/m2)</t>
    <phoneticPr fontId="3" type="noConversion"/>
  </si>
  <si>
    <t>Remark</t>
    <phoneticPr fontId="3" type="noConversion"/>
  </si>
  <si>
    <t>Wall</t>
    <phoneticPr fontId="3" type="noConversion"/>
  </si>
  <si>
    <t>Windward</t>
    <phoneticPr fontId="3" type="noConversion"/>
  </si>
  <si>
    <t>Leeward</t>
    <phoneticPr fontId="3" type="noConversion"/>
  </si>
  <si>
    <t>Roof</t>
    <phoneticPr fontId="3" type="noConversion"/>
  </si>
  <si>
    <t>kN/m</t>
    <phoneticPr fontId="3" type="noConversion"/>
  </si>
  <si>
    <t xml:space="preserve"> Required Strength for Dead Load</t>
    <phoneticPr fontId="3" type="noConversion"/>
  </si>
  <si>
    <t xml:space="preserve">    Va   = Ve  =</t>
    <phoneticPr fontId="3" type="noConversion"/>
  </si>
  <si>
    <t>kN</t>
    <phoneticPr fontId="3" type="noConversion"/>
  </si>
  <si>
    <t>(III-8-1)</t>
    <phoneticPr fontId="3" type="noConversion"/>
  </si>
  <si>
    <t xml:space="preserve">    H = Ha  =</t>
    <phoneticPr fontId="3" type="noConversion"/>
  </si>
  <si>
    <t xml:space="preserve">    He =</t>
    <phoneticPr fontId="3" type="noConversion"/>
  </si>
  <si>
    <t>kN.m</t>
    <phoneticPr fontId="3" type="noConversion"/>
  </si>
  <si>
    <t>for x</t>
    <phoneticPr fontId="3" type="noConversion"/>
  </si>
  <si>
    <t xml:space="preserve">  Required Strength for Live Load</t>
    <phoneticPr fontId="3" type="noConversion"/>
  </si>
  <si>
    <t xml:space="preserve">    Va   = Ve =</t>
    <phoneticPr fontId="3" type="noConversion"/>
  </si>
  <si>
    <t xml:space="preserve">  H = Ha =</t>
    <phoneticPr fontId="3" type="noConversion"/>
  </si>
  <si>
    <t>kN.m</t>
    <phoneticPr fontId="3" type="noConversion"/>
  </si>
  <si>
    <t xml:space="preserve">     w1</t>
    <phoneticPr fontId="3" type="noConversion"/>
  </si>
  <si>
    <t>Wall Windward</t>
    <phoneticPr fontId="3" type="noConversion"/>
  </si>
  <si>
    <t xml:space="preserve">     w2v</t>
    <phoneticPr fontId="3" type="noConversion"/>
  </si>
  <si>
    <t>Roof Windward, Vertical</t>
    <phoneticPr fontId="3" type="noConversion"/>
  </si>
  <si>
    <t>for Dead and Live Load</t>
    <phoneticPr fontId="3" type="noConversion"/>
  </si>
  <si>
    <t xml:space="preserve">     w3v</t>
    <phoneticPr fontId="3" type="noConversion"/>
  </si>
  <si>
    <t>Roof Leeward, Vertical</t>
    <phoneticPr fontId="3" type="noConversion"/>
  </si>
  <si>
    <t xml:space="preserve">     w2h</t>
    <phoneticPr fontId="3" type="noConversion"/>
  </si>
  <si>
    <t>Roof Windward, Horizontal</t>
    <phoneticPr fontId="3" type="noConversion"/>
  </si>
  <si>
    <t xml:space="preserve">     w3h</t>
    <phoneticPr fontId="3" type="noConversion"/>
  </si>
  <si>
    <t>Roof Leeward, Horizontal</t>
    <phoneticPr fontId="3" type="noConversion"/>
  </si>
  <si>
    <t xml:space="preserve">     w4</t>
    <phoneticPr fontId="3" type="noConversion"/>
  </si>
  <si>
    <t>Wall Leeward</t>
    <phoneticPr fontId="3" type="noConversion"/>
  </si>
  <si>
    <t xml:space="preserve">  Required Strength for Wind Load</t>
    <phoneticPr fontId="3" type="noConversion"/>
  </si>
  <si>
    <t>Va14 =</t>
    <phoneticPr fontId="3" type="noConversion"/>
  </si>
  <si>
    <t>(III-8-6)</t>
    <phoneticPr fontId="3" type="noConversion"/>
  </si>
  <si>
    <t>Ve14= -Va14</t>
    <phoneticPr fontId="3" type="noConversion"/>
  </si>
  <si>
    <t>Ha14 =</t>
    <phoneticPr fontId="3" type="noConversion"/>
  </si>
  <si>
    <t>He14 =</t>
    <phoneticPr fontId="3" type="noConversion"/>
  </si>
  <si>
    <t>Va23h =</t>
    <phoneticPr fontId="3" type="noConversion"/>
  </si>
  <si>
    <t>(III-8-7)</t>
    <phoneticPr fontId="3" type="noConversion"/>
  </si>
  <si>
    <t>Ve23h = -Va23h</t>
    <phoneticPr fontId="3" type="noConversion"/>
  </si>
  <si>
    <t>Ha23h =</t>
    <phoneticPr fontId="3" type="noConversion"/>
  </si>
  <si>
    <t>He23h =</t>
    <phoneticPr fontId="3" type="noConversion"/>
  </si>
  <si>
    <t>Va2v =</t>
    <phoneticPr fontId="3" type="noConversion"/>
  </si>
  <si>
    <t>(III-8-2)</t>
    <phoneticPr fontId="3" type="noConversion"/>
  </si>
  <si>
    <t>Ve2v =</t>
    <phoneticPr fontId="3" type="noConversion"/>
  </si>
  <si>
    <t>Ha2v =</t>
    <phoneticPr fontId="3" type="noConversion"/>
  </si>
  <si>
    <t>He2v =</t>
    <phoneticPr fontId="3" type="noConversion"/>
  </si>
  <si>
    <t>Ve3v =</t>
    <phoneticPr fontId="3" type="noConversion"/>
  </si>
  <si>
    <t>Va3v =</t>
    <phoneticPr fontId="3" type="noConversion"/>
  </si>
  <si>
    <t>He3v =</t>
    <phoneticPr fontId="3" type="noConversion"/>
  </si>
  <si>
    <t>Ha3v =</t>
    <phoneticPr fontId="3" type="noConversion"/>
  </si>
  <si>
    <t>Va = Va14 + Va23h + Va2v + Va3v</t>
    <phoneticPr fontId="3" type="noConversion"/>
  </si>
  <si>
    <t>Ve = Ve14 + Ve23h + Ve2v + Ve3v</t>
    <phoneticPr fontId="3" type="noConversion"/>
  </si>
  <si>
    <t>Ha = Ha14 + Ha23h + Ha2v + Ha3v</t>
    <phoneticPr fontId="3" type="noConversion"/>
  </si>
  <si>
    <t>=</t>
    <phoneticPr fontId="3" type="noConversion"/>
  </si>
  <si>
    <t>He = He14 + He23h + He2v + He3v</t>
    <phoneticPr fontId="3" type="noConversion"/>
  </si>
  <si>
    <t>=</t>
    <phoneticPr fontId="3" type="noConversion"/>
  </si>
  <si>
    <t>for Wind Load</t>
    <phoneticPr fontId="3" type="noConversion"/>
  </si>
  <si>
    <t>Required Strength of Rafter and Column</t>
    <phoneticPr fontId="3" type="noConversion"/>
  </si>
  <si>
    <t>Unit-kN. M</t>
    <phoneticPr fontId="3" type="noConversion"/>
  </si>
  <si>
    <t>Load Case</t>
    <phoneticPr fontId="3" type="noConversion"/>
  </si>
  <si>
    <t>A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</si>
  <si>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</si>
  <si>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</si>
  <si>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</si>
  <si>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P</t>
    <phoneticPr fontId="3" type="noConversion"/>
  </si>
  <si>
    <t>M</t>
    <phoneticPr fontId="3" type="noConversion"/>
  </si>
  <si>
    <t>M</t>
    <phoneticPr fontId="3" type="noConversion"/>
  </si>
  <si>
    <t>DEAD(D)</t>
    <phoneticPr fontId="3" type="noConversion"/>
  </si>
  <si>
    <t>LIVE(L)</t>
    <phoneticPr fontId="3" type="noConversion"/>
  </si>
  <si>
    <t>WIND(W)</t>
    <phoneticPr fontId="3" type="noConversion"/>
  </si>
  <si>
    <t>1.2D+1.6L</t>
    <phoneticPr fontId="3" type="noConversion"/>
  </si>
  <si>
    <t>1.2D+1.6L+0.8W</t>
    <phoneticPr fontId="3" type="noConversion"/>
  </si>
  <si>
    <t>0.9D+1.6W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</si>
</sst>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43" formatCode="_-* #,##0.00_-;\-* #,##0.00_-;_-* &quot;-&quot;??_-;_-@_-"/>
    <numFmt numFmtId="176" formatCode="0.000.E+00"/>
    <numFmt numFmtId="177" formatCode="0.0_ "/>
    <numFmt numFmtId="178" formatCode="0.0"/>
    <numFmt numFmtId="179" formatCode="0_ "/>
    <numFmt numFmtId="180" formatCode="_-* #,##0_-;\-* #,##0_-;_-* &quot;-&quot;??_-;_-@_-"/>
    <numFmt numFmtId="181" formatCode="_-* #,##0.0_-;\-* #,##0.0_-;_-* &quot;-&quot;?_-;_-@_-"/>
    <numFmt numFmtId="182" formatCode="_-* #,##0.0_-;\-* #,##0.0_-;_-* &quot;-&quot;??_-;_-@_-"/>
    <numFmt numFmtId="183" formatCode="_-* #,##0.0_-;\-* #,##0.0_-;_-* &quot;-&quot;_-;_-@_-"/>
  </numFmts>
  <fonts count="3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i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i/>
      <sz val="8"/>
      <color rgb="FF0000FF"/>
      <name val="맑은 고딕"/>
      <family val="3"/>
      <charset val="129"/>
      <scheme val="minor"/>
    </font>
    <font>
      <b/>
      <i/>
      <sz val="8"/>
      <color rgb="FF0000FF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  <font>
      <sz val="8"/>
      <color theme="1"/>
      <name val="맑은 고딕"/>
      <family val="2"/>
      <charset val="129"/>
    </font>
    <font>
      <i/>
      <sz val="7"/>
      <color rgb="FF0000FF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  <font>
      <sz val="6"/>
      <color theme="1"/>
      <name val="맑은 고딕"/>
      <family val="3"/>
      <charset val="129"/>
      <scheme val="minor"/>
    </font>
    <font>
      <b/>
      <sz val="8"/>
      <color rgb="FF0000FF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rgb="FF0000FF"/>
      <name val="맑은 고딕"/>
      <family val="3"/>
      <charset val="129"/>
    </font>
    <font>
      <i/>
      <sz val="8"/>
      <color rgb="FF0000FF"/>
      <name val="맑은 고딕"/>
      <family val="3"/>
      <charset val="129"/>
    </font>
    <font>
      <sz val="8"/>
      <color rgb="FF0000FF"/>
      <name val="맑은 고딕"/>
      <family val="2"/>
      <charset val="129"/>
      <scheme val="minor"/>
    </font>
    <font>
      <i/>
      <sz val="8"/>
      <color rgb="FF0000FF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rgb="FF0000FF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i/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i/>
      <sz val="8"/>
      <name val="맑은 고딕"/>
      <family val="3"/>
      <charset val="129"/>
    </font>
    <font>
      <b/>
      <sz val="8"/>
      <name val="맑은 고딕"/>
      <family val="3"/>
      <charset val="129"/>
      <scheme val="minor"/>
    </font>
    <font>
      <sz val="8"/>
      <color rgb="FFFF0000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7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41" fontId="7" fillId="3" borderId="1" xfId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41" fontId="7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41" fontId="2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4" borderId="1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78" fontId="10" fillId="2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1" fontId="2" fillId="2" borderId="2" xfId="1" applyFont="1" applyFill="1" applyBorder="1" applyAlignment="1">
      <alignment vertical="center"/>
    </xf>
    <xf numFmtId="41" fontId="2" fillId="2" borderId="3" xfId="1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41" fontId="2" fillId="2" borderId="2" xfId="1" applyFont="1" applyFill="1" applyBorder="1" applyAlignment="1">
      <alignment horizontal="center" vertical="center"/>
    </xf>
    <xf numFmtId="41" fontId="2" fillId="2" borderId="3" xfId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177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horizontal="center" vertical="center"/>
    </xf>
    <xf numFmtId="177" fontId="10" fillId="2" borderId="0" xfId="0" applyNumberFormat="1" applyFont="1" applyFill="1" applyAlignment="1">
      <alignment horizontal="right" vertical="center"/>
    </xf>
    <xf numFmtId="1" fontId="16" fillId="2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vertical="center"/>
    </xf>
    <xf numFmtId="1" fontId="17" fillId="2" borderId="0" xfId="0" applyNumberFormat="1" applyFont="1" applyFill="1" applyBorder="1" applyAlignment="1">
      <alignment vertical="center"/>
    </xf>
    <xf numFmtId="179" fontId="7" fillId="2" borderId="0" xfId="0" applyNumberFormat="1" applyFont="1" applyFill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180" fontId="7" fillId="2" borderId="0" xfId="0" applyNumberFormat="1" applyFont="1" applyFill="1" applyAlignment="1">
      <alignment horizontal="center" vertical="center"/>
    </xf>
    <xf numFmtId="180" fontId="7" fillId="2" borderId="0" xfId="0" applyNumberFormat="1" applyFont="1" applyFill="1" applyAlignment="1">
      <alignment horizontal="center" vertical="center"/>
    </xf>
    <xf numFmtId="41" fontId="9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horizontal="left"/>
    </xf>
    <xf numFmtId="181" fontId="2" fillId="2" borderId="0" xfId="0" applyNumberFormat="1" applyFont="1" applyFill="1" applyAlignment="1">
      <alignment vertical="center"/>
    </xf>
    <xf numFmtId="0" fontId="5" fillId="2" borderId="0" xfId="0" applyFont="1" applyFill="1" applyBorder="1" applyAlignment="1">
      <alignment horizontal="left" vertical="top"/>
    </xf>
    <xf numFmtId="182" fontId="7" fillId="2" borderId="0" xfId="0" applyNumberFormat="1" applyFont="1" applyFill="1" applyAlignment="1">
      <alignment horizontal="center" vertical="center"/>
    </xf>
    <xf numFmtId="182" fontId="7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82" fontId="7" fillId="2" borderId="0" xfId="0" applyNumberFormat="1" applyFont="1" applyFill="1" applyAlignment="1">
      <alignment horizontal="right" vertical="center"/>
    </xf>
    <xf numFmtId="182" fontId="7" fillId="2" borderId="0" xfId="0" applyNumberFormat="1" applyFont="1" applyFill="1" applyBorder="1" applyAlignment="1">
      <alignment horizontal="center" vertical="center"/>
    </xf>
    <xf numFmtId="182" fontId="7" fillId="2" borderId="0" xfId="1" applyNumberFormat="1" applyFont="1" applyFill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11" fillId="2" borderId="0" xfId="0" applyFont="1" applyFill="1">
      <alignment vertical="center"/>
    </xf>
    <xf numFmtId="0" fontId="6" fillId="2" borderId="0" xfId="0" applyFont="1" applyFill="1" applyAlignment="1">
      <alignment horizontal="right" vertical="center"/>
    </xf>
    <xf numFmtId="178" fontId="2" fillId="2" borderId="0" xfId="0" applyNumberFormat="1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178" fontId="2" fillId="2" borderId="0" xfId="0" applyNumberFormat="1" applyFont="1" applyFill="1" applyBorder="1" applyAlignment="1">
      <alignment horizontal="right" vertical="center"/>
    </xf>
    <xf numFmtId="2" fontId="2" fillId="2" borderId="0" xfId="0" applyNumberFormat="1" applyFont="1" applyFill="1" applyBorder="1" applyAlignment="1">
      <alignment horizontal="right" vertical="center"/>
    </xf>
    <xf numFmtId="2" fontId="2" fillId="2" borderId="0" xfId="0" applyNumberFormat="1" applyFont="1" applyFill="1" applyBorder="1" applyAlignment="1">
      <alignment horizontal="right" vertical="center"/>
    </xf>
    <xf numFmtId="182" fontId="20" fillId="2" borderId="0" xfId="0" applyNumberFormat="1" applyFont="1" applyFill="1">
      <alignment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>
      <alignment vertical="center"/>
    </xf>
    <xf numFmtId="180" fontId="21" fillId="2" borderId="0" xfId="0" applyNumberFormat="1" applyFont="1" applyFill="1" applyAlignment="1">
      <alignment horizontal="right" vertical="center"/>
    </xf>
    <xf numFmtId="182" fontId="21" fillId="2" borderId="0" xfId="0" applyNumberFormat="1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1" fontId="2" fillId="2" borderId="0" xfId="0" applyNumberFormat="1" applyFont="1" applyFill="1">
      <alignment vertical="center"/>
    </xf>
    <xf numFmtId="1" fontId="2" fillId="2" borderId="0" xfId="0" applyNumberFormat="1" applyFont="1" applyFill="1" applyAlignment="1">
      <alignment horizontal="right" vertical="center"/>
    </xf>
    <xf numFmtId="43" fontId="2" fillId="2" borderId="0" xfId="0" applyNumberFormat="1" applyFont="1" applyFill="1">
      <alignment vertical="center"/>
    </xf>
    <xf numFmtId="180" fontId="2" fillId="2" borderId="0" xfId="0" applyNumberFormat="1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22" fillId="0" borderId="1" xfId="0" applyFont="1" applyBorder="1" applyAlignment="1">
      <alignment horizontal="center" vertical="center"/>
    </xf>
    <xf numFmtId="0" fontId="23" fillId="3" borderId="1" xfId="0" applyFont="1" applyFill="1" applyBorder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1" fontId="23" fillId="0" borderId="1" xfId="0" applyNumberFormat="1" applyFont="1" applyBorder="1">
      <alignment vertical="center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41" fontId="24" fillId="0" borderId="1" xfId="1" applyFont="1" applyBorder="1" applyAlignment="1">
      <alignment horizontal="right" vertical="center"/>
    </xf>
    <xf numFmtId="41" fontId="24" fillId="0" borderId="1" xfId="1" applyFont="1" applyBorder="1" applyAlignment="1">
      <alignment horizontal="center" vertical="center"/>
    </xf>
    <xf numFmtId="1" fontId="25" fillId="0" borderId="1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41" fontId="26" fillId="0" borderId="0" xfId="1" applyFont="1" applyBorder="1" applyAlignment="1">
      <alignment horizontal="right" vertical="center"/>
    </xf>
    <xf numFmtId="41" fontId="26" fillId="0" borderId="0" xfId="1" applyFont="1" applyBorder="1" applyAlignment="1">
      <alignment horizontal="center" vertical="center"/>
    </xf>
    <xf numFmtId="0" fontId="10" fillId="2" borderId="0" xfId="0" quotePrefix="1" applyFont="1" applyFill="1" applyBorder="1" applyAlignment="1">
      <alignment horizontal="center" vertical="center"/>
    </xf>
    <xf numFmtId="0" fontId="10" fillId="2" borderId="0" xfId="0" applyFont="1" applyFill="1" applyBorder="1">
      <alignment vertical="center"/>
    </xf>
    <xf numFmtId="0" fontId="27" fillId="2" borderId="0" xfId="0" applyFont="1" applyFill="1" applyBorder="1" applyAlignment="1">
      <alignment vertical="center"/>
    </xf>
    <xf numFmtId="0" fontId="27" fillId="2" borderId="0" xfId="0" applyFont="1" applyFill="1">
      <alignment vertical="center"/>
    </xf>
    <xf numFmtId="183" fontId="28" fillId="2" borderId="1" xfId="1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43" fontId="10" fillId="2" borderId="2" xfId="0" applyNumberFormat="1" applyFont="1" applyFill="1" applyBorder="1" applyAlignment="1">
      <alignment horizontal="center" vertical="center"/>
    </xf>
    <xf numFmtId="43" fontId="10" fillId="2" borderId="3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176" fontId="2" fillId="0" borderId="2" xfId="1" applyNumberFormat="1" applyFont="1" applyFill="1" applyBorder="1" applyAlignment="1">
      <alignment horizontal="center" vertical="center"/>
    </xf>
    <xf numFmtId="176" fontId="2" fillId="0" borderId="3" xfId="1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76" fontId="2" fillId="2" borderId="0" xfId="1" applyNumberFormat="1" applyFont="1" applyFill="1" applyBorder="1" applyAlignment="1">
      <alignment horizontal="center" vertical="center"/>
    </xf>
    <xf numFmtId="0" fontId="30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1" fillId="2" borderId="0" xfId="0" applyFont="1" applyFill="1">
      <alignment vertical="center"/>
    </xf>
    <xf numFmtId="0" fontId="2" fillId="2" borderId="0" xfId="0" applyFont="1" applyFill="1" applyBorder="1">
      <alignment vertical="center"/>
    </xf>
    <xf numFmtId="0" fontId="10" fillId="2" borderId="0" xfId="0" applyFont="1" applyFill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183" fontId="2" fillId="2" borderId="0" xfId="0" applyNumberFormat="1" applyFont="1" applyFill="1" applyAlignment="1">
      <alignment horizontal="center" vertical="center"/>
    </xf>
    <xf numFmtId="182" fontId="2" fillId="2" borderId="0" xfId="0" applyNumberFormat="1" applyFont="1" applyFill="1" applyAlignment="1">
      <alignment horizontal="center" vertical="center"/>
    </xf>
    <xf numFmtId="180" fontId="2" fillId="2" borderId="0" xfId="0" applyNumberFormat="1" applyFont="1" applyFill="1" applyAlignment="1">
      <alignment horizontal="center" vertical="center"/>
    </xf>
    <xf numFmtId="0" fontId="32" fillId="2" borderId="0" xfId="0" applyFont="1" applyFill="1">
      <alignment vertical="center"/>
    </xf>
    <xf numFmtId="0" fontId="6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6" fillId="3" borderId="0" xfId="0" applyFont="1" applyFill="1">
      <alignment vertical="center"/>
    </xf>
    <xf numFmtId="180" fontId="2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82" fontId="2" fillId="5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78" fontId="10" fillId="2" borderId="0" xfId="0" applyNumberFormat="1" applyFont="1" applyFill="1">
      <alignment vertical="center"/>
    </xf>
    <xf numFmtId="0" fontId="31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33" fillId="2" borderId="0" xfId="0" applyFont="1" applyFill="1" applyAlignment="1">
      <alignment horizontal="center" vertical="center"/>
    </xf>
    <xf numFmtId="0" fontId="34" fillId="2" borderId="0" xfId="0" applyFont="1" applyFill="1">
      <alignment vertical="center"/>
    </xf>
    <xf numFmtId="43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43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2" fillId="2" borderId="0" xfId="0" applyNumberFormat="1" applyFont="1" applyFill="1">
      <alignment vertical="center"/>
    </xf>
    <xf numFmtId="43" fontId="2" fillId="2" borderId="0" xfId="0" applyNumberFormat="1" applyFont="1" applyFill="1" applyAlignment="1">
      <alignment vertical="center"/>
    </xf>
    <xf numFmtId="4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31" fillId="2" borderId="0" xfId="0" applyNumberFormat="1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43" fontId="2" fillId="2" borderId="0" xfId="0" applyNumberFormat="1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right" vertical="center"/>
    </xf>
    <xf numFmtId="4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1" fontId="2" fillId="2" borderId="0" xfId="0" applyNumberFormat="1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184697</xdr:colOff>
      <xdr:row>30</xdr:row>
      <xdr:rowOff>17195</xdr:rowOff>
    </xdr:from>
    <xdr:ext cx="1569263" cy="2861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08522" y="5551220"/>
              <a:ext cx="1569263" cy="286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altLang="ko-KR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𝑘𝐿</m:t>
                      </m:r>
                    </m:num>
                    <m:den>
                      <m:r>
                        <a:rPr lang="en-US" altLang="ko-KR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den>
                  </m:f>
                  <m:r>
                    <a:rPr lang="en-US" altLang="ko-KR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sty m:val="p"/>
                    </m:rPr>
                    <a:rPr lang="en-US" altLang="ko-KR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max</m:t>
                  </m:r>
                  <m:r>
                    <a:rPr lang="en-US" altLang="ko-KR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{</m:t>
                  </m:r>
                  <m:f>
                    <m:fPr>
                      <m:ctrlPr>
                        <a:rPr lang="en-US" altLang="ko-KR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e>
                        <m:sub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  <m:sSub>
                        <m:sSubPr>
                          <m:ctrlP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  <m:sub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altLang="ko-KR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ko-KR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altLang="ko-KR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den>
                  </m:f>
                  <m:r>
                    <a:rPr lang="en-US" altLang="ko-KR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 </m:t>
                  </m:r>
                  <m:f>
                    <m:fPr>
                      <m:ctrlPr>
                        <a:rPr lang="en-US" altLang="ko-KR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e>
                        <m:sub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sub>
                      </m:sSub>
                      <m:sSub>
                        <m:sSubPr>
                          <m:ctrlP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  <m:sub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altLang="ko-KR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ko-KR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altLang="ko-KR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sub>
                      </m:sSub>
                    </m:den>
                  </m:f>
                  <m:r>
                    <a:rPr lang="en-US" altLang="ko-KR" sz="1050" b="0" i="1">
                      <a:latin typeface="Cambria Math" panose="02040503050406030204" pitchFamily="18" charset="0"/>
                    </a:rPr>
                    <m:t>}</m:t>
                  </m:r>
                </m:oMath>
              </a14:m>
              <a:r>
                <a:rPr lang="ko-KR" altLang="en-US" sz="1050"/>
                <a:t>  </a:t>
              </a: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08522" y="5551220"/>
              <a:ext cx="1569263" cy="286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ko-K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𝑘𝐿/𝑟=max{(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𝑘_𝑥 𝐿_𝑥</a:t>
              </a:r>
              <a:r>
                <a:rPr lang="en-US" altLang="ko-K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)/𝑟_𝑥 ,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𝑘_𝑦 𝐿_𝑦</a:t>
              </a:r>
              <a:r>
                <a:rPr lang="en-US" altLang="ko-K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)/𝑟_𝑦 </a:t>
              </a:r>
              <a:r>
                <a:rPr lang="en-US" altLang="ko-KR" sz="1050" b="0" i="0">
                  <a:latin typeface="Cambria Math" panose="02040503050406030204" pitchFamily="18" charset="0"/>
                </a:rPr>
                <a:t>}</a:t>
              </a:r>
              <a:r>
                <a:rPr lang="ko-KR" altLang="en-US" sz="1050"/>
                <a:t>  </a:t>
              </a:r>
            </a:p>
          </xdr:txBody>
        </xdr:sp>
      </mc:Fallback>
    </mc:AlternateContent>
    <xdr:clientData/>
  </xdr:oneCellAnchor>
  <xdr:twoCellAnchor editAs="oneCell">
    <xdr:from>
      <xdr:col>17</xdr:col>
      <xdr:colOff>596348</xdr:colOff>
      <xdr:row>0</xdr:row>
      <xdr:rowOff>0</xdr:rowOff>
    </xdr:from>
    <xdr:to>
      <xdr:col>31</xdr:col>
      <xdr:colOff>331694</xdr:colOff>
      <xdr:row>13</xdr:row>
      <xdr:rowOff>190406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1373" y="0"/>
          <a:ext cx="5059821" cy="2685956"/>
        </a:xfrm>
        <a:prstGeom prst="rect">
          <a:avLst/>
        </a:prstGeom>
      </xdr:spPr>
    </xdr:pic>
    <xdr:clientData/>
  </xdr:twoCellAnchor>
  <xdr:oneCellAnchor>
    <xdr:from>
      <xdr:col>1</xdr:col>
      <xdr:colOff>145867</xdr:colOff>
      <xdr:row>55</xdr:row>
      <xdr:rowOff>177166</xdr:rowOff>
    </xdr:from>
    <xdr:ext cx="436080" cy="4092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69692" y="11188066"/>
              <a:ext cx="436080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ko-KR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altLang="ko-KR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λ</m:t>
                        </m:r>
                      </m:e>
                      <m:sub>
                        <m:r>
                          <a:rPr lang="en-US" altLang="ko-KR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el-GR" altLang="ko-KR" sz="9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l-GR" altLang="ko-KR" sz="9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l-GR" altLang="ko-KR" sz="9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9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9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l-GR" altLang="ko-KR" sz="9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9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900" b="0" i="1">
                                    <a:latin typeface="Cambria Math" panose="02040503050406030204" pitchFamily="18" charset="0"/>
                                  </a:rPr>
                                  <m:t>𝑐𝑟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69692" y="11188066"/>
              <a:ext cx="436080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altLang="ko-KR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λ_</a:t>
              </a:r>
              <a:r>
                <a:rPr lang="en-US" altLang="ko-K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  </a:t>
              </a:r>
              <a:r>
                <a:rPr lang="el-GR" altLang="ko-KR" sz="900" i="0">
                  <a:latin typeface="Cambria Math" panose="02040503050406030204" pitchFamily="18" charset="0"/>
                </a:rPr>
                <a:t>√(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𝐹</a:t>
              </a:r>
              <a:r>
                <a:rPr lang="el-GR" altLang="ko-KR" sz="900" b="0" i="0">
                  <a:latin typeface="Cambria Math" panose="02040503050406030204" pitchFamily="18" charset="0"/>
                </a:rPr>
                <a:t>_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𝑦</a:t>
              </a:r>
              <a:r>
                <a:rPr lang="el-GR" altLang="ko-KR" sz="900" b="0" i="0">
                  <a:latin typeface="Cambria Math" panose="02040503050406030204" pitchFamily="18" charset="0"/>
                </a:rPr>
                <a:t>/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𝐹</a:t>
              </a:r>
              <a:r>
                <a:rPr lang="el-GR" altLang="ko-KR" sz="900" b="0" i="0">
                  <a:latin typeface="Cambria Math" panose="02040503050406030204" pitchFamily="18" charset="0"/>
                </a:rPr>
                <a:t>_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𝑐𝑟 </a:t>
              </a:r>
              <a:r>
                <a:rPr lang="el-GR" altLang="ko-KR" sz="9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   </a:t>
              </a:r>
              <a:endParaRPr lang="ko-KR" altLang="en-US" sz="900"/>
            </a:p>
          </xdr:txBody>
        </xdr:sp>
      </mc:Fallback>
    </mc:AlternateContent>
    <xdr:clientData/>
  </xdr:oneCellAnchor>
  <xdr:twoCellAnchor editAs="oneCell">
    <xdr:from>
      <xdr:col>18</xdr:col>
      <xdr:colOff>0</xdr:colOff>
      <xdr:row>28</xdr:row>
      <xdr:rowOff>0</xdr:rowOff>
    </xdr:from>
    <xdr:to>
      <xdr:col>26</xdr:col>
      <xdr:colOff>36322</xdr:colOff>
      <xdr:row>37</xdr:row>
      <xdr:rowOff>83327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7975" y="5257800"/>
          <a:ext cx="2855722" cy="2283602"/>
        </a:xfrm>
        <a:prstGeom prst="rect">
          <a:avLst/>
        </a:prstGeom>
      </xdr:spPr>
    </xdr:pic>
    <xdr:clientData/>
  </xdr:twoCellAnchor>
  <xdr:twoCellAnchor editAs="oneCell">
    <xdr:from>
      <xdr:col>12</xdr:col>
      <xdr:colOff>109539</xdr:colOff>
      <xdr:row>8</xdr:row>
      <xdr:rowOff>72389</xdr:rowOff>
    </xdr:from>
    <xdr:to>
      <xdr:col>15</xdr:col>
      <xdr:colOff>123827</xdr:colOff>
      <xdr:row>14</xdr:row>
      <xdr:rowOff>109288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14814" y="1615439"/>
          <a:ext cx="1100138" cy="1179899"/>
        </a:xfrm>
        <a:prstGeom prst="rect">
          <a:avLst/>
        </a:prstGeom>
      </xdr:spPr>
    </xdr:pic>
    <xdr:clientData/>
  </xdr:twoCellAnchor>
  <xdr:oneCellAnchor>
    <xdr:from>
      <xdr:col>1</xdr:col>
      <xdr:colOff>138934</xdr:colOff>
      <xdr:row>4</xdr:row>
      <xdr:rowOff>25291</xdr:rowOff>
    </xdr:from>
    <xdr:ext cx="28903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262759" y="930166"/>
              <a:ext cx="2890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ko-KR" altLang="ko-KR" sz="1000">
                <a:effectLst/>
              </a:endParaRPr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262759" y="930166"/>
              <a:ext cx="2890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𝑘_𝑥 𝐿_𝑥  </a:t>
              </a:r>
              <a:endParaRPr lang="ko-KR" altLang="ko-KR" sz="1000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134664</xdr:colOff>
      <xdr:row>5</xdr:row>
      <xdr:rowOff>20036</xdr:rowOff>
    </xdr:from>
    <xdr:ext cx="289034" cy="1850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258489" y="1115411"/>
              <a:ext cx="289034" cy="185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ko-KR" altLang="ko-KR" sz="1000">
                <a:effectLst/>
              </a:endParaRPr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258489" y="1115411"/>
              <a:ext cx="289034" cy="185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𝑘_𝑦 𝐿_𝑦</a:t>
              </a:r>
              <a:endParaRPr lang="ko-KR" altLang="ko-KR" sz="1000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128808</xdr:colOff>
      <xdr:row>6</xdr:row>
      <xdr:rowOff>18726</xdr:rowOff>
    </xdr:from>
    <xdr:ext cx="28903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252633" y="1304601"/>
              <a:ext cx="2890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sub>
                    </m:sSub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ko-KR" altLang="ko-KR" sz="1000">
                <a:effectLst/>
              </a:endParaRPr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252633" y="1304601"/>
              <a:ext cx="2890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𝑘_𝑧 𝐿_𝑧  </a:t>
              </a:r>
              <a:endParaRPr lang="ko-KR" altLang="ko-KR" sz="1000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185737</xdr:colOff>
      <xdr:row>30</xdr:row>
      <xdr:rowOff>304800</xdr:rowOff>
    </xdr:from>
    <xdr:ext cx="389209" cy="3333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309562" y="5838825"/>
              <a:ext cx="389209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4.71</m:t>
                    </m:r>
                    <m:rad>
                      <m:radPr>
                        <m:degHide m:val="on"/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ko-KR" altLang="en-US" sz="8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309562" y="5838825"/>
              <a:ext cx="389209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800" b="0" i="0">
                  <a:latin typeface="Cambria Math" panose="02040503050406030204" pitchFamily="18" charset="0"/>
                </a:rPr>
                <a:t>4.71√(𝐸/𝐹_𝑦 )</a:t>
              </a:r>
              <a:endParaRPr lang="ko-KR" altLang="en-US" sz="800"/>
            </a:p>
          </xdr:txBody>
        </xdr:sp>
      </mc:Fallback>
    </mc:AlternateContent>
    <xdr:clientData/>
  </xdr:oneCellAnchor>
  <xdr:oneCellAnchor>
    <xdr:from>
      <xdr:col>1</xdr:col>
      <xdr:colOff>109535</xdr:colOff>
      <xdr:row>33</xdr:row>
      <xdr:rowOff>4763</xdr:rowOff>
    </xdr:from>
    <xdr:ext cx="619127" cy="3935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233360" y="6415088"/>
              <a:ext cx="619127" cy="393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l-GR" altLang="ko-KR" sz="800" b="0" i="1">
                                <a:latin typeface="Cambria Math" panose="02040503050406030204" pitchFamily="18" charset="0"/>
                              </a:rPr>
                              <m:t>π</m:t>
                            </m:r>
                          </m:e>
                          <m:sup>
                            <m: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sSup>
                          <m:sSupPr>
                            <m:ctrlP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altLang="ko-KR" sz="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800" b="0" i="1">
                                        <a:latin typeface="Cambria Math" panose="02040503050406030204" pitchFamily="18" charset="0"/>
                                      </a:rPr>
                                      <m:t>𝑘𝐿</m:t>
                                    </m:r>
                                  </m:num>
                                  <m:den>
                                    <m:r>
                                      <a:rPr lang="en-US" altLang="ko-KR" sz="8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ko-KR" altLang="en-US" sz="8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233360" y="6415088"/>
              <a:ext cx="619127" cy="393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800" b="0" i="0">
                  <a:latin typeface="Cambria Math" panose="02040503050406030204" pitchFamily="18" charset="0"/>
                </a:rPr>
                <a:t>𝐹_𝑒=(</a:t>
              </a:r>
              <a:r>
                <a:rPr lang="el-GR" altLang="ko-KR" sz="800" b="0" i="0">
                  <a:latin typeface="Cambria Math" panose="02040503050406030204" pitchFamily="18" charset="0"/>
                </a:rPr>
                <a:t>π</a:t>
              </a:r>
              <a:r>
                <a:rPr lang="en-US" altLang="ko-KR" sz="800" b="0" i="0">
                  <a:latin typeface="Cambria Math" panose="02040503050406030204" pitchFamily="18" charset="0"/>
                </a:rPr>
                <a:t>^2  𝐸)/[𝑘𝐿/𝑟]^2 </a:t>
              </a:r>
              <a:endParaRPr lang="ko-KR" altLang="en-US" sz="800"/>
            </a:p>
          </xdr:txBody>
        </xdr:sp>
      </mc:Fallback>
    </mc:AlternateContent>
    <xdr:clientData/>
  </xdr:oneCellAnchor>
  <xdr:oneCellAnchor>
    <xdr:from>
      <xdr:col>1</xdr:col>
      <xdr:colOff>133349</xdr:colOff>
      <xdr:row>33</xdr:row>
      <xdr:rowOff>390526</xdr:rowOff>
    </xdr:from>
    <xdr:ext cx="895351" cy="2196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257174" y="6800851"/>
              <a:ext cx="895351" cy="219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𝑐𝑟</m:t>
                        </m:r>
                      </m:sub>
                    </m:sSub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{0.658</m:t>
                        </m:r>
                      </m:e>
                      <m:sup>
                        <m:f>
                          <m:fPr>
                            <m:ctrlP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sup>
                    </m:sSup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} </m:t>
                    </m:r>
                    <m:sSub>
                      <m:sSubPr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ko-KR" altLang="en-US" sz="8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257174" y="6800851"/>
              <a:ext cx="895351" cy="219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800" b="0" i="0">
                  <a:latin typeface="Cambria Math" panose="02040503050406030204" pitchFamily="18" charset="0"/>
                </a:rPr>
                <a:t>𝐹_𝑐𝑟=〖{0.658〗^(𝐹_𝑦/𝐹_𝑒 )} 𝐹_𝑦</a:t>
              </a:r>
              <a:endParaRPr lang="ko-KR" altLang="en-US" sz="800"/>
            </a:p>
          </xdr:txBody>
        </xdr:sp>
      </mc:Fallback>
    </mc:AlternateContent>
    <xdr:clientData/>
  </xdr:oneCellAnchor>
  <xdr:oneCellAnchor>
    <xdr:from>
      <xdr:col>1</xdr:col>
      <xdr:colOff>166688</xdr:colOff>
      <xdr:row>35</xdr:row>
      <xdr:rowOff>76200</xdr:rowOff>
    </xdr:from>
    <xdr:ext cx="666657" cy="125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290513" y="7115175"/>
              <a:ext cx="66665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𝑐𝑟</m:t>
                        </m:r>
                      </m:sub>
                    </m:sSub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= 0.877 </m:t>
                    </m:r>
                    <m:sSub>
                      <m:sSubPr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</m:oMath>
                </m:oMathPara>
              </a14:m>
              <a:endParaRPr lang="ko-KR" altLang="en-US" sz="8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290513" y="7115175"/>
              <a:ext cx="66665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800" b="0" i="0">
                  <a:latin typeface="Cambria Math" panose="02040503050406030204" pitchFamily="18" charset="0"/>
                </a:rPr>
                <a:t>𝐹_𝑐𝑟= 0.877 𝐹_𝑒</a:t>
              </a:r>
              <a:endParaRPr lang="ko-KR" altLang="en-US" sz="800"/>
            </a:p>
          </xdr:txBody>
        </xdr:sp>
      </mc:Fallback>
    </mc:AlternateContent>
    <xdr:clientData/>
  </xdr:oneCellAnchor>
  <xdr:oneCellAnchor>
    <xdr:from>
      <xdr:col>1</xdr:col>
      <xdr:colOff>176212</xdr:colOff>
      <xdr:row>36</xdr:row>
      <xdr:rowOff>52388</xdr:rowOff>
    </xdr:from>
    <xdr:ext cx="570413" cy="133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300037" y="7319963"/>
              <a:ext cx="570413" cy="133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𝑐𝑟</m:t>
                        </m:r>
                      </m:sub>
                    </m:sSub>
                    <m:sSub>
                      <m:sSubPr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</m:oMath>
                </m:oMathPara>
              </a14:m>
              <a:endParaRPr lang="ko-KR" altLang="en-US" sz="8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300037" y="7319963"/>
              <a:ext cx="570413" cy="133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800" b="0" i="0">
                  <a:latin typeface="Cambria Math" panose="02040503050406030204" pitchFamily="18" charset="0"/>
                </a:rPr>
                <a:t>𝑃_𝑛1= 𝐹_𝑐𝑟 𝐴_𝑔</a:t>
              </a:r>
              <a:endParaRPr lang="ko-KR" altLang="en-US" sz="800"/>
            </a:p>
          </xdr:txBody>
        </xdr:sp>
      </mc:Fallback>
    </mc:AlternateContent>
    <xdr:clientData/>
  </xdr:oneCellAnchor>
  <xdr:oneCellAnchor>
    <xdr:from>
      <xdr:col>1</xdr:col>
      <xdr:colOff>147637</xdr:colOff>
      <xdr:row>39</xdr:row>
      <xdr:rowOff>66674</xdr:rowOff>
    </xdr:from>
    <xdr:ext cx="1253869" cy="2816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271462" y="7905749"/>
              <a:ext cx="1253869" cy="281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sty m:val="p"/>
                                  </m:rPr>
                                  <a:rPr lang="el-GR" altLang="ko-KR" sz="800" b="0" i="1">
                                    <a:latin typeface="Cambria Math" panose="02040503050406030204" pitchFamily="18" charset="0"/>
                                  </a:rPr>
                                  <m:t>π</m:t>
                                </m:r>
                              </m:e>
                              <m:sup>
                                <m: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sSub>
                              <m:sSubPr>
                                <m:ctrlP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sub>
                            </m:sSub>
                            <m: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ko-KR" sz="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𝑘</m:t>
                                        </m:r>
                                      </m:e>
                                      <m:sub>
                                        <m:r>
                                          <a:rPr lang="en-US" altLang="ko-KR" sz="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𝑧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en-US" altLang="ko-KR" sz="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e>
                                      <m:sub>
                                        <m:r>
                                          <a:rPr lang="en-US" altLang="ko-KR" sz="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𝑧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𝐺𝐽</m:t>
                        </m:r>
                      </m:e>
                    </m:d>
                    <m:f>
                      <m:fPr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ko-KR" altLang="en-US" sz="8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271462" y="7905749"/>
              <a:ext cx="1253869" cy="281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800" b="0" i="0">
                  <a:latin typeface="Cambria Math" panose="02040503050406030204" pitchFamily="18" charset="0"/>
                </a:rPr>
                <a:t>𝐹_𝑒=[(</a:t>
              </a:r>
              <a:r>
                <a:rPr lang="el-GR" altLang="ko-KR" sz="800" b="0" i="0">
                  <a:latin typeface="Cambria Math" panose="02040503050406030204" pitchFamily="18" charset="0"/>
                </a:rPr>
                <a:t>π</a:t>
              </a:r>
              <a:r>
                <a:rPr lang="en-US" altLang="ko-KR" sz="800" b="0" i="0">
                  <a:latin typeface="Cambria Math" panose="02040503050406030204" pitchFamily="18" charset="0"/>
                </a:rPr>
                <a:t>^2  𝐸𝐶_𝑤  )/(</a:t>
              </a:r>
              <a:r>
                <a:rPr lang="en-US" altLang="ko-KR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𝑘_𝑧 𝐿_𝑧 )^</a:t>
              </a:r>
              <a:r>
                <a:rPr lang="en-US" altLang="ko-KR" sz="800" b="0" i="0">
                  <a:latin typeface="Cambria Math" panose="02040503050406030204" pitchFamily="18" charset="0"/>
                </a:rPr>
                <a:t>2 +𝐺𝐽]  1/(𝐼_𝑥+𝐼_𝑦 )</a:t>
              </a:r>
              <a:endParaRPr lang="ko-KR" altLang="en-US" sz="800"/>
            </a:p>
          </xdr:txBody>
        </xdr:sp>
      </mc:Fallback>
    </mc:AlternateContent>
    <xdr:clientData/>
  </xdr:oneCellAnchor>
  <xdr:oneCellAnchor>
    <xdr:from>
      <xdr:col>1</xdr:col>
      <xdr:colOff>133349</xdr:colOff>
      <xdr:row>39</xdr:row>
      <xdr:rowOff>390526</xdr:rowOff>
    </xdr:from>
    <xdr:ext cx="895351" cy="2196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257174" y="8229601"/>
              <a:ext cx="895351" cy="219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𝑐𝑟</m:t>
                        </m:r>
                      </m:sub>
                    </m:sSub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{0.658</m:t>
                        </m:r>
                      </m:e>
                      <m:sup>
                        <m:f>
                          <m:fPr>
                            <m:ctrlP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sup>
                    </m:sSup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} </m:t>
                    </m:r>
                    <m:sSub>
                      <m:sSubPr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ko-KR" altLang="en-US" sz="8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257174" y="8229601"/>
              <a:ext cx="895351" cy="219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800" b="0" i="0">
                  <a:latin typeface="Cambria Math" panose="02040503050406030204" pitchFamily="18" charset="0"/>
                </a:rPr>
                <a:t>𝐹_𝑐𝑟=〖{0.658〗^(𝐹_𝑦/𝐹_𝑒 )} 𝐹_𝑦</a:t>
              </a:r>
              <a:endParaRPr lang="ko-KR" altLang="en-US" sz="800"/>
            </a:p>
          </xdr:txBody>
        </xdr:sp>
      </mc:Fallback>
    </mc:AlternateContent>
    <xdr:clientData/>
  </xdr:oneCellAnchor>
  <xdr:oneCellAnchor>
    <xdr:from>
      <xdr:col>1</xdr:col>
      <xdr:colOff>166688</xdr:colOff>
      <xdr:row>41</xdr:row>
      <xdr:rowOff>76200</xdr:rowOff>
    </xdr:from>
    <xdr:ext cx="666657" cy="125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290513" y="8496300"/>
              <a:ext cx="66665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𝑐𝑟</m:t>
                        </m:r>
                      </m:sub>
                    </m:sSub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= 0.877 </m:t>
                    </m:r>
                    <m:sSub>
                      <m:sSubPr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</m:oMath>
                </m:oMathPara>
              </a14:m>
              <a:endParaRPr lang="ko-KR" altLang="en-US" sz="8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290513" y="8496300"/>
              <a:ext cx="66665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800" b="0" i="0">
                  <a:latin typeface="Cambria Math" panose="02040503050406030204" pitchFamily="18" charset="0"/>
                </a:rPr>
                <a:t>𝐹_𝑐𝑟= 0.877 𝐹_𝑒</a:t>
              </a:r>
              <a:endParaRPr lang="ko-KR" altLang="en-US" sz="800"/>
            </a:p>
          </xdr:txBody>
        </xdr:sp>
      </mc:Fallback>
    </mc:AlternateContent>
    <xdr:clientData/>
  </xdr:oneCellAnchor>
  <xdr:oneCellAnchor>
    <xdr:from>
      <xdr:col>1</xdr:col>
      <xdr:colOff>176212</xdr:colOff>
      <xdr:row>42</xdr:row>
      <xdr:rowOff>52388</xdr:rowOff>
    </xdr:from>
    <xdr:ext cx="570413" cy="133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300037" y="8701088"/>
              <a:ext cx="570413" cy="133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𝑐𝑟</m:t>
                        </m:r>
                      </m:sub>
                    </m:sSub>
                    <m:sSub>
                      <m:sSubPr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</m:oMath>
                </m:oMathPara>
              </a14:m>
              <a:endParaRPr lang="ko-KR" altLang="en-US" sz="8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300037" y="8701088"/>
              <a:ext cx="570413" cy="133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800" b="0" i="0">
                  <a:latin typeface="Cambria Math" panose="02040503050406030204" pitchFamily="18" charset="0"/>
                </a:rPr>
                <a:t>𝑃_𝑛2= 𝐹_𝑐𝑟 𝐴_𝑔</a:t>
              </a:r>
              <a:endParaRPr lang="ko-KR" altLang="en-US" sz="800"/>
            </a:p>
          </xdr:txBody>
        </xdr:sp>
      </mc:Fallback>
    </mc:AlternateContent>
    <xdr:clientData/>
  </xdr:oneCellAnchor>
  <xdr:oneCellAnchor>
    <xdr:from>
      <xdr:col>1</xdr:col>
      <xdr:colOff>176213</xdr:colOff>
      <xdr:row>45</xdr:row>
      <xdr:rowOff>14287</xdr:rowOff>
    </xdr:from>
    <xdr:ext cx="1218795" cy="125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300038" y="9120187"/>
              <a:ext cx="1218795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𝑆𝑚𝑎𝑙𝑙𝑒𝑟</m:t>
                    </m:r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𝑜𝑟</m:t>
                    </m:r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altLang="ko-KR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US" altLang="ko-KR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altLang="ko-KR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ko-KR" altLang="en-US" sz="8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300038" y="9120187"/>
              <a:ext cx="1218795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800" b="0" i="0">
                  <a:latin typeface="Cambria Math" panose="02040503050406030204" pitchFamily="18" charset="0"/>
                </a:rPr>
                <a:t>𝑃_𝑛=𝑆𝑚𝑎𝑙𝑙𝑒𝑟 𝑜𝑓 𝑃_𝑛1  𝑜𝑟 </a:t>
              </a:r>
              <a:r>
                <a:rPr lang="en-US" altLang="ko-KR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𝑃_𝑛2</a:t>
              </a:r>
              <a:endParaRPr lang="ko-KR" altLang="en-US" sz="800"/>
            </a:p>
          </xdr:txBody>
        </xdr:sp>
      </mc:Fallback>
    </mc:AlternateContent>
    <xdr:clientData/>
  </xdr:oneCellAnchor>
  <xdr:oneCellAnchor>
    <xdr:from>
      <xdr:col>1</xdr:col>
      <xdr:colOff>123825</xdr:colOff>
      <xdr:row>49</xdr:row>
      <xdr:rowOff>33337</xdr:rowOff>
    </xdr:from>
    <xdr:ext cx="421589" cy="2653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247650" y="9786937"/>
              <a:ext cx="421589" cy="265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𝑐𝑟</m:t>
                        </m:r>
                      </m:sub>
                    </m:sSub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ko-KR" altLang="en-US" sz="8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247650" y="9786937"/>
              <a:ext cx="421589" cy="265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800" b="0" i="0">
                  <a:latin typeface="Cambria Math" panose="02040503050406030204" pitchFamily="18" charset="0"/>
                </a:rPr>
                <a:t>𝐹_𝑐𝑟=  𝑃_𝑛/𝐴_𝑔 </a:t>
              </a:r>
              <a:endParaRPr lang="ko-KR" altLang="en-US" sz="800"/>
            </a:p>
          </xdr:txBody>
        </xdr:sp>
      </mc:Fallback>
    </mc:AlternateContent>
    <xdr:clientData/>
  </xdr:oneCellAnchor>
  <xdr:oneCellAnchor>
    <xdr:from>
      <xdr:col>12</xdr:col>
      <xdr:colOff>198255</xdr:colOff>
      <xdr:row>56</xdr:row>
      <xdr:rowOff>172403</xdr:rowOff>
    </xdr:from>
    <xdr:ext cx="65" cy="140872"/>
    <xdr:sp macro="" textlink="">
      <xdr:nvSpPr>
        <xdr:cNvPr id="21" name="TextBox 20"/>
        <xdr:cNvSpPr txBox="1"/>
      </xdr:nvSpPr>
      <xdr:spPr>
        <a:xfrm>
          <a:off x="4303530" y="11373803"/>
          <a:ext cx="65" cy="1408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900"/>
        </a:p>
      </xdr:txBody>
    </xdr:sp>
    <xdr:clientData/>
  </xdr:oneCellAnchor>
  <xdr:oneCellAnchor>
    <xdr:from>
      <xdr:col>1</xdr:col>
      <xdr:colOff>55396</xdr:colOff>
      <xdr:row>61</xdr:row>
      <xdr:rowOff>45871</xdr:rowOff>
    </xdr:from>
    <xdr:ext cx="773738" cy="2000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179221" y="13285621"/>
              <a:ext cx="773738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𝑅𝐹</m:t>
                    </m:r>
                  </m:oMath>
                </m:oMathPara>
              </a14:m>
              <a:endParaRPr lang="en-US" altLang="ko-KR" sz="900" b="0"/>
            </a:p>
            <a:p>
              <a:endParaRPr lang="ko-KR" altLang="en-US" sz="1100"/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179221" y="13285621"/>
              <a:ext cx="773738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900" b="0" i="0">
                  <a:latin typeface="Cambria Math" panose="02040503050406030204" pitchFamily="18" charset="0"/>
                </a:rPr>
                <a:t>ℎ_𝑒=ℎ 𝑥 𝑅𝐹</a:t>
              </a:r>
              <a:endParaRPr lang="en-US" altLang="ko-KR" sz="900" b="0"/>
            </a:p>
            <a:p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90487</xdr:colOff>
      <xdr:row>59</xdr:row>
      <xdr:rowOff>42862</xdr:rowOff>
    </xdr:from>
    <xdr:ext cx="1142942" cy="3929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214312" y="12387262"/>
              <a:ext cx="1142942" cy="392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800" b="0" i="0">
                        <a:latin typeface="Cambria Math" panose="02040503050406030204" pitchFamily="18" charset="0"/>
                      </a:rPr>
                      <m:t>RF</m:t>
                    </m:r>
                    <m:r>
                      <a:rPr lang="en-US" altLang="ko-KR" sz="800" b="0" i="0">
                        <a:latin typeface="Cambria Math" panose="02040503050406030204" pitchFamily="18" charset="0"/>
                      </a:rPr>
                      <m:t>2=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8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ad>
                          <m:radPr>
                            <m:degHide m:val="on"/>
                            <m:ctrlP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ko-KR" sz="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800" b="0" i="1">
                                        <a:latin typeface="Cambria Math" panose="02040503050406030204" pitchFamily="18" charset="0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en-US" altLang="ko-KR" sz="800" b="0" i="1">
                                        <a:latin typeface="Cambria Math" panose="02040503050406030204" pitchFamily="18" charset="0"/>
                                      </a:rPr>
                                      <m:t>𝑒𝑙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800" b="0" i="1">
                                        <a:latin typeface="Cambria Math" panose="02040503050406030204" pitchFamily="18" charset="0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en-US" altLang="ko-KR" sz="800" b="0" i="1">
                                        <a:latin typeface="Cambria Math" panose="02040503050406030204" pitchFamily="18" charset="0"/>
                                      </a:rPr>
                                      <m:t>𝑐𝑟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</m:e>
                    </m:d>
                    <m:rad>
                      <m:radPr>
                        <m:degHide m:val="on"/>
                        <m:ctrlPr>
                          <a:rPr lang="en-US" altLang="ko-KR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ko-KR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𝑒𝑙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altLang="ko-KR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𝑐𝑟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ko-KR" altLang="en-US" sz="8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214312" y="12387262"/>
              <a:ext cx="1142942" cy="392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800" b="0" i="0">
                  <a:latin typeface="Cambria Math" panose="02040503050406030204" pitchFamily="18" charset="0"/>
                </a:rPr>
                <a:t>RF2=</a:t>
              </a:r>
              <a:r>
                <a:rPr lang="en-US" altLang="ko-KR" sz="800" i="0">
                  <a:latin typeface="Cambria Math" panose="02040503050406030204" pitchFamily="18" charset="0"/>
                </a:rPr>
                <a:t>{</a:t>
              </a:r>
              <a:r>
                <a:rPr lang="en-US" altLang="ko-KR" sz="800" b="0" i="0">
                  <a:latin typeface="Cambria Math" panose="02040503050406030204" pitchFamily="18" charset="0"/>
                </a:rPr>
                <a:t>1−𝑐_1 √(𝐹_𝑒𝑙/𝐹_𝑐𝑟 )}</a:t>
              </a:r>
              <a:r>
                <a:rPr lang="en-US" altLang="ko-KR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√(𝐹_𝑒𝑙/𝐹_𝑐𝑟 )</a:t>
              </a:r>
              <a:endParaRPr lang="ko-KR" altLang="en-US" sz="800"/>
            </a:p>
          </xdr:txBody>
        </xdr:sp>
      </mc:Fallback>
    </mc:AlternateContent>
    <xdr:clientData/>
  </xdr:oneCellAnchor>
  <xdr:oneCellAnchor>
    <xdr:from>
      <xdr:col>1</xdr:col>
      <xdr:colOff>142874</xdr:colOff>
      <xdr:row>57</xdr:row>
      <xdr:rowOff>71437</xdr:rowOff>
    </xdr:from>
    <xdr:ext cx="739113" cy="2337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266699" y="11720512"/>
              <a:ext cx="739113" cy="233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f>
                          <m:fPr>
                            <m:ctrlP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altLang="ko-KR" sz="800" b="0" i="1">
                                    <a:latin typeface="Cambria Math" panose="02040503050406030204" pitchFamily="18" charset="0"/>
                                  </a:rPr>
                                  <m:t>λ</m:t>
                                </m:r>
                              </m:e>
                              <m:sub>
                                <m: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l-GR" altLang="ko-KR" sz="800" b="0" i="1">
                                <a:latin typeface="Cambria Math" panose="02040503050406030204" pitchFamily="18" charset="0"/>
                              </a:rPr>
                              <m:t>λ</m:t>
                            </m:r>
                          </m:den>
                        </m:f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ko-KR" altLang="en-US" sz="8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266699" y="11720512"/>
              <a:ext cx="739113" cy="233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800" b="0" i="0">
                  <a:latin typeface="Cambria Math" panose="02040503050406030204" pitchFamily="18" charset="0"/>
                </a:rPr>
                <a:t>𝐹_𝑒𝑙=〖(𝑐_2  </a:t>
              </a:r>
              <a:r>
                <a:rPr lang="el-GR" altLang="ko-KR" sz="800" b="0" i="0">
                  <a:latin typeface="Cambria Math" panose="02040503050406030204" pitchFamily="18" charset="0"/>
                </a:rPr>
                <a:t>λ</a:t>
              </a:r>
              <a:r>
                <a:rPr lang="en-US" altLang="ko-KR" sz="800" b="0" i="0">
                  <a:latin typeface="Cambria Math" panose="02040503050406030204" pitchFamily="18" charset="0"/>
                </a:rPr>
                <a:t>_𝑟/</a:t>
              </a:r>
              <a:r>
                <a:rPr lang="el-GR" altLang="ko-KR" sz="800" b="0" i="0">
                  <a:latin typeface="Cambria Math" panose="02040503050406030204" pitchFamily="18" charset="0"/>
                </a:rPr>
                <a:t>λ</a:t>
              </a:r>
              <a:r>
                <a:rPr lang="en-US" altLang="ko-KR" sz="800" b="0" i="0">
                  <a:latin typeface="Cambria Math" panose="02040503050406030204" pitchFamily="18" charset="0"/>
                </a:rPr>
                <a:t>)〗^2  𝐹_𝑦</a:t>
              </a:r>
              <a:endParaRPr lang="ko-KR" altLang="en-US" sz="800"/>
            </a:p>
          </xdr:txBody>
        </xdr:sp>
      </mc:Fallback>
    </mc:AlternateContent>
    <xdr:clientData/>
  </xdr:oneCellAnchor>
  <xdr:oneCellAnchor>
    <xdr:from>
      <xdr:col>10</xdr:col>
      <xdr:colOff>310564</xdr:colOff>
      <xdr:row>57</xdr:row>
      <xdr:rowOff>393534</xdr:rowOff>
    </xdr:from>
    <xdr:ext cx="404813" cy="4092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3691939" y="11966409"/>
              <a:ext cx="404813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ko-KR" sz="90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altLang="ko-KR" sz="90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λ</m:t>
                        </m:r>
                      </m:e>
                      <m:sub>
                        <m:r>
                          <a:rPr lang="en-US" altLang="ko-KR" sz="900" b="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900" b="0" i="1">
                        <a:solidFill>
                          <a:srgbClr val="0000FF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el-GR" altLang="ko-KR" sz="900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l-GR" altLang="ko-KR" sz="900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l-GR" altLang="ko-KR" sz="90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l-GR" altLang="ko-KR" sz="90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𝑐𝑟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3691939" y="11966409"/>
              <a:ext cx="404813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altLang="ko-KR" sz="900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λ_</a:t>
              </a:r>
              <a:r>
                <a:rPr lang="en-US" altLang="ko-KR" sz="900" b="0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  </a:t>
              </a:r>
              <a:r>
                <a:rPr lang="el-GR" altLang="ko-KR" sz="900" i="0">
                  <a:solidFill>
                    <a:srgbClr val="0000FF"/>
                  </a:solidFill>
                  <a:latin typeface="Cambria Math" panose="02040503050406030204" pitchFamily="18" charset="0"/>
                </a:rPr>
                <a:t>√(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𝐹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𝑦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𝐹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𝑐𝑟 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  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10</xdr:col>
      <xdr:colOff>290512</xdr:colOff>
      <xdr:row>59</xdr:row>
      <xdr:rowOff>8524</xdr:rowOff>
    </xdr:from>
    <xdr:ext cx="404813" cy="4092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3671887" y="12352924"/>
              <a:ext cx="404813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ko-KR" sz="90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altLang="ko-KR" sz="90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λ</m:t>
                        </m:r>
                      </m:e>
                      <m:sub>
                        <m:r>
                          <a:rPr lang="en-US" altLang="ko-KR" sz="900" b="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900" b="0" i="1">
                        <a:solidFill>
                          <a:srgbClr val="0000FF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el-GR" altLang="ko-KR" sz="900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l-GR" altLang="ko-KR" sz="900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l-GR" altLang="ko-KR" sz="90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l-GR" altLang="ko-KR" sz="90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𝑐𝑟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3671887" y="12352924"/>
              <a:ext cx="404813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altLang="ko-KR" sz="900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λ_</a:t>
              </a:r>
              <a:r>
                <a:rPr lang="en-US" altLang="ko-KR" sz="900" b="0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  </a:t>
              </a:r>
              <a:r>
                <a:rPr lang="el-GR" altLang="ko-KR" sz="900" i="0">
                  <a:solidFill>
                    <a:srgbClr val="0000FF"/>
                  </a:solidFill>
                  <a:latin typeface="Cambria Math" panose="02040503050406030204" pitchFamily="18" charset="0"/>
                </a:rPr>
                <a:t>√(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𝐹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𝑦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𝐹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𝑐𝑟 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  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145867</xdr:colOff>
      <xdr:row>67</xdr:row>
      <xdr:rowOff>177166</xdr:rowOff>
    </xdr:from>
    <xdr:ext cx="436080" cy="4092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269692" y="14607541"/>
              <a:ext cx="436080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ko-KR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altLang="ko-KR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λ</m:t>
                        </m:r>
                      </m:e>
                      <m:sub>
                        <m:r>
                          <a:rPr lang="en-US" altLang="ko-KR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el-GR" altLang="ko-KR" sz="9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l-GR" altLang="ko-KR" sz="9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l-GR" altLang="ko-KR" sz="9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9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9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l-GR" altLang="ko-KR" sz="9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9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900" b="0" i="1">
                                    <a:latin typeface="Cambria Math" panose="02040503050406030204" pitchFamily="18" charset="0"/>
                                  </a:rPr>
                                  <m:t>𝑐𝑟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269692" y="14607541"/>
              <a:ext cx="436080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altLang="ko-KR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λ_</a:t>
              </a:r>
              <a:r>
                <a:rPr lang="en-US" altLang="ko-K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  </a:t>
              </a:r>
              <a:r>
                <a:rPr lang="el-GR" altLang="ko-KR" sz="900" i="0">
                  <a:latin typeface="Cambria Math" panose="02040503050406030204" pitchFamily="18" charset="0"/>
                </a:rPr>
                <a:t>√(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𝐹</a:t>
              </a:r>
              <a:r>
                <a:rPr lang="el-GR" altLang="ko-KR" sz="900" b="0" i="0">
                  <a:latin typeface="Cambria Math" panose="02040503050406030204" pitchFamily="18" charset="0"/>
                </a:rPr>
                <a:t>_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𝑦</a:t>
              </a:r>
              <a:r>
                <a:rPr lang="el-GR" altLang="ko-KR" sz="900" b="0" i="0">
                  <a:latin typeface="Cambria Math" panose="02040503050406030204" pitchFamily="18" charset="0"/>
                </a:rPr>
                <a:t>/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𝐹</a:t>
              </a:r>
              <a:r>
                <a:rPr lang="el-GR" altLang="ko-KR" sz="900" b="0" i="0">
                  <a:latin typeface="Cambria Math" panose="02040503050406030204" pitchFamily="18" charset="0"/>
                </a:rPr>
                <a:t>_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𝑐𝑟 </a:t>
              </a:r>
              <a:r>
                <a:rPr lang="el-GR" altLang="ko-KR" sz="9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   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12</xdr:col>
      <xdr:colOff>198255</xdr:colOff>
      <xdr:row>68</xdr:row>
      <xdr:rowOff>172403</xdr:rowOff>
    </xdr:from>
    <xdr:ext cx="65" cy="140872"/>
    <xdr:sp macro="" textlink="">
      <xdr:nvSpPr>
        <xdr:cNvPr id="28" name="TextBox 27"/>
        <xdr:cNvSpPr txBox="1"/>
      </xdr:nvSpPr>
      <xdr:spPr>
        <a:xfrm>
          <a:off x="4303530" y="14793278"/>
          <a:ext cx="65" cy="1408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900"/>
        </a:p>
      </xdr:txBody>
    </xdr:sp>
    <xdr:clientData/>
  </xdr:oneCellAnchor>
  <xdr:oneCellAnchor>
    <xdr:from>
      <xdr:col>1</xdr:col>
      <xdr:colOff>42863</xdr:colOff>
      <xdr:row>72</xdr:row>
      <xdr:rowOff>428625</xdr:rowOff>
    </xdr:from>
    <xdr:ext cx="773738" cy="1762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166688" y="16402050"/>
              <a:ext cx="773738" cy="1762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ˑ 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𝑅𝐹</m:t>
                    </m:r>
                  </m:oMath>
                </m:oMathPara>
              </a14:m>
              <a:endParaRPr lang="en-US" altLang="ko-KR" sz="900" b="0"/>
            </a:p>
            <a:p>
              <a:endParaRPr lang="ko-KR" alt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166688" y="16402050"/>
              <a:ext cx="773738" cy="1762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900" b="0" i="0">
                  <a:latin typeface="Cambria Math" panose="02040503050406030204" pitchFamily="18" charset="0"/>
                </a:rPr>
                <a:t>𝐵_𝑒=𝐵 ˑ 𝑅𝐹</a:t>
              </a:r>
              <a:endParaRPr lang="en-US" altLang="ko-KR" sz="900" b="0"/>
            </a:p>
            <a:p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111292</xdr:colOff>
      <xdr:row>71</xdr:row>
      <xdr:rowOff>32585</xdr:rowOff>
    </xdr:from>
    <xdr:ext cx="1142942" cy="3929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235117" y="15663110"/>
              <a:ext cx="1142942" cy="392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800" b="0" i="0">
                        <a:latin typeface="Cambria Math" panose="02040503050406030204" pitchFamily="18" charset="0"/>
                      </a:rPr>
                      <m:t>RF</m:t>
                    </m:r>
                    <m:r>
                      <a:rPr lang="en-US" altLang="ko-KR" sz="800" b="0" i="0">
                        <a:latin typeface="Cambria Math" panose="02040503050406030204" pitchFamily="18" charset="0"/>
                      </a:rPr>
                      <m:t>2=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8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ad>
                          <m:radPr>
                            <m:degHide m:val="on"/>
                            <m:ctrlP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ko-KR" sz="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800" b="0" i="1">
                                        <a:latin typeface="Cambria Math" panose="02040503050406030204" pitchFamily="18" charset="0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en-US" altLang="ko-KR" sz="800" b="0" i="1">
                                        <a:latin typeface="Cambria Math" panose="02040503050406030204" pitchFamily="18" charset="0"/>
                                      </a:rPr>
                                      <m:t>𝑒𝑙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800" b="0" i="1">
                                        <a:latin typeface="Cambria Math" panose="02040503050406030204" pitchFamily="18" charset="0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en-US" altLang="ko-KR" sz="800" b="0" i="1">
                                        <a:latin typeface="Cambria Math" panose="02040503050406030204" pitchFamily="18" charset="0"/>
                                      </a:rPr>
                                      <m:t>𝑐𝑟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</m:e>
                    </m:d>
                    <m:rad>
                      <m:radPr>
                        <m:degHide m:val="on"/>
                        <m:ctrlPr>
                          <a:rPr lang="en-US" altLang="ko-KR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ko-KR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𝑒𝑙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altLang="ko-KR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𝑐𝑟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ko-KR" altLang="en-US" sz="8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235117" y="15663110"/>
              <a:ext cx="1142942" cy="392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800" b="0" i="0">
                  <a:latin typeface="Cambria Math" panose="02040503050406030204" pitchFamily="18" charset="0"/>
                </a:rPr>
                <a:t>RF2=</a:t>
              </a:r>
              <a:r>
                <a:rPr lang="en-US" altLang="ko-KR" sz="800" i="0">
                  <a:latin typeface="Cambria Math" panose="02040503050406030204" pitchFamily="18" charset="0"/>
                </a:rPr>
                <a:t>{</a:t>
              </a:r>
              <a:r>
                <a:rPr lang="en-US" altLang="ko-KR" sz="800" b="0" i="0">
                  <a:latin typeface="Cambria Math" panose="02040503050406030204" pitchFamily="18" charset="0"/>
                </a:rPr>
                <a:t>1−𝑐_1 √(𝐹_𝑒𝑙/𝐹_𝑐𝑟 )}</a:t>
              </a:r>
              <a:r>
                <a:rPr lang="en-US" altLang="ko-KR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√(𝐹_𝑒𝑙/𝐹_𝑐𝑟 )</a:t>
              </a:r>
              <a:endParaRPr lang="ko-KR" altLang="en-US" sz="800"/>
            </a:p>
          </xdr:txBody>
        </xdr:sp>
      </mc:Fallback>
    </mc:AlternateContent>
    <xdr:clientData/>
  </xdr:oneCellAnchor>
  <xdr:oneCellAnchor>
    <xdr:from>
      <xdr:col>1</xdr:col>
      <xdr:colOff>142874</xdr:colOff>
      <xdr:row>69</xdr:row>
      <xdr:rowOff>71437</xdr:rowOff>
    </xdr:from>
    <xdr:ext cx="739113" cy="2337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266699" y="15035212"/>
              <a:ext cx="739113" cy="233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f>
                          <m:fPr>
                            <m:ctrlPr>
                              <a:rPr lang="en-US" altLang="ko-KR" sz="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altLang="ko-KR" sz="800" b="0" i="1">
                                    <a:latin typeface="Cambria Math" panose="02040503050406030204" pitchFamily="18" charset="0"/>
                                  </a:rPr>
                                  <m:t>λ</m:t>
                                </m:r>
                              </m:e>
                              <m:sub>
                                <m:r>
                                  <a:rPr lang="en-US" altLang="ko-KR" sz="8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l-GR" altLang="ko-KR" sz="800" b="0" i="1">
                                <a:latin typeface="Cambria Math" panose="02040503050406030204" pitchFamily="18" charset="0"/>
                              </a:rPr>
                              <m:t>λ</m:t>
                            </m:r>
                          </m:den>
                        </m:f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ko-KR" altLang="en-US" sz="8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266699" y="15035212"/>
              <a:ext cx="739113" cy="233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800" b="0" i="0">
                  <a:latin typeface="Cambria Math" panose="02040503050406030204" pitchFamily="18" charset="0"/>
                </a:rPr>
                <a:t>𝐹_𝑒𝑙=〖(𝑐_2  </a:t>
              </a:r>
              <a:r>
                <a:rPr lang="el-GR" altLang="ko-KR" sz="800" b="0" i="0">
                  <a:latin typeface="Cambria Math" panose="02040503050406030204" pitchFamily="18" charset="0"/>
                </a:rPr>
                <a:t>λ</a:t>
              </a:r>
              <a:r>
                <a:rPr lang="en-US" altLang="ko-KR" sz="800" b="0" i="0">
                  <a:latin typeface="Cambria Math" panose="02040503050406030204" pitchFamily="18" charset="0"/>
                </a:rPr>
                <a:t>_𝑟/</a:t>
              </a:r>
              <a:r>
                <a:rPr lang="el-GR" altLang="ko-KR" sz="800" b="0" i="0">
                  <a:latin typeface="Cambria Math" panose="02040503050406030204" pitchFamily="18" charset="0"/>
                </a:rPr>
                <a:t>λ</a:t>
              </a:r>
              <a:r>
                <a:rPr lang="en-US" altLang="ko-KR" sz="800" b="0" i="0">
                  <a:latin typeface="Cambria Math" panose="02040503050406030204" pitchFamily="18" charset="0"/>
                </a:rPr>
                <a:t>)〗^2  𝐹_𝑦</a:t>
              </a:r>
              <a:endParaRPr lang="ko-KR" altLang="en-US" sz="800"/>
            </a:p>
          </xdr:txBody>
        </xdr:sp>
      </mc:Fallback>
    </mc:AlternateContent>
    <xdr:clientData/>
  </xdr:oneCellAnchor>
  <xdr:oneCellAnchor>
    <xdr:from>
      <xdr:col>10</xdr:col>
      <xdr:colOff>314575</xdr:colOff>
      <xdr:row>69</xdr:row>
      <xdr:rowOff>226295</xdr:rowOff>
    </xdr:from>
    <xdr:ext cx="404813" cy="4092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3695950" y="15190070"/>
              <a:ext cx="404813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ko-KR" sz="90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altLang="ko-KR" sz="90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λ</m:t>
                        </m:r>
                      </m:e>
                      <m:sub>
                        <m:r>
                          <a:rPr lang="en-US" altLang="ko-KR" sz="900" b="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900" b="0" i="1">
                        <a:solidFill>
                          <a:srgbClr val="0000FF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el-GR" altLang="ko-KR" sz="900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l-GR" altLang="ko-KR" sz="900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l-GR" altLang="ko-KR" sz="90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l-GR" altLang="ko-KR" sz="90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𝑐𝑟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3695950" y="15190070"/>
              <a:ext cx="404813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altLang="ko-KR" sz="900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λ_</a:t>
              </a:r>
              <a:r>
                <a:rPr lang="en-US" altLang="ko-KR" sz="900" b="0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  </a:t>
              </a:r>
              <a:r>
                <a:rPr lang="el-GR" altLang="ko-KR" sz="900" i="0">
                  <a:solidFill>
                    <a:srgbClr val="0000FF"/>
                  </a:solidFill>
                  <a:latin typeface="Cambria Math" panose="02040503050406030204" pitchFamily="18" charset="0"/>
                </a:rPr>
                <a:t>√(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𝐹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𝑦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𝐹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𝑐𝑟 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  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10</xdr:col>
      <xdr:colOff>290512</xdr:colOff>
      <xdr:row>70</xdr:row>
      <xdr:rowOff>333376</xdr:rowOff>
    </xdr:from>
    <xdr:ext cx="404813" cy="4092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3671887" y="15601951"/>
              <a:ext cx="404813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ko-KR" sz="90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altLang="ko-KR" sz="90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λ</m:t>
                        </m:r>
                      </m:e>
                      <m:sub>
                        <m:r>
                          <a:rPr lang="en-US" altLang="ko-KR" sz="900" b="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900" b="0" i="1">
                        <a:solidFill>
                          <a:srgbClr val="0000FF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el-GR" altLang="ko-KR" sz="900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l-GR" altLang="ko-KR" sz="900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l-GR" altLang="ko-KR" sz="90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l-GR" altLang="ko-KR" sz="90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𝑐𝑟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3671887" y="15601951"/>
              <a:ext cx="404813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altLang="ko-KR" sz="900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λ_</a:t>
              </a:r>
              <a:r>
                <a:rPr lang="en-US" altLang="ko-KR" sz="900" b="0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  </a:t>
              </a:r>
              <a:r>
                <a:rPr lang="el-GR" altLang="ko-KR" sz="900" i="0">
                  <a:solidFill>
                    <a:srgbClr val="0000FF"/>
                  </a:solidFill>
                  <a:latin typeface="Cambria Math" panose="02040503050406030204" pitchFamily="18" charset="0"/>
                </a:rPr>
                <a:t>√(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𝐹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𝑦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𝐹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𝑐𝑟 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  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12</xdr:col>
      <xdr:colOff>348916</xdr:colOff>
      <xdr:row>71</xdr:row>
      <xdr:rowOff>376988</xdr:rowOff>
    </xdr:from>
    <xdr:ext cx="576263" cy="4092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4454191" y="16007513"/>
              <a:ext cx="576263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ko-KR" sz="90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altLang="ko-KR" sz="90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λ</m:t>
                        </m:r>
                      </m:e>
                      <m:sub>
                        <m:r>
                          <a:rPr lang="en-US" altLang="ko-KR" sz="900" b="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900" b="0" i="1">
                        <a:solidFill>
                          <a:srgbClr val="0000FF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el-GR" altLang="ko-KR" sz="900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l-GR" altLang="ko-KR" sz="900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l-GR" altLang="ko-KR" sz="90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l-GR" altLang="ko-KR" sz="90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𝑐𝑟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= </m:t>
                    </m:r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4454191" y="16007513"/>
              <a:ext cx="576263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altLang="ko-KR" sz="900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λ_</a:t>
              </a:r>
              <a:r>
                <a:rPr lang="en-US" altLang="ko-KR" sz="900" b="0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  </a:t>
              </a:r>
              <a:r>
                <a:rPr lang="el-GR" altLang="ko-KR" sz="900" i="0">
                  <a:solidFill>
                    <a:srgbClr val="0000FF"/>
                  </a:solidFill>
                  <a:latin typeface="Cambria Math" panose="02040503050406030204" pitchFamily="18" charset="0"/>
                </a:rPr>
                <a:t>√(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𝐹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𝑦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𝐹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𝑐𝑟 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 = 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13</xdr:col>
      <xdr:colOff>0</xdr:colOff>
      <xdr:row>60</xdr:row>
      <xdr:rowOff>0</xdr:rowOff>
    </xdr:from>
    <xdr:ext cx="576263" cy="4092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/>
            <xdr:cNvSpPr txBox="1"/>
          </xdr:nvSpPr>
          <xdr:spPr>
            <a:xfrm>
              <a:off x="4467225" y="12792075"/>
              <a:ext cx="576263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altLang="ko-KR" sz="90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altLang="ko-KR" sz="90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λ</m:t>
                        </m:r>
                      </m:e>
                      <m:sub>
                        <m:r>
                          <a:rPr lang="en-US" altLang="ko-KR" sz="900" b="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900" b="0" i="1">
                        <a:solidFill>
                          <a:srgbClr val="0000FF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el-GR" altLang="ko-KR" sz="900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l-GR" altLang="ko-KR" sz="900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l-GR" altLang="ko-KR" sz="90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l-GR" altLang="ko-KR" sz="90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9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𝑐𝑟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= </m:t>
                    </m:r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35" name="TextBox 34"/>
            <xdr:cNvSpPr txBox="1"/>
          </xdr:nvSpPr>
          <xdr:spPr>
            <a:xfrm>
              <a:off x="4467225" y="12792075"/>
              <a:ext cx="576263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altLang="ko-KR" sz="900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λ_</a:t>
              </a:r>
              <a:r>
                <a:rPr lang="en-US" altLang="ko-KR" sz="900" b="0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  </a:t>
              </a:r>
              <a:r>
                <a:rPr lang="el-GR" altLang="ko-KR" sz="900" i="0">
                  <a:solidFill>
                    <a:srgbClr val="0000FF"/>
                  </a:solidFill>
                  <a:latin typeface="Cambria Math" panose="02040503050406030204" pitchFamily="18" charset="0"/>
                </a:rPr>
                <a:t>√(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𝐹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𝑦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𝐹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𝑐𝑟 </a:t>
              </a:r>
              <a:r>
                <a:rPr lang="el-GR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altLang="ko-KR" sz="9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 = 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133782</xdr:colOff>
      <xdr:row>75</xdr:row>
      <xdr:rowOff>4329</xdr:rowOff>
    </xdr:from>
    <xdr:ext cx="1123519" cy="125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/>
            <xdr:cNvSpPr txBox="1"/>
          </xdr:nvSpPr>
          <xdr:spPr>
            <a:xfrm>
              <a:off x="257607" y="16815954"/>
              <a:ext cx="1123519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ko-KR" sz="8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800" b="0" i="1">
                          <a:latin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n-US" altLang="ko-KR" sz="800" b="0" i="1">
                          <a:latin typeface="Cambria Math" panose="02040503050406030204" pitchFamily="18" charset="0"/>
                        </a:rPr>
                        <m:t>𝑒</m:t>
                      </m:r>
                    </m:sub>
                  </m:sSub>
                  <m:r>
                    <a:rPr lang="en-US" altLang="ko-KR" sz="8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ko-KR" altLang="en-US" sz="80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ko-KR" sz="8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8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US" altLang="ko-KR" sz="800" b="0" i="1">
                          <a:latin typeface="Cambria Math" panose="02040503050406030204" pitchFamily="18" charset="0"/>
                        </a:rPr>
                        <m:t>𝑒</m:t>
                      </m:r>
                    </m:sub>
                  </m:sSub>
                  <m:r>
                    <a:rPr lang="en-US" altLang="ko-KR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a:rPr lang="en-US" altLang="ko-KR" sz="8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altLang="ko-KR" sz="800" b="0" i="1">
                      <a:latin typeface="Cambria Math" panose="02040503050406030204" pitchFamily="18" charset="0"/>
                    </a:rPr>
                    <m:t>𝑡</m:t>
                  </m:r>
                  <m:r>
                    <a:rPr lang="en-US" altLang="ko-KR" sz="800" b="0" i="1">
                      <a:latin typeface="Cambria Math" panose="02040503050406030204" pitchFamily="18" charset="0"/>
                    </a:rPr>
                    <m:t>1+ </m:t>
                  </m:r>
                  <m:sSub>
                    <m:sSubPr>
                      <m:ctrlPr>
                        <a:rPr lang="en-US" altLang="ko-KR" sz="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8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r>
                        <a:rPr lang="en-US" altLang="ko-KR" sz="800" b="0" i="1">
                          <a:latin typeface="Cambria Math" panose="02040503050406030204" pitchFamily="18" charset="0"/>
                        </a:rPr>
                        <m:t>𝐵</m:t>
                      </m:r>
                    </m:e>
                    <m:sub>
                      <m:r>
                        <a:rPr lang="en-US" altLang="ko-KR" sz="800" b="0" i="1">
                          <a:latin typeface="Cambria Math" panose="02040503050406030204" pitchFamily="18" charset="0"/>
                        </a:rPr>
                        <m:t>𝑒</m:t>
                      </m:r>
                    </m:sub>
                  </m:sSub>
                  <m:r>
                    <a:rPr lang="en-US" altLang="ko-KR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a:rPr lang="en-US" altLang="ko-KR" sz="800" b="0" i="1">
                      <a:latin typeface="Cambria Math" panose="02040503050406030204" pitchFamily="18" charset="0"/>
                    </a:rPr>
                    <m:t>𝑡</m:t>
                  </m:r>
                  <m:r>
                    <a:rPr lang="en-US" altLang="ko-KR" sz="800" b="0" i="1">
                      <a:latin typeface="Cambria Math" panose="02040503050406030204" pitchFamily="18" charset="0"/>
                    </a:rPr>
                    <m:t>2</m:t>
                  </m:r>
                </m:oMath>
              </a14:m>
              <a:r>
                <a:rPr lang="ko-KR" altLang="en-US" sz="800"/>
                <a:t> </a:t>
              </a:r>
            </a:p>
          </xdr:txBody>
        </xdr:sp>
      </mc:Choice>
      <mc:Fallback>
        <xdr:sp macro="" textlink="">
          <xdr:nvSpPr>
            <xdr:cNvPr id="36" name="TextBox 35"/>
            <xdr:cNvSpPr txBox="1"/>
          </xdr:nvSpPr>
          <xdr:spPr>
            <a:xfrm>
              <a:off x="257607" y="16815954"/>
              <a:ext cx="1123519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ko-KR" sz="800" b="0" i="0">
                  <a:latin typeface="Cambria Math" panose="02040503050406030204" pitchFamily="18" charset="0"/>
                </a:rPr>
                <a:t>𝐴_𝑒=</a:t>
              </a:r>
              <a:r>
                <a:rPr lang="ko-KR" altLang="en-US" sz="800"/>
                <a:t> </a:t>
              </a:r>
              <a:r>
                <a:rPr lang="en-US" altLang="ko-KR" sz="800" b="0" i="0">
                  <a:latin typeface="Cambria Math" panose="02040503050406030204" pitchFamily="18" charset="0"/>
                </a:rPr>
                <a:t>ℎ_𝑒</a:t>
              </a:r>
              <a:r>
                <a:rPr lang="en-US" altLang="ko-KR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n-US" altLang="ko-KR" sz="800" b="0" i="0">
                  <a:latin typeface="Cambria Math" panose="02040503050406030204" pitchFamily="18" charset="0"/>
                </a:rPr>
                <a:t> 𝑡1+ 〖2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n-US" altLang="ko-KR" sz="800" b="0" i="0">
                  <a:latin typeface="Cambria Math" panose="02040503050406030204" pitchFamily="18" charset="0"/>
                </a:rPr>
                <a:t>𝐵〗_𝑒</a:t>
              </a:r>
              <a:r>
                <a:rPr lang="en-US" altLang="ko-KR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n-US" altLang="ko-KR" sz="800" b="0" i="0">
                  <a:latin typeface="Cambria Math" panose="02040503050406030204" pitchFamily="18" charset="0"/>
                </a:rPr>
                <a:t>𝑡2</a:t>
              </a:r>
              <a:r>
                <a:rPr lang="ko-KR" altLang="en-US" sz="800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124258</xdr:colOff>
      <xdr:row>78</xdr:row>
      <xdr:rowOff>0</xdr:rowOff>
    </xdr:from>
    <xdr:ext cx="515910" cy="125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/>
            <xdr:cNvSpPr txBox="1"/>
          </xdr:nvSpPr>
          <xdr:spPr>
            <a:xfrm>
              <a:off x="248083" y="17373600"/>
              <a:ext cx="515910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𝑐𝑟</m:t>
                        </m:r>
                      </m:sub>
                    </m:sSub>
                    <m:r>
                      <a:rPr lang="en-US" altLang="ko-KR" sz="8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altLang="ko-KR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n-US" altLang="ko-KR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</m:oMath>
                </m:oMathPara>
              </a14:m>
              <a:endParaRPr lang="ko-KR" altLang="en-US" sz="800"/>
            </a:p>
          </xdr:txBody>
        </xdr:sp>
      </mc:Choice>
      <mc:Fallback>
        <xdr:sp macro="" textlink="">
          <xdr:nvSpPr>
            <xdr:cNvPr id="37" name="TextBox 36"/>
            <xdr:cNvSpPr txBox="1"/>
          </xdr:nvSpPr>
          <xdr:spPr>
            <a:xfrm>
              <a:off x="248083" y="17373600"/>
              <a:ext cx="515910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800" b="0" i="0">
                  <a:latin typeface="Cambria Math" panose="02040503050406030204" pitchFamily="18" charset="0"/>
                </a:rPr>
                <a:t>𝑃_𝑛=𝐹_𝑐𝑟  </a:t>
              </a:r>
              <a:r>
                <a:rPr lang="en-US" altLang="ko-KR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𝐴_𝑒</a:t>
              </a:r>
              <a:endParaRPr lang="ko-KR" altLang="en-US" sz="800"/>
            </a:p>
          </xdr:txBody>
        </xdr:sp>
      </mc:Fallback>
    </mc:AlternateContent>
    <xdr:clientData/>
  </xdr:oneCellAnchor>
  <xdr:oneCellAnchor>
    <xdr:from>
      <xdr:col>1</xdr:col>
      <xdr:colOff>138547</xdr:colOff>
      <xdr:row>76</xdr:row>
      <xdr:rowOff>0</xdr:rowOff>
    </xdr:from>
    <xdr:ext cx="329046" cy="133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/>
            <xdr:cNvSpPr txBox="1"/>
          </xdr:nvSpPr>
          <xdr:spPr>
            <a:xfrm>
              <a:off x="262372" y="17002125"/>
              <a:ext cx="329046" cy="133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ko-KR" sz="8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800" b="0" i="1">
                          <a:latin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n-US" altLang="ko-KR" sz="800" b="0" i="1">
                          <a:latin typeface="Cambria Math" panose="02040503050406030204" pitchFamily="18" charset="0"/>
                        </a:rPr>
                        <m:t>𝑒</m:t>
                      </m:r>
                    </m:sub>
                  </m:sSub>
                  <m:r>
                    <a:rPr lang="en-US" altLang="ko-KR" sz="800" b="0" i="1">
                      <a:latin typeface="Cambria Math" panose="02040503050406030204" pitchFamily="18" charset="0"/>
                    </a:rPr>
                    <m:t>/</m:t>
                  </m:r>
                </m:oMath>
              </a14:m>
              <a:r>
                <a:rPr lang="ko-KR" altLang="en-US" sz="80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ko-KR" sz="8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800" b="0" i="1">
                          <a:latin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n-US" altLang="ko-KR" sz="800" b="0" i="1">
                          <a:latin typeface="Cambria Math" panose="02040503050406030204" pitchFamily="18" charset="0"/>
                        </a:rPr>
                        <m:t>𝑔</m:t>
                      </m:r>
                    </m:sub>
                  </m:sSub>
                </m:oMath>
              </a14:m>
              <a:r>
                <a:rPr lang="ko-KR" altLang="en-US" sz="800"/>
                <a:t> </a:t>
              </a:r>
            </a:p>
          </xdr:txBody>
        </xdr:sp>
      </mc:Choice>
      <mc:Fallback>
        <xdr:sp macro="" textlink="">
          <xdr:nvSpPr>
            <xdr:cNvPr id="38" name="TextBox 37"/>
            <xdr:cNvSpPr txBox="1"/>
          </xdr:nvSpPr>
          <xdr:spPr>
            <a:xfrm>
              <a:off x="262372" y="17002125"/>
              <a:ext cx="329046" cy="133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ko-KR" sz="800" b="0" i="0">
                  <a:latin typeface="Cambria Math" panose="02040503050406030204" pitchFamily="18" charset="0"/>
                </a:rPr>
                <a:t>𝐴_𝑒/</a:t>
              </a:r>
              <a:r>
                <a:rPr lang="ko-KR" altLang="en-US" sz="800"/>
                <a:t> </a:t>
              </a:r>
              <a:r>
                <a:rPr lang="en-US" altLang="ko-KR" sz="800" b="0" i="0">
                  <a:latin typeface="Cambria Math" panose="02040503050406030204" pitchFamily="18" charset="0"/>
                </a:rPr>
                <a:t>𝐴_𝑔</a:t>
              </a:r>
              <a:r>
                <a:rPr lang="ko-KR" altLang="en-US" sz="800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121227</xdr:colOff>
      <xdr:row>46</xdr:row>
      <xdr:rowOff>0</xdr:rowOff>
    </xdr:from>
    <xdr:ext cx="329046" cy="125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/>
            <xdr:cNvSpPr txBox="1"/>
          </xdr:nvSpPr>
          <xdr:spPr>
            <a:xfrm>
              <a:off x="245052" y="9296400"/>
              <a:ext cx="32904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altLang="ko-KR" sz="800" i="1">
                            <a:latin typeface="Cambria Math" panose="02040503050406030204" pitchFamily="18" charset="0"/>
                          </a:rPr>
                          <m:t>φ</m:t>
                        </m:r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ko-KR" altLang="en-US" sz="800"/>
            </a:p>
          </xdr:txBody>
        </xdr:sp>
      </mc:Choice>
      <mc:Fallback>
        <xdr:sp macro="" textlink="">
          <xdr:nvSpPr>
            <xdr:cNvPr id="39" name="TextBox 38"/>
            <xdr:cNvSpPr txBox="1"/>
          </xdr:nvSpPr>
          <xdr:spPr>
            <a:xfrm>
              <a:off x="245052" y="9296400"/>
              <a:ext cx="32904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800" i="0">
                  <a:latin typeface="Cambria Math" panose="02040503050406030204" pitchFamily="18" charset="0"/>
                </a:rPr>
                <a:t>〖</a:t>
              </a:r>
              <a:r>
                <a:rPr lang="el-GR" altLang="ko-KR" sz="800" i="0">
                  <a:latin typeface="Cambria Math" panose="02040503050406030204" pitchFamily="18" charset="0"/>
                </a:rPr>
                <a:t>φ</a:t>
              </a:r>
              <a:r>
                <a:rPr lang="en-US" altLang="ko-KR" sz="800" b="0" i="0">
                  <a:latin typeface="Cambria Math" panose="02040503050406030204" pitchFamily="18" charset="0"/>
                </a:rPr>
                <a:t> 𝑃〗_𝑛</a:t>
              </a:r>
              <a:endParaRPr lang="ko-KR" altLang="en-US" sz="800"/>
            </a:p>
          </xdr:txBody>
        </xdr:sp>
      </mc:Fallback>
    </mc:AlternateContent>
    <xdr:clientData/>
  </xdr:oneCellAnchor>
  <xdr:oneCellAnchor>
    <xdr:from>
      <xdr:col>1</xdr:col>
      <xdr:colOff>79663</xdr:colOff>
      <xdr:row>79</xdr:row>
      <xdr:rowOff>13854</xdr:rowOff>
    </xdr:from>
    <xdr:ext cx="329046" cy="125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/>
            <xdr:cNvSpPr txBox="1"/>
          </xdr:nvSpPr>
          <xdr:spPr>
            <a:xfrm>
              <a:off x="203488" y="17577954"/>
              <a:ext cx="32904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altLang="ko-KR" sz="800" i="1">
                            <a:latin typeface="Cambria Math" panose="02040503050406030204" pitchFamily="18" charset="0"/>
                          </a:rPr>
                          <m:t>φ</m:t>
                        </m:r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ko-KR" sz="8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ko-KR" altLang="en-US" sz="800"/>
            </a:p>
          </xdr:txBody>
        </xdr:sp>
      </mc:Choice>
      <mc:Fallback>
        <xdr:sp macro="" textlink="">
          <xdr:nvSpPr>
            <xdr:cNvPr id="40" name="TextBox 39"/>
            <xdr:cNvSpPr txBox="1"/>
          </xdr:nvSpPr>
          <xdr:spPr>
            <a:xfrm>
              <a:off x="203488" y="17577954"/>
              <a:ext cx="32904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800" i="0">
                  <a:latin typeface="Cambria Math" panose="02040503050406030204" pitchFamily="18" charset="0"/>
                </a:rPr>
                <a:t>〖</a:t>
              </a:r>
              <a:r>
                <a:rPr lang="el-GR" altLang="ko-KR" sz="800" i="0">
                  <a:latin typeface="Cambria Math" panose="02040503050406030204" pitchFamily="18" charset="0"/>
                </a:rPr>
                <a:t>φ</a:t>
              </a:r>
              <a:r>
                <a:rPr lang="en-US" altLang="ko-KR" sz="800" b="0" i="0">
                  <a:latin typeface="Cambria Math" panose="02040503050406030204" pitchFamily="18" charset="0"/>
                </a:rPr>
                <a:t> 𝑃〗_𝑛</a:t>
              </a:r>
              <a:endParaRPr lang="ko-KR" altLang="en-US" sz="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</xdr:colOff>
      <xdr:row>6</xdr:row>
      <xdr:rowOff>99060</xdr:rowOff>
    </xdr:from>
    <xdr:ext cx="1447960" cy="315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712470" y="2089785"/>
              <a:ext cx="1447960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𝑆𝑙𝑒𝑛𝑑𝑒𝑟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𝑅𝑎𝑡𝑖𝑜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l-GR" altLang="ko-KR" sz="1100" b="0" i="1">
                        <a:latin typeface="Cambria Math" panose="02040503050406030204" pitchFamily="18" charset="0"/>
                      </a:rPr>
                      <m:t>λ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𝐾𝐿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den>
                    </m:f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712470" y="2089785"/>
              <a:ext cx="1447960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𝑆𝑙𝑒𝑛𝑑𝑒𝑟 𝑅𝑎𝑡𝑖𝑜(</a:t>
              </a:r>
              <a:r>
                <a:rPr lang="el-GR" altLang="ko-KR" sz="1100" b="0" i="0">
                  <a:latin typeface="Cambria Math" panose="02040503050406030204" pitchFamily="18" charset="0"/>
                </a:rPr>
                <a:t>λ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)=𝐾𝐿/𝑟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396240</xdr:colOff>
      <xdr:row>6</xdr:row>
      <xdr:rowOff>53340</xdr:rowOff>
    </xdr:from>
    <xdr:ext cx="861060" cy="3500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644140" y="2044065"/>
              <a:ext cx="86106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l-GR" altLang="ko-KR" sz="1100" b="0" i="1">
                                <a:latin typeface="Cambria Math" panose="02040503050406030204" pitchFamily="18" charset="0"/>
                              </a:rPr>
                              <m:t>π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l-GR" altLang="ko-KR" sz="1100" b="0" i="1">
                                <a:latin typeface="Cambria Math" panose="02040503050406030204" pitchFamily="18" charset="0"/>
                              </a:rPr>
                              <m:t>λ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644140" y="2044065"/>
              <a:ext cx="86106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𝐹_𝑒=(</a:t>
              </a:r>
              <a:r>
                <a:rPr lang="el-GR" altLang="ko-KR" sz="1100" b="0" i="0">
                  <a:latin typeface="Cambria Math" panose="02040503050406030204" pitchFamily="18" charset="0"/>
                </a:rPr>
                <a:t>π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^2  𝐸)/</a:t>
              </a:r>
              <a:r>
                <a:rPr lang="el-GR" altLang="ko-KR" sz="1100" b="0" i="0">
                  <a:latin typeface="Cambria Math" panose="02040503050406030204" pitchFamily="18" charset="0"/>
                </a:rPr>
                <a:t>λ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^2 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289560</xdr:colOff>
      <xdr:row>6</xdr:row>
      <xdr:rowOff>137160</xdr:rowOff>
    </xdr:from>
    <xdr:ext cx="8855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5699760" y="2127885"/>
              <a:ext cx="885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=0.877 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5699760" y="2127885"/>
              <a:ext cx="885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𝐹_𝑐𝑟=0.877 𝐹_𝑒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251460</xdr:colOff>
      <xdr:row>6</xdr:row>
      <xdr:rowOff>38100</xdr:rowOff>
    </xdr:from>
    <xdr:ext cx="1142877" cy="2863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4080510" y="2028825"/>
              <a:ext cx="1142877" cy="286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𝑐𝑟</m:t>
                      </m:r>
                    </m:sub>
                  </m:sSub>
                </m:oMath>
              </a14:m>
              <a:r>
                <a:rPr lang="ko-KR" altLang="en-US" sz="1100"/>
                <a:t> </a:t>
              </a:r>
              <a:r>
                <a:rPr lang="en-US" altLang="ko-KR" sz="1100"/>
                <a:t>=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{0.658</m:t>
                      </m:r>
                    </m:e>
                    <m:sup>
                      <m:f>
                        <m:f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altLang="ko-KR" sz="11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𝑦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altLang="ko-KR" sz="11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sub>
                          </m:sSub>
                        </m:den>
                      </m:f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</a:rPr>
                    <m:t> } </m:t>
                  </m:r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𝑦</m:t>
                      </m:r>
                    </m:sub>
                  </m:sSub>
                </m:oMath>
              </a14:m>
              <a:r>
                <a:rPr lang="en-US" altLang="ko-KR" sz="1100"/>
                <a:t>  </a:t>
              </a:r>
              <a:endParaRPr lang="ko-KR" alt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4080510" y="2028825"/>
              <a:ext cx="1142877" cy="286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𝐹_𝑐𝑟</a:t>
              </a:r>
              <a:r>
                <a:rPr lang="ko-KR" altLang="en-US" sz="1100"/>
                <a:t> </a:t>
              </a:r>
              <a:r>
                <a:rPr lang="en-US" altLang="ko-KR" sz="1100"/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{0.658〗^(𝐹_𝑦/𝐹_𝑒 )  } 𝐹_𝑦</a:t>
              </a:r>
              <a:r>
                <a:rPr lang="en-US" altLang="ko-KR" sz="1100"/>
                <a:t>  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566057</xdr:colOff>
      <xdr:row>4</xdr:row>
      <xdr:rowOff>65315</xdr:rowOff>
    </xdr:from>
    <xdr:ext cx="535083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232807" y="1113065"/>
              <a:ext cx="53508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4.71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232807" y="1113065"/>
              <a:ext cx="53508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4.71√(𝐸/𝐹_𝑦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696685</xdr:colOff>
      <xdr:row>6</xdr:row>
      <xdr:rowOff>163286</xdr:rowOff>
    </xdr:from>
    <xdr:ext cx="20608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7688035" y="2154011"/>
              <a:ext cx="206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𝑐𝑟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7688035" y="2154011"/>
              <a:ext cx="206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𝐹_𝑐𝑟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596348</xdr:colOff>
      <xdr:row>0</xdr:row>
      <xdr:rowOff>0</xdr:rowOff>
    </xdr:from>
    <xdr:ext cx="5047366" cy="2685764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3323" y="0"/>
          <a:ext cx="5047366" cy="2685764"/>
        </a:xfrm>
        <a:prstGeom prst="rect">
          <a:avLst/>
        </a:prstGeom>
      </xdr:spPr>
    </xdr:pic>
    <xdr:clientData/>
  </xdr:oneCellAnchor>
  <xdr:oneCellAnchor>
    <xdr:from>
      <xdr:col>11</xdr:col>
      <xdr:colOff>248478</xdr:colOff>
      <xdr:row>9</xdr:row>
      <xdr:rowOff>74544</xdr:rowOff>
    </xdr:from>
    <xdr:ext cx="1378099" cy="1060173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53753" y="1941444"/>
          <a:ext cx="1378099" cy="1060173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oneCellAnchor>
  <xdr:oneCellAnchor>
    <xdr:from>
      <xdr:col>12</xdr:col>
      <xdr:colOff>198255</xdr:colOff>
      <xdr:row>18</xdr:row>
      <xdr:rowOff>0</xdr:rowOff>
    </xdr:from>
    <xdr:ext cx="65" cy="140872"/>
    <xdr:sp macro="" textlink="">
      <xdr:nvSpPr>
        <xdr:cNvPr id="4" name="TextBox 3"/>
        <xdr:cNvSpPr txBox="1"/>
      </xdr:nvSpPr>
      <xdr:spPr>
        <a:xfrm>
          <a:off x="4665480" y="3486150"/>
          <a:ext cx="65" cy="1408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900"/>
        </a:p>
      </xdr:txBody>
    </xdr:sp>
    <xdr:clientData/>
  </xdr:oneCellAnchor>
  <xdr:oneCellAnchor>
    <xdr:from>
      <xdr:col>12</xdr:col>
      <xdr:colOff>198255</xdr:colOff>
      <xdr:row>18</xdr:row>
      <xdr:rowOff>0</xdr:rowOff>
    </xdr:from>
    <xdr:ext cx="65" cy="140872"/>
    <xdr:sp macro="" textlink="">
      <xdr:nvSpPr>
        <xdr:cNvPr id="5" name="TextBox 4"/>
        <xdr:cNvSpPr txBox="1"/>
      </xdr:nvSpPr>
      <xdr:spPr>
        <a:xfrm>
          <a:off x="4665480" y="3486150"/>
          <a:ext cx="65" cy="1408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900"/>
        </a:p>
      </xdr:txBody>
    </xdr:sp>
    <xdr:clientData/>
  </xdr:oneCellAnchor>
  <xdr:oneCellAnchor>
    <xdr:from>
      <xdr:col>1</xdr:col>
      <xdr:colOff>152398</xdr:colOff>
      <xdr:row>36</xdr:row>
      <xdr:rowOff>161925</xdr:rowOff>
    </xdr:from>
    <xdr:ext cx="742952" cy="2599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276223" y="7239000"/>
              <a:ext cx="742952" cy="259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altLang="ko-KR" sz="1100" b="0" i="1">
                      <a:latin typeface="Cambria Math" panose="02040503050406030204" pitchFamily="18" charset="0"/>
                    </a:rPr>
                    <m:t>𝑘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</m:den>
                  </m:f>
                </m:oMath>
              </a14:m>
              <a:r>
                <a:rPr lang="ko-KR" altLang="en-US" sz="11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h</m:t>
                      </m:r>
                    </m:num>
                    <m:den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𝑠</m:t>
                      </m:r>
                    </m:den>
                  </m:f>
                </m:oMath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276223" y="7239000"/>
              <a:ext cx="742952" cy="259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𝑘=𝐼_𝑏/𝐼_𝑐 </a:t>
              </a:r>
              <a:r>
                <a:rPr lang="ko-KR" altLang="en-US" sz="1100"/>
                <a:t> 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ℎ/𝑠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119062</xdr:colOff>
      <xdr:row>39</xdr:row>
      <xdr:rowOff>4762</xdr:rowOff>
    </xdr:from>
    <xdr:ext cx="1386533" cy="1434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242887" y="7519987"/>
              <a:ext cx="1386533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altLang="ko-KR" sz="900" i="1">
                        <a:latin typeface="Cambria Math" panose="02040503050406030204" pitchFamily="18" charset="0"/>
                      </a:rPr>
                      <m:t>α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p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+3</m:t>
                        </m:r>
                      </m:e>
                    </m:d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(3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242887" y="7519987"/>
              <a:ext cx="1386533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altLang="ko-KR" sz="900" i="0">
                  <a:latin typeface="Cambria Math" panose="02040503050406030204" pitchFamily="18" charset="0"/>
                </a:rPr>
                <a:t>α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=ℎ^2  (𝑘+3)+𝑓(3ℎ+𝑓)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119062</xdr:colOff>
      <xdr:row>34</xdr:row>
      <xdr:rowOff>0</xdr:rowOff>
    </xdr:from>
    <xdr:ext cx="790536" cy="140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242887" y="6762750"/>
              <a:ext cx="790536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𝐷𝑒𝑎𝑑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𝐺</m:t>
                    </m:r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242887" y="6762750"/>
              <a:ext cx="790536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900" b="0" i="0">
                  <a:latin typeface="Cambria Math" panose="02040503050406030204" pitchFamily="18" charset="0"/>
                </a:rPr>
                <a:t>𝑤_𝐷=𝐷𝑒𝑎𝑑 𝑥 𝐺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128587</xdr:colOff>
      <xdr:row>35</xdr:row>
      <xdr:rowOff>14287</xdr:rowOff>
    </xdr:from>
    <xdr:ext cx="725007" cy="140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252412" y="6967537"/>
              <a:ext cx="725007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𝐿𝑖𝑣𝑒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𝐺</m:t>
                    </m:r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252412" y="6967537"/>
              <a:ext cx="725007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900" b="0" i="0">
                  <a:latin typeface="Cambria Math" panose="02040503050406030204" pitchFamily="18" charset="0"/>
                </a:rPr>
                <a:t>𝑤_𝐿=𝐿𝑖𝑣𝑒 𝑥 𝐺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161924</xdr:colOff>
      <xdr:row>47</xdr:row>
      <xdr:rowOff>15239</xdr:rowOff>
    </xdr:from>
    <xdr:ext cx="1198533" cy="2629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285749" y="9054464"/>
              <a:ext cx="1198533" cy="262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  <m:sSub>
                          <m:sSub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285749" y="9054464"/>
              <a:ext cx="1198533" cy="262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900" b="0" i="0">
                  <a:latin typeface="Cambria Math" panose="02040503050406030204" pitchFamily="18" charset="0"/>
                </a:rPr>
                <a:t>𝑀_𝑐=  (𝑤_𝐷 𝑙_2)/8  −𝐻(ℎ+𝑓)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142874</xdr:colOff>
      <xdr:row>49</xdr:row>
      <xdr:rowOff>55246</xdr:rowOff>
    </xdr:from>
    <xdr:ext cx="1985352" cy="3139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266699" y="9342121"/>
              <a:ext cx="1985352" cy="313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 − </m:t>
                    </m:r>
                    <m:sSub>
                      <m:sSub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+ </m:t>
                        </m:r>
                        <m:f>
                          <m:f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𝑓𝑥</m:t>
                            </m:r>
                          </m:num>
                          <m:den>
                            <m:r>
                              <a:rPr lang="en-US" altLang="ko-KR" sz="9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𝐿</m:t>
                            </m:r>
                          </m:den>
                        </m:f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d>
                    <m:r>
                      <a:rPr lang="en-US" altLang="ko-KR" sz="9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  <m:sSup>
                          <m:sSup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266699" y="9342121"/>
              <a:ext cx="1985352" cy="313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900" b="0" i="0">
                  <a:latin typeface="Cambria Math" panose="02040503050406030204" pitchFamily="18" charset="0"/>
                </a:rPr>
                <a:t>𝑀_𝑥= 𝑉_𝐴  𝑥  − 𝐻_𝑎  (ℎ+ 2𝑓𝑥/</a:t>
              </a:r>
              <a:r>
                <a:rPr lang="en-US" altLang="ko-KR" sz="9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𝐿 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 )</a:t>
              </a:r>
              <a:r>
                <a:rPr lang="en-US" altLang="ko-KR" sz="9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  (𝑤_𝐷 𝑥^2)/2  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157162</xdr:colOff>
      <xdr:row>46</xdr:row>
      <xdr:rowOff>23811</xdr:rowOff>
    </xdr:from>
    <xdr:ext cx="857351" cy="140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280987" y="8872536"/>
              <a:ext cx="85735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ko-KR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US" altLang="ko-KR" sz="9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altLang="ko-KR" sz="9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𝑑</m:t>
                      </m:r>
                    </m:sub>
                  </m:sSub>
                </m:oMath>
              </a14:m>
              <a:r>
                <a:rPr lang="ko-KR" altLang="en-US" sz="900"/>
                <a:t> </a:t>
              </a:r>
              <a:r>
                <a:rPr lang="en-US" altLang="ko-KR" sz="900"/>
                <a:t>= -H x h</a:t>
              </a:r>
              <a:endParaRPr lang="ko-KR" altLang="en-US" sz="9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280987" y="8872536"/>
              <a:ext cx="85735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900" b="0" i="0">
                  <a:latin typeface="Cambria Math" panose="02040503050406030204" pitchFamily="18" charset="0"/>
                </a:rPr>
                <a:t>𝑀_𝑏= 𝑀_𝑑</a:t>
              </a:r>
              <a:r>
                <a:rPr lang="ko-KR" altLang="en-US" sz="900"/>
                <a:t> </a:t>
              </a:r>
              <a:r>
                <a:rPr lang="en-US" altLang="ko-KR" sz="900"/>
                <a:t>= -H x h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161924</xdr:colOff>
      <xdr:row>57</xdr:row>
      <xdr:rowOff>15239</xdr:rowOff>
    </xdr:from>
    <xdr:ext cx="1202701" cy="2778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285749" y="10768964"/>
              <a:ext cx="1202701" cy="277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p>
                          <m:sSup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285749" y="10768964"/>
              <a:ext cx="1202701" cy="277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900" b="0" i="0">
                  <a:latin typeface="Cambria Math" panose="02040503050406030204" pitchFamily="18" charset="0"/>
                </a:rPr>
                <a:t>𝑀_𝑐=  (𝑤_𝐿 𝐿^2)/8  −𝐻(ℎ+𝑓)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142874</xdr:colOff>
      <xdr:row>59</xdr:row>
      <xdr:rowOff>55246</xdr:rowOff>
    </xdr:from>
    <xdr:ext cx="1996700" cy="3139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266699" y="11075671"/>
              <a:ext cx="1996700" cy="313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 − </m:t>
                    </m:r>
                    <m:sSub>
                      <m:sSub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+ </m:t>
                        </m:r>
                        <m:f>
                          <m:f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𝑓𝑥</m:t>
                            </m:r>
                          </m:num>
                          <m:den>
                            <m:r>
                              <a:rPr lang="en-US" altLang="ko-KR" sz="9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𝐿</m:t>
                            </m:r>
                          </m:den>
                        </m:f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d>
                    <m:r>
                      <a:rPr lang="en-US" altLang="ko-KR" sz="9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p>
                          <m:sSup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266699" y="11075671"/>
              <a:ext cx="1996700" cy="313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900" b="0" i="0">
                  <a:latin typeface="Cambria Math" panose="02040503050406030204" pitchFamily="18" charset="0"/>
                </a:rPr>
                <a:t>𝑀_𝑥= 𝑉_𝐴  𝑥  − 𝐻_𝑎  (ℎ+ 2𝑓𝑥/</a:t>
              </a:r>
              <a:r>
                <a:rPr lang="en-US" altLang="ko-KR" sz="9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𝐿 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 )</a:t>
              </a:r>
              <a:r>
                <a:rPr lang="en-US" altLang="ko-KR" sz="9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(𝑤_𝐿 〖 𝑥〗^2)/2  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157162</xdr:colOff>
      <xdr:row>56</xdr:row>
      <xdr:rowOff>23811</xdr:rowOff>
    </xdr:from>
    <xdr:ext cx="857351" cy="140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280987" y="10587036"/>
              <a:ext cx="85735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ko-KR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US" altLang="ko-KR" sz="9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altLang="ko-KR" sz="9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𝑑</m:t>
                      </m:r>
                    </m:sub>
                  </m:sSub>
                </m:oMath>
              </a14:m>
              <a:r>
                <a:rPr lang="ko-KR" altLang="en-US" sz="900"/>
                <a:t> </a:t>
              </a:r>
              <a:r>
                <a:rPr lang="en-US" altLang="ko-KR" sz="900"/>
                <a:t>= -H x h</a:t>
              </a:r>
              <a:endParaRPr lang="ko-KR" altLang="en-US" sz="9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280987" y="10587036"/>
              <a:ext cx="85735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900" b="0" i="0">
                  <a:latin typeface="Cambria Math" panose="02040503050406030204" pitchFamily="18" charset="0"/>
                </a:rPr>
                <a:t>𝑀_𝑏= 𝑀_𝑑</a:t>
              </a:r>
              <a:r>
                <a:rPr lang="ko-KR" altLang="en-US" sz="900"/>
                <a:t> </a:t>
              </a:r>
              <a:r>
                <a:rPr lang="en-US" altLang="ko-KR" sz="900"/>
                <a:t>= -H x h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123825</xdr:colOff>
      <xdr:row>40</xdr:row>
      <xdr:rowOff>23812</xdr:rowOff>
    </xdr:from>
    <xdr:ext cx="1700017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247650" y="7729537"/>
              <a:ext cx="1700017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ko-KR" sz="900" b="0" i="1">
                      <a:latin typeface="Cambria Math" panose="02040503050406030204" pitchFamily="18" charset="0"/>
                    </a:rPr>
                    <m:t>𝑁</m:t>
                  </m:r>
                  <m:r>
                    <a:rPr lang="en-US" altLang="ko-KR" sz="9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altLang="ko-KR" sz="9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𝑘h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altLang="ko-KR" sz="900" b="0" i="1">
                      <a:latin typeface="Cambria Math" panose="02040503050406030204" pitchFamily="18" charset="0"/>
                    </a:rPr>
                    <m:t>+4</m:t>
                  </m:r>
                  <m:r>
                    <a:rPr lang="en-US" altLang="ko-KR" sz="900" b="0" i="1">
                      <a:latin typeface="Cambria Math" panose="02040503050406030204" pitchFamily="18" charset="0"/>
                    </a:rPr>
                    <m:t>𝑘</m:t>
                  </m:r>
                  <m:r>
                    <a:rPr lang="en-US" altLang="ko-KR" sz="900" b="0" i="1">
                      <a:latin typeface="Cambria Math" panose="02040503050406030204" pitchFamily="18" charset="0"/>
                    </a:rPr>
                    <m:t>(</m:t>
                  </m:r>
                  <m:sSup>
                    <m:sSupPr>
                      <m:ctrlPr>
                        <a:rPr lang="en-US" altLang="ko-KR" sz="9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  <m:sup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altLang="ko-KR" sz="900" b="0" i="1">
                      <a:latin typeface="Cambria Math" panose="02040503050406030204" pitchFamily="18" charset="0"/>
                    </a:rPr>
                    <m:t>+</m:t>
                  </m:r>
                  <m:r>
                    <a:rPr lang="en-US" altLang="ko-KR" sz="900" b="0" i="1">
                      <a:latin typeface="Cambria Math" panose="02040503050406030204" pitchFamily="18" charset="0"/>
                    </a:rPr>
                    <m:t>h𝑓</m:t>
                  </m:r>
                  <m:r>
                    <a:rPr lang="en-US" altLang="ko-KR" sz="900" b="0" i="1">
                      <a:latin typeface="Cambria Math" panose="02040503050406030204" pitchFamily="18" charset="0"/>
                    </a:rPr>
                    <m:t>+ </m:t>
                  </m:r>
                  <m:sSup>
                    <m:sSupPr>
                      <m:ctrlPr>
                        <a:rPr lang="en-US" altLang="ko-KR" sz="9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p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n-US" altLang="ko-KR" sz="1000"/>
                <a:t>)</a:t>
              </a:r>
              <a:endParaRPr lang="ko-KR" altLang="en-US" sz="10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247650" y="7729537"/>
              <a:ext cx="1700017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900" b="0" i="0">
                  <a:latin typeface="Cambria Math" panose="02040503050406030204" pitchFamily="18" charset="0"/>
                </a:rPr>
                <a:t>𝑁=〖(𝑘ℎ+𝑓)〗^2+4𝑘(ℎ^2+ℎ𝑓+ 𝑓^2</a:t>
              </a:r>
              <a:r>
                <a:rPr lang="en-US" altLang="ko-KR" sz="1000"/>
                <a:t>)</a:t>
              </a:r>
              <a:endParaRPr lang="ko-KR" altLang="en-US" sz="1000"/>
            </a:p>
          </xdr:txBody>
        </xdr:sp>
      </mc:Fallback>
    </mc:AlternateContent>
    <xdr:clientData/>
  </xdr:oneCellAnchor>
  <xdr:oneCellAnchor>
    <xdr:from>
      <xdr:col>1</xdr:col>
      <xdr:colOff>428624</xdr:colOff>
      <xdr:row>69</xdr:row>
      <xdr:rowOff>152398</xdr:rowOff>
    </xdr:from>
    <xdr:ext cx="952502" cy="2519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552449" y="12992098"/>
              <a:ext cx="952502" cy="2519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ko-KR" sz="1050"/>
                <a:t>-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05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altLang="ko-KR" sz="105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050" b="0" i="1">
                              <a:latin typeface="Cambria Math" panose="02040503050406030204" pitchFamily="18" charset="0"/>
                            </a:rPr>
                            <m:t>h</m:t>
                          </m:r>
                        </m:e>
                        <m:sup>
                          <m:r>
                            <a:rPr lang="en-US" altLang="ko-KR" sz="105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altLang="ko-KR" sz="105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altLang="ko-KR" sz="1050" b="0" i="1">
                          <a:latin typeface="Cambria Math" panose="02040503050406030204" pitchFamily="18" charset="0"/>
                        </a:rPr>
                        <m:t>𝑙</m:t>
                      </m:r>
                    </m:den>
                  </m:f>
                  <m:r>
                    <a:rPr lang="en-US" altLang="ko-KR" sz="1050" b="0" i="1">
                      <a:latin typeface="Cambria Math" panose="02040503050406030204" pitchFamily="18" charset="0"/>
                    </a:rPr>
                    <m:t>  </m:t>
                  </m:r>
                </m:oMath>
              </a14:m>
              <a:r>
                <a:rPr lang="en-US" altLang="ko-KR" sz="1050"/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ko-KR" sz="105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05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altLang="ko-KR" sz="105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altLang="ko-KR" sz="105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altLang="ko-KR" sz="105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05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altLang="ko-KR" sz="1050" b="0" i="1">
                          <a:latin typeface="Cambria Math" panose="02040503050406030204" pitchFamily="18" charset="0"/>
                        </a:rPr>
                        <m:t>4)</m:t>
                      </m:r>
                    </m:sub>
                  </m:sSub>
                </m:oMath>
              </a14:m>
              <a:endParaRPr lang="ko-KR" altLang="en-US" sz="105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552449" y="12992098"/>
              <a:ext cx="952502" cy="2519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ko-KR" sz="1050"/>
                <a:t>- </a:t>
              </a:r>
              <a:r>
                <a:rPr lang="en-US" altLang="ko-KR" sz="1050" b="0" i="0">
                  <a:latin typeface="Cambria Math" panose="02040503050406030204" pitchFamily="18" charset="0"/>
                </a:rPr>
                <a:t>ℎ^2/2𝑙   </a:t>
              </a:r>
              <a:r>
                <a:rPr lang="en-US" altLang="ko-KR" sz="1050"/>
                <a:t>(</a:t>
              </a:r>
              <a:r>
                <a:rPr lang="en-US" altLang="ko-KR" sz="1050" b="0" i="0">
                  <a:latin typeface="Cambria Math" panose="02040503050406030204" pitchFamily="18" charset="0"/>
                </a:rPr>
                <a:t>𝑤_1+ 𝑤_(4))</a:t>
              </a:r>
              <a:endParaRPr lang="ko-KR" altLang="en-US" sz="1050"/>
            </a:p>
          </xdr:txBody>
        </xdr:sp>
      </mc:Fallback>
    </mc:AlternateContent>
    <xdr:clientData/>
  </xdr:oneCellAnchor>
  <xdr:oneCellAnchor>
    <xdr:from>
      <xdr:col>1</xdr:col>
      <xdr:colOff>390525</xdr:colOff>
      <xdr:row>89</xdr:row>
      <xdr:rowOff>133349</xdr:rowOff>
    </xdr:from>
    <xdr:ext cx="868571" cy="2778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514350" y="16021049"/>
              <a:ext cx="868571" cy="277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  <m:sSup>
                          <m:sSup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p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altLang="ko-KR" sz="9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64</m:t>
                        </m:r>
                      </m:den>
                    </m:f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 </m:t>
                    </m:r>
                    <m:f>
                      <m:f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+5</m:t>
                            </m:r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</m:d>
                      </m:num>
                      <m:den>
                        <m:r>
                          <m:rPr>
                            <m:sty m:val="p"/>
                          </m:rPr>
                          <a:rPr lang="el-GR" altLang="ko-KR" sz="900" i="1">
                            <a:latin typeface="Cambria Math" panose="02040503050406030204" pitchFamily="18" charset="0"/>
                          </a:rPr>
                          <m:t>α</m:t>
                        </m:r>
                      </m:den>
                    </m:f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514350" y="16021049"/>
              <a:ext cx="868571" cy="277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900" i="0">
                  <a:latin typeface="Cambria Math" panose="02040503050406030204" pitchFamily="18" charset="0"/>
                </a:rPr>
                <a:t>(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𝑤_2𝑣 𝑙^2)/</a:t>
              </a:r>
              <a:r>
                <a:rPr lang="en-US" altLang="ko-KR" sz="9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64 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   ((8ℎ+5𝑓))/</a:t>
              </a:r>
              <a:r>
                <a:rPr lang="el-GR" altLang="ko-KR" sz="900" i="0">
                  <a:latin typeface="Cambria Math" panose="02040503050406030204" pitchFamily="18" charset="0"/>
                </a:rPr>
                <a:t>α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428624</xdr:colOff>
      <xdr:row>74</xdr:row>
      <xdr:rowOff>0</xdr:rowOff>
    </xdr:from>
    <xdr:ext cx="1641988" cy="2028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552449" y="13563600"/>
              <a:ext cx="1641988" cy="202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ko-KR" sz="9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altLang="ko-KR" sz="9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altLang="ko-KR" sz="900" b="0" i="1">
                      <a:latin typeface="Cambria Math" panose="02040503050406030204" pitchFamily="18" charset="0"/>
                    </a:rPr>
                    <m:t>h</m:t>
                  </m:r>
                  <m:r>
                    <a:rPr lang="en-US" altLang="ko-KR" sz="900" b="0" i="1">
                      <a:latin typeface="Cambria Math" panose="02040503050406030204" pitchFamily="18" charset="0"/>
                    </a:rPr>
                    <m:t>+ </m:t>
                  </m:r>
                  <m:f>
                    <m:fPr>
                      <m:ctrlPr>
                        <a:rPr lang="en-US" altLang="ko-KR" sz="9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5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h𝑘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+6(2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h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16</m:t>
                      </m:r>
                      <m:r>
                        <m:rPr>
                          <m:sty m:val="p"/>
                        </m:rPr>
                        <a:rPr lang="el-GR" altLang="ko-KR" sz="900" b="0" i="1">
                          <a:latin typeface="Cambria Math" panose="02040503050406030204" pitchFamily="18" charset="0"/>
                        </a:rPr>
                        <m:t>α</m:t>
                      </m:r>
                    </m:den>
                  </m:f>
                </m:oMath>
              </a14:m>
              <a:r>
                <a:rPr lang="ko-KR" altLang="en-US" sz="90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altLang="ko-KR" sz="9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  <m:sup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altLang="ko-KR" sz="9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altLang="ko-KR" sz="9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altLang="ko-KR" sz="9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altLang="ko-KR" sz="9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en-US" altLang="ko-KR" sz="9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552449" y="13563600"/>
              <a:ext cx="1641988" cy="202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900" b="0" i="0">
                  <a:latin typeface="Cambria Math" panose="02040503050406030204" pitchFamily="18" charset="0"/>
                </a:rPr>
                <a:t>−𝑤_1 ℎ+  (5ℎ𝑘+6(2ℎ+𝑓))/16</a:t>
              </a:r>
              <a:r>
                <a:rPr lang="el-GR" altLang="ko-KR" sz="900" b="0" i="0">
                  <a:latin typeface="Cambria Math" panose="02040503050406030204" pitchFamily="18" charset="0"/>
                </a:rPr>
                <a:t>α</a:t>
              </a:r>
              <a:r>
                <a:rPr lang="ko-KR" altLang="en-US" sz="900"/>
                <a:t> 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ℎ^2 (𝑤_1−𝑤_4)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447675</xdr:colOff>
      <xdr:row>75</xdr:row>
      <xdr:rowOff>176212</xdr:rowOff>
    </xdr:from>
    <xdr:ext cx="1641219" cy="2028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571500" y="13816012"/>
              <a:ext cx="1641219" cy="202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ko-KR" sz="9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altLang="ko-KR" sz="9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en-US" altLang="ko-KR" sz="900" b="0" i="1">
                      <a:latin typeface="Cambria Math" panose="02040503050406030204" pitchFamily="18" charset="0"/>
                    </a:rPr>
                    <m:t>h</m:t>
                  </m:r>
                  <m:r>
                    <a:rPr lang="en-US" altLang="ko-KR" sz="900" b="0" i="1">
                      <a:latin typeface="Cambria Math" panose="02040503050406030204" pitchFamily="18" charset="0"/>
                    </a:rPr>
                    <m:t>− </m:t>
                  </m:r>
                  <m:f>
                    <m:fPr>
                      <m:ctrlPr>
                        <a:rPr lang="en-US" altLang="ko-KR" sz="9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5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h𝑘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+6(2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h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16</m:t>
                      </m:r>
                      <m:r>
                        <m:rPr>
                          <m:sty m:val="p"/>
                        </m:rPr>
                        <a:rPr lang="el-GR" altLang="ko-KR" sz="900" b="0" i="1">
                          <a:latin typeface="Cambria Math" panose="02040503050406030204" pitchFamily="18" charset="0"/>
                        </a:rPr>
                        <m:t>α</m:t>
                      </m:r>
                    </m:den>
                  </m:f>
                </m:oMath>
              </a14:m>
              <a:r>
                <a:rPr lang="ko-KR" altLang="en-US" sz="90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altLang="ko-KR" sz="9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  <m:sup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altLang="ko-KR" sz="9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altLang="ko-KR" sz="9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altLang="ko-KR" sz="9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altLang="ko-KR" sz="9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en-US" altLang="ko-KR" sz="9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571500" y="13816012"/>
              <a:ext cx="1641219" cy="202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900" b="0" i="0">
                  <a:latin typeface="Cambria Math" panose="02040503050406030204" pitchFamily="18" charset="0"/>
                </a:rPr>
                <a:t>−𝑤_4 ℎ−  (5ℎ𝑘+6(2ℎ+𝑓))/16</a:t>
              </a:r>
              <a:r>
                <a:rPr lang="el-GR" altLang="ko-KR" sz="900" b="0" i="0">
                  <a:latin typeface="Cambria Math" panose="02040503050406030204" pitchFamily="18" charset="0"/>
                </a:rPr>
                <a:t>α</a:t>
              </a:r>
              <a:r>
                <a:rPr lang="ko-KR" altLang="en-US" sz="900"/>
                <a:t> 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ℎ^2 (𝑤_1−𝑤_4)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509586</xdr:colOff>
      <xdr:row>78</xdr:row>
      <xdr:rowOff>4762</xdr:rowOff>
    </xdr:from>
    <xdr:ext cx="939488" cy="2027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633411" y="14197012"/>
              <a:ext cx="939488" cy="2027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altLang="ko-KR" sz="9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(2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h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𝑙</m:t>
                      </m:r>
                    </m:den>
                  </m:f>
                </m:oMath>
              </a14:m>
              <a:r>
                <a:rPr lang="en-US" altLang="ko-KR" sz="900"/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ko-KR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en-US" altLang="ko-KR" sz="9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altLang="ko-KR" sz="9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3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en-US" altLang="ko-KR" sz="9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633411" y="14197012"/>
              <a:ext cx="939488" cy="2027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900" b="0" i="0">
                  <a:latin typeface="Cambria Math" panose="02040503050406030204" pitchFamily="18" charset="0"/>
                </a:rPr>
                <a:t>(𝑓(2ℎ+𝑓))/2𝑙</a:t>
              </a:r>
              <a:r>
                <a:rPr lang="en-US" altLang="ko-KR" sz="900"/>
                <a:t>(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𝑤_2ℎ−𝑤_3ℎ)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552450</xdr:colOff>
      <xdr:row>81</xdr:row>
      <xdr:rowOff>152399</xdr:rowOff>
    </xdr:from>
    <xdr:ext cx="1918923" cy="2160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676275" y="14782799"/>
              <a:ext cx="1918923" cy="216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ko-KR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en-US" altLang="ko-KR" sz="900" b="0" i="1">
                      <a:latin typeface="Cambria Math" panose="02040503050406030204" pitchFamily="18" charset="0"/>
                    </a:rPr>
                    <m:t>𝑓</m:t>
                  </m:r>
                  <m:r>
                    <a:rPr lang="en-US" altLang="ko-KR" sz="900" b="0" i="1">
                      <a:latin typeface="Cambria Math" panose="02040503050406030204" pitchFamily="18" charset="0"/>
                    </a:rPr>
                    <m:t> −</m:t>
                  </m:r>
                  <m:f>
                    <m:fPr>
                      <m:ctrlPr>
                        <a:rPr lang="en-US" altLang="ko-KR" sz="9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8</m:t>
                      </m:r>
                      <m:sSup>
                        <m:sSupPr>
                          <m:ctrlPr>
                            <a:rPr lang="en-US" altLang="ko-KR" sz="9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900" b="0" i="1">
                              <a:latin typeface="Cambria Math" panose="02040503050406030204" pitchFamily="18" charset="0"/>
                            </a:rPr>
                            <m:t>h</m:t>
                          </m:r>
                        </m:e>
                        <m:sup>
                          <m:r>
                            <a:rPr lang="en-US" altLang="ko-KR" sz="9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d>
                        <m:dPr>
                          <m:ctrlPr>
                            <a:rPr lang="en-US" altLang="ko-KR" sz="9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altLang="ko-KR" sz="900" b="0" i="1">
                              <a:latin typeface="Cambria Math" panose="02040503050406030204" pitchFamily="18" charset="0"/>
                            </a:rPr>
                            <m:t>𝑘</m:t>
                          </m:r>
                          <m:r>
                            <a:rPr lang="en-US" altLang="ko-KR" sz="900" b="0" i="1">
                              <a:latin typeface="Cambria Math" panose="02040503050406030204" pitchFamily="18" charset="0"/>
                            </a:rPr>
                            <m:t>+3</m:t>
                          </m:r>
                        </m:e>
                      </m:d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+5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𝑓</m:t>
                      </m:r>
                      <m:d>
                        <m:dPr>
                          <m:ctrlPr>
                            <a:rPr lang="en-US" altLang="ko-KR" sz="9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altLang="ko-KR" sz="9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r>
                            <a:rPr lang="en-US" altLang="ko-KR" sz="900" b="0" i="1">
                              <a:latin typeface="Cambria Math" panose="02040503050406030204" pitchFamily="18" charset="0"/>
                            </a:rPr>
                            <m:t>h</m:t>
                          </m:r>
                          <m:r>
                            <a:rPr lang="en-US" altLang="ko-KR" sz="9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r>
                            <a:rPr lang="en-US" altLang="ko-KR" sz="900" b="0" i="1">
                              <a:latin typeface="Cambria Math" panose="02040503050406030204" pitchFamily="18" charset="0"/>
                            </a:rPr>
                            <m:t>𝑓</m:t>
                          </m:r>
                        </m:e>
                      </m:d>
                    </m:num>
                    <m:den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16</m:t>
                      </m:r>
                      <m:r>
                        <m:rPr>
                          <m:sty m:val="p"/>
                        </m:rPr>
                        <a:rPr lang="el-GR" altLang="ko-KR" sz="900" b="0" i="1">
                          <a:latin typeface="Cambria Math" panose="02040503050406030204" pitchFamily="18" charset="0"/>
                        </a:rPr>
                        <m:t>α</m:t>
                      </m:r>
                    </m:den>
                  </m:f>
                  <m:r>
                    <a:rPr lang="en-US" altLang="ko-KR" sz="9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altLang="ko-KR" sz="900">
                  <a:solidFill>
                    <a:srgbClr val="FF0000"/>
                  </a:solidFill>
                </a:rPr>
                <a:t>f</a:t>
              </a:r>
              <a:r>
                <a:rPr lang="en-US" altLang="ko-KR" sz="900"/>
                <a:t> 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ko-KR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en-US" altLang="ko-KR" sz="9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altLang="ko-KR" sz="9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3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en-US" altLang="ko-KR" sz="9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676275" y="14782799"/>
              <a:ext cx="1918923" cy="216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900" b="0" i="0">
                  <a:latin typeface="Cambria Math" panose="02040503050406030204" pitchFamily="18" charset="0"/>
                </a:rPr>
                <a:t>𝑤_2ℎ 𝑓 −(8ℎ^2 (𝑘+3)+5𝑓(4ℎ+𝑓))/16</a:t>
              </a:r>
              <a:r>
                <a:rPr lang="el-GR" altLang="ko-KR" sz="900" b="0" i="0">
                  <a:latin typeface="Cambria Math" panose="02040503050406030204" pitchFamily="18" charset="0"/>
                </a:rPr>
                <a:t>α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  </a:t>
              </a:r>
              <a:r>
                <a:rPr lang="en-US" altLang="ko-KR" sz="900">
                  <a:solidFill>
                    <a:srgbClr val="FF0000"/>
                  </a:solidFill>
                </a:rPr>
                <a:t>f</a:t>
              </a:r>
              <a:r>
                <a:rPr lang="en-US" altLang="ko-KR" sz="900"/>
                <a:t> (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𝑤_2ℎ+𝑤_3ℎ)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514351</xdr:colOff>
      <xdr:row>83</xdr:row>
      <xdr:rowOff>36196</xdr:rowOff>
    </xdr:from>
    <xdr:ext cx="1979773" cy="2160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638176" y="15047596"/>
              <a:ext cx="1979773" cy="216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ko-KR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3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en-US" altLang="ko-KR" sz="900" b="0" i="1">
                      <a:latin typeface="Cambria Math" panose="02040503050406030204" pitchFamily="18" charset="0"/>
                    </a:rPr>
                    <m:t>𝑓</m:t>
                  </m:r>
                  <m:r>
                    <a:rPr lang="en-US" altLang="ko-KR" sz="900" b="0" i="1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US" altLang="ko-KR" sz="9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8</m:t>
                      </m:r>
                      <m:sSup>
                        <m:sSupPr>
                          <m:ctrlPr>
                            <a:rPr lang="en-US" altLang="ko-KR" sz="9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900" b="0" i="1">
                              <a:latin typeface="Cambria Math" panose="02040503050406030204" pitchFamily="18" charset="0"/>
                            </a:rPr>
                            <m:t>h</m:t>
                          </m:r>
                        </m:e>
                        <m:sup>
                          <m:r>
                            <a:rPr lang="en-US" altLang="ko-KR" sz="9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d>
                        <m:dPr>
                          <m:ctrlPr>
                            <a:rPr lang="en-US" altLang="ko-KR" sz="9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altLang="ko-KR" sz="900" b="0" i="1">
                              <a:latin typeface="Cambria Math" panose="02040503050406030204" pitchFamily="18" charset="0"/>
                            </a:rPr>
                            <m:t>𝑘</m:t>
                          </m:r>
                          <m:r>
                            <a:rPr lang="en-US" altLang="ko-KR" sz="900" b="0" i="1">
                              <a:latin typeface="Cambria Math" panose="02040503050406030204" pitchFamily="18" charset="0"/>
                            </a:rPr>
                            <m:t>+3</m:t>
                          </m:r>
                        </m:e>
                      </m:d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+5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(4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h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16</m:t>
                      </m:r>
                      <m:r>
                        <m:rPr>
                          <m:sty m:val="p"/>
                        </m:rPr>
                        <a:rPr lang="el-GR" altLang="ko-KR" sz="900" b="0" i="1">
                          <a:latin typeface="Cambria Math" panose="02040503050406030204" pitchFamily="18" charset="0"/>
                        </a:rPr>
                        <m:t>α</m:t>
                      </m:r>
                    </m:den>
                  </m:f>
                </m:oMath>
              </a14:m>
              <a:r>
                <a:rPr lang="en-US" altLang="ko-KR" sz="900"/>
                <a:t> </a:t>
              </a:r>
              <a:r>
                <a:rPr lang="en-US" altLang="ko-KR" sz="900">
                  <a:solidFill>
                    <a:srgbClr val="FF0000"/>
                  </a:solidFill>
                </a:rPr>
                <a:t>f</a:t>
              </a:r>
              <a:r>
                <a:rPr lang="en-US" altLang="ko-KR" sz="900"/>
                <a:t> 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ko-KR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en-US" altLang="ko-KR" sz="9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altLang="ko-KR" sz="9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3</m:t>
                      </m:r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en-US" altLang="ko-KR" sz="9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638176" y="15047596"/>
              <a:ext cx="1979773" cy="216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900" i="0">
                  <a:latin typeface="Cambria Math" panose="02040503050406030204" pitchFamily="18" charset="0"/>
                </a:rPr>
                <a:t>〖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−𝑤〗_3ℎ 𝑓+(8ℎ^2 (𝑘+3)+5𝑓(4ℎ+𝑓))/16</a:t>
              </a:r>
              <a:r>
                <a:rPr lang="el-GR" altLang="ko-KR" sz="900" b="0" i="0">
                  <a:latin typeface="Cambria Math" panose="02040503050406030204" pitchFamily="18" charset="0"/>
                </a:rPr>
                <a:t>α</a:t>
              </a:r>
              <a:r>
                <a:rPr lang="en-US" altLang="ko-KR" sz="900"/>
                <a:t> </a:t>
              </a:r>
              <a:r>
                <a:rPr lang="en-US" altLang="ko-KR" sz="900">
                  <a:solidFill>
                    <a:srgbClr val="FF0000"/>
                  </a:solidFill>
                </a:rPr>
                <a:t>f</a:t>
              </a:r>
              <a:r>
                <a:rPr lang="en-US" altLang="ko-KR" sz="900"/>
                <a:t> (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𝑤_2ℎ+𝑤_3ℎ)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461962</xdr:colOff>
      <xdr:row>124</xdr:row>
      <xdr:rowOff>128588</xdr:rowOff>
    </xdr:from>
    <xdr:ext cx="65" cy="140872"/>
    <xdr:sp macro="" textlink="">
      <xdr:nvSpPr>
        <xdr:cNvPr id="24" name="TextBox 23"/>
        <xdr:cNvSpPr txBox="1"/>
      </xdr:nvSpPr>
      <xdr:spPr>
        <a:xfrm>
          <a:off x="585787" y="22283738"/>
          <a:ext cx="65" cy="1408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900"/>
        </a:p>
      </xdr:txBody>
    </xdr:sp>
    <xdr:clientData/>
  </xdr:oneCellAnchor>
  <xdr:oneCellAnchor>
    <xdr:from>
      <xdr:col>1</xdr:col>
      <xdr:colOff>376237</xdr:colOff>
      <xdr:row>85</xdr:row>
      <xdr:rowOff>147638</xdr:rowOff>
    </xdr:from>
    <xdr:ext cx="314893" cy="2629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500062" y="15406688"/>
              <a:ext cx="314893" cy="262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3</m:t>
                        </m:r>
                        <m:sSub>
                          <m:sSub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𝑙</m:t>
                        </m:r>
                      </m:num>
                      <m:den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500062" y="15406688"/>
              <a:ext cx="314893" cy="262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900" i="0">
                  <a:latin typeface="Cambria Math" panose="02040503050406030204" pitchFamily="18" charset="0"/>
                </a:rPr>
                <a:t>(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3𝑤_2𝑣 𝑙)/8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381000</xdr:colOff>
      <xdr:row>87</xdr:row>
      <xdr:rowOff>142875</xdr:rowOff>
    </xdr:from>
    <xdr:ext cx="250966" cy="2629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504825" y="15697200"/>
              <a:ext cx="250966" cy="262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𝑙</m:t>
                        </m:r>
                      </m:num>
                      <m:den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504825" y="15697200"/>
              <a:ext cx="250966" cy="262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900" i="0">
                  <a:latin typeface="Cambria Math" panose="02040503050406030204" pitchFamily="18" charset="0"/>
                </a:rPr>
                <a:t>(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𝑤_2𝑣 𝑙)/8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390525</xdr:colOff>
      <xdr:row>97</xdr:row>
      <xdr:rowOff>133349</xdr:rowOff>
    </xdr:from>
    <xdr:ext cx="868571" cy="2778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514350" y="17278349"/>
              <a:ext cx="868571" cy="277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  <m:sSup>
                          <m:sSup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p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altLang="ko-KR" sz="9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64</m:t>
                        </m:r>
                      </m:den>
                    </m:f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 </m:t>
                    </m:r>
                    <m:f>
                      <m:f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+5</m:t>
                            </m:r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</m:d>
                      </m:num>
                      <m:den>
                        <m:r>
                          <m:rPr>
                            <m:sty m:val="p"/>
                          </m:rPr>
                          <a:rPr lang="el-GR" altLang="ko-KR" sz="900" i="1">
                            <a:latin typeface="Cambria Math" panose="02040503050406030204" pitchFamily="18" charset="0"/>
                          </a:rPr>
                          <m:t>α</m:t>
                        </m:r>
                      </m:den>
                    </m:f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514350" y="17278349"/>
              <a:ext cx="868571" cy="277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900" i="0">
                  <a:latin typeface="Cambria Math" panose="02040503050406030204" pitchFamily="18" charset="0"/>
                </a:rPr>
                <a:t>(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𝑤_3𝑣 𝑙^2)/</a:t>
              </a:r>
              <a:r>
                <a:rPr lang="en-US" altLang="ko-KR" sz="9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64 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   ((8ℎ+5𝑓))/</a:t>
              </a:r>
              <a:r>
                <a:rPr lang="el-GR" altLang="ko-KR" sz="900" i="0">
                  <a:latin typeface="Cambria Math" panose="02040503050406030204" pitchFamily="18" charset="0"/>
                </a:rPr>
                <a:t>α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376237</xdr:colOff>
      <xdr:row>93</xdr:row>
      <xdr:rowOff>147638</xdr:rowOff>
    </xdr:from>
    <xdr:ext cx="314893" cy="2629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500062" y="16663988"/>
              <a:ext cx="314893" cy="262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3</m:t>
                        </m:r>
                        <m:sSub>
                          <m:sSub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𝑙</m:t>
                        </m:r>
                      </m:num>
                      <m:den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500062" y="16663988"/>
              <a:ext cx="314893" cy="262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900" i="0">
                  <a:latin typeface="Cambria Math" panose="02040503050406030204" pitchFamily="18" charset="0"/>
                </a:rPr>
                <a:t>(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3𝑤_3𝑣 𝑙)/8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381000</xdr:colOff>
      <xdr:row>95</xdr:row>
      <xdr:rowOff>59055</xdr:rowOff>
    </xdr:from>
    <xdr:ext cx="250966" cy="2629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504825" y="16956405"/>
              <a:ext cx="250966" cy="262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𝑙</m:t>
                        </m:r>
                      </m:num>
                      <m:den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504825" y="16956405"/>
              <a:ext cx="250966" cy="262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900" i="0">
                  <a:latin typeface="Cambria Math" panose="02040503050406030204" pitchFamily="18" charset="0"/>
                </a:rPr>
                <a:t>(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𝑤_3𝑣 𝑙)/8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2</xdr:col>
      <xdr:colOff>228600</xdr:colOff>
      <xdr:row>43</xdr:row>
      <xdr:rowOff>19049</xdr:rowOff>
    </xdr:from>
    <xdr:ext cx="384336" cy="140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1076325" y="8220074"/>
              <a:ext cx="384336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/2</m:t>
                    </m:r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1076325" y="8220074"/>
              <a:ext cx="384336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900" b="0" i="0">
                  <a:latin typeface="Cambria Math" panose="02040503050406030204" pitchFamily="18" charset="0"/>
                </a:rPr>
                <a:t>𝑤_𝐷  𝐿/2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2</xdr:col>
      <xdr:colOff>338137</xdr:colOff>
      <xdr:row>44</xdr:row>
      <xdr:rowOff>0</xdr:rowOff>
    </xdr:from>
    <xdr:ext cx="725840" cy="2778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1185862" y="8391525"/>
              <a:ext cx="725840" cy="277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9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  <m:sSup>
                          <m:sSupPr>
                            <m:ctrlPr>
                              <a:rPr lang="en-US" altLang="ko-KR" sz="9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32</m:t>
                        </m:r>
                      </m:den>
                    </m:f>
                    <m:f>
                      <m:f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+5</m:t>
                        </m:r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𝑓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l-GR" altLang="ko-KR" sz="900" i="1">
                            <a:latin typeface="Cambria Math" panose="02040503050406030204" pitchFamily="18" charset="0"/>
                          </a:rPr>
                          <m:t>α</m:t>
                        </m:r>
                      </m:den>
                    </m:f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1185862" y="8391525"/>
              <a:ext cx="725840" cy="277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900" i="0">
                  <a:latin typeface="Cambria Math" panose="02040503050406030204" pitchFamily="18" charset="0"/>
                </a:rPr>
                <a:t>(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𝑤_𝐷 𝐿^2  )/32  (8ℎ+5𝑓)/</a:t>
              </a:r>
              <a:r>
                <a:rPr lang="el-GR" altLang="ko-KR" sz="900" i="0">
                  <a:latin typeface="Cambria Math" panose="02040503050406030204" pitchFamily="18" charset="0"/>
                </a:rPr>
                <a:t>α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2</xdr:col>
      <xdr:colOff>80963</xdr:colOff>
      <xdr:row>53</xdr:row>
      <xdr:rowOff>23813</xdr:rowOff>
    </xdr:from>
    <xdr:ext cx="370293" cy="140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928688" y="9939338"/>
              <a:ext cx="370293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/2</m:t>
                    </m:r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928688" y="9939338"/>
              <a:ext cx="370293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900" b="0" i="0">
                  <a:latin typeface="Cambria Math" panose="02040503050406030204" pitchFamily="18" charset="0"/>
                </a:rPr>
                <a:t>𝑤_𝐿  𝐿/2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2</xdr:col>
      <xdr:colOff>100013</xdr:colOff>
      <xdr:row>53</xdr:row>
      <xdr:rowOff>185737</xdr:rowOff>
    </xdr:from>
    <xdr:ext cx="725840" cy="2778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947738" y="10101262"/>
              <a:ext cx="725840" cy="277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9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  <m:sSup>
                          <m:sSupPr>
                            <m:ctrlPr>
                              <a:rPr lang="en-US" altLang="ko-KR" sz="9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32</m:t>
                        </m:r>
                      </m:den>
                    </m:f>
                    <m:f>
                      <m:f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+5</m:t>
                        </m:r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𝑓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l-GR" altLang="ko-KR" sz="900" i="1">
                            <a:latin typeface="Cambria Math" panose="02040503050406030204" pitchFamily="18" charset="0"/>
                          </a:rPr>
                          <m:t>α</m:t>
                        </m:r>
                      </m:den>
                    </m:f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947738" y="10101262"/>
              <a:ext cx="725840" cy="277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900" i="0">
                  <a:latin typeface="Cambria Math" panose="02040503050406030204" pitchFamily="18" charset="0"/>
                </a:rPr>
                <a:t>(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𝑤_𝐷 𝐿^2  )/32  (8ℎ+5𝑓)/</a:t>
              </a:r>
              <a:r>
                <a:rPr lang="el-GR" altLang="ko-KR" sz="900" i="0">
                  <a:latin typeface="Cambria Math" panose="02040503050406030204" pitchFamily="18" charset="0"/>
                </a:rPr>
                <a:t>α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76200</xdr:colOff>
      <xdr:row>105</xdr:row>
      <xdr:rowOff>119062</xdr:rowOff>
    </xdr:from>
    <xdr:ext cx="1054583" cy="2769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200025" y="18654712"/>
              <a:ext cx="1054583" cy="276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=− </m:t>
                    </m:r>
                    <m:sSub>
                      <m:sSub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−</m:t>
                    </m:r>
                    <m:f>
                      <m:f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p>
                          <m:sSup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p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200025" y="18654712"/>
              <a:ext cx="1054583" cy="276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900" b="0" i="0">
                  <a:latin typeface="Cambria Math" panose="02040503050406030204" pitchFamily="18" charset="0"/>
                </a:rPr>
                <a:t>𝑀_𝑏=− 𝐻_𝑎 ℎ −(𝑤_1 ℎ^2)/2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42863</xdr:colOff>
      <xdr:row>107</xdr:row>
      <xdr:rowOff>90488</xdr:rowOff>
    </xdr:from>
    <xdr:ext cx="2376292" cy="3139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/>
            <xdr:cNvSpPr txBox="1"/>
          </xdr:nvSpPr>
          <xdr:spPr>
            <a:xfrm>
              <a:off x="166688" y="19007138"/>
              <a:ext cx="2376292" cy="313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=−</m:t>
                    </m:r>
                    <m:sSub>
                      <m:sSub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d>
                      <m:d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</m:d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𝑙</m:t>
                        </m:r>
                      </m:num>
                      <m:den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 −</m:t>
                    </m:r>
                    <m:sSub>
                      <m:sSub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h</m:t>
                    </m:r>
                    <m:d>
                      <m:d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num>
                          <m:den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</m:d>
                    <m:r>
                      <a:rPr lang="en-US" altLang="ko-KR" sz="900" b="0" i="1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n-US" altLang="ko-KR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sSup>
                          <m:sSupPr>
                            <m:ctrlP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en-US" altLang="ko-KR" sz="9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altLang="ko-KR" sz="9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35" name="TextBox 34"/>
            <xdr:cNvSpPr txBox="1"/>
          </xdr:nvSpPr>
          <xdr:spPr>
            <a:xfrm>
              <a:off x="166688" y="19007138"/>
              <a:ext cx="2376292" cy="313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900" i="0">
                  <a:latin typeface="Cambria Math" panose="02040503050406030204" pitchFamily="18" charset="0"/>
                </a:rPr>
                <a:t>〖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 𝑀〗_𝑐=−𝐻_𝑎 (ℎ+𝑓)+(𝑉_𝑎 𝑙)/2  −𝑤_1 ℎ(ℎ/2+𝑓)+  (𝑤_2 𝑠^2)/2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</xdr:col>
      <xdr:colOff>109537</xdr:colOff>
      <xdr:row>109</xdr:row>
      <xdr:rowOff>147637</xdr:rowOff>
    </xdr:from>
    <xdr:ext cx="876522" cy="2152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/>
            <xdr:cNvSpPr txBox="1"/>
          </xdr:nvSpPr>
          <xdr:spPr>
            <a:xfrm>
              <a:off x="233362" y="19445287"/>
              <a:ext cx="876522" cy="2152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ko-KR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𝑑</m:t>
                      </m:r>
                    </m:sub>
                  </m:sSub>
                </m:oMath>
              </a14:m>
              <a:r>
                <a:rPr lang="ko-KR" altLang="en-US" sz="900"/>
                <a:t> </a:t>
              </a:r>
              <a:r>
                <a:rPr lang="en-US" altLang="ko-KR" sz="9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ko-KR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𝑒</m:t>
                      </m:r>
                    </m:sub>
                  </m:sSub>
                  <m:r>
                    <a:rPr lang="en-US" altLang="ko-KR" sz="9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altLang="ko-KR" sz="900" b="0" i="1">
                      <a:latin typeface="Cambria Math" panose="02040503050406030204" pitchFamily="18" charset="0"/>
                    </a:rPr>
                    <m:t>h</m:t>
                  </m:r>
                  <m:r>
                    <a:rPr lang="en-US" altLang="ko-KR" sz="900" b="0" i="1">
                      <a:latin typeface="Cambria Math" panose="02040503050406030204" pitchFamily="18" charset="0"/>
                    </a:rPr>
                    <m:t>+ </m:t>
                  </m:r>
                  <m:f>
                    <m:fPr>
                      <m:ctrlPr>
                        <a:rPr lang="en-US" altLang="ko-KR" sz="9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altLang="ko-KR" sz="9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ko-KR" sz="900" b="0" i="1">
                              <a:latin typeface="Cambria Math" panose="02040503050406030204" pitchFamily="18" charset="0"/>
                            </a:rPr>
                            <m:t>𝑤</m:t>
                          </m:r>
                        </m:e>
                        <m:sub>
                          <m:r>
                            <a:rPr lang="en-US" altLang="ko-KR" sz="9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b>
                      </m:sSub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 </m:t>
                      </m:r>
                      <m:sSup>
                        <m:sSupPr>
                          <m:ctrlPr>
                            <a:rPr lang="en-US" altLang="ko-KR" sz="9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900" b="0" i="1">
                              <a:latin typeface="Cambria Math" panose="02040503050406030204" pitchFamily="18" charset="0"/>
                            </a:rPr>
                            <m:t>h</m:t>
                          </m:r>
                        </m:e>
                        <m:sup>
                          <m:r>
                            <a:rPr lang="en-US" altLang="ko-KR" sz="9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altLang="ko-KR" sz="9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ko-KR" altLang="en-US" sz="900"/>
            </a:p>
          </xdr:txBody>
        </xdr:sp>
      </mc:Choice>
      <mc:Fallback>
        <xdr:sp macro="" textlink="">
          <xdr:nvSpPr>
            <xdr:cNvPr id="36" name="TextBox 35"/>
            <xdr:cNvSpPr txBox="1"/>
          </xdr:nvSpPr>
          <xdr:spPr>
            <a:xfrm>
              <a:off x="233362" y="19445287"/>
              <a:ext cx="876522" cy="2152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900" b="0" i="0">
                  <a:latin typeface="Cambria Math" panose="02040503050406030204" pitchFamily="18" charset="0"/>
                </a:rPr>
                <a:t>𝑀_𝑑</a:t>
              </a:r>
              <a:r>
                <a:rPr lang="ko-KR" altLang="en-US" sz="900"/>
                <a:t> </a:t>
              </a:r>
              <a:r>
                <a:rPr lang="en-US" altLang="ko-KR" sz="900"/>
                <a:t>= </a:t>
              </a:r>
              <a:r>
                <a:rPr lang="en-US" altLang="ko-KR" sz="900" b="0" i="0">
                  <a:latin typeface="Cambria Math" panose="02040503050406030204" pitchFamily="18" charset="0"/>
                </a:rPr>
                <a:t>𝐻_𝑒  ℎ+  (𝑤_4  ℎ^2)/2</a:t>
              </a:r>
              <a:endParaRPr lang="ko-KR" altLang="en-US" sz="900"/>
            </a:p>
          </xdr:txBody>
        </xdr:sp>
      </mc:Fallback>
    </mc:AlternateContent>
    <xdr:clientData/>
  </xdr:oneCellAnchor>
  <xdr:oneCellAnchor>
    <xdr:from>
      <xdr:col>17</xdr:col>
      <xdr:colOff>549518</xdr:colOff>
      <xdr:row>46</xdr:row>
      <xdr:rowOff>146538</xdr:rowOff>
    </xdr:from>
    <xdr:ext cx="3067478" cy="2676900"/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493" y="8995263"/>
          <a:ext cx="3067478" cy="2676900"/>
        </a:xfrm>
        <a:prstGeom prst="rect">
          <a:avLst/>
        </a:prstGeom>
      </xdr:spPr>
    </xdr:pic>
    <xdr:clientData/>
  </xdr:oneCellAnchor>
  <xdr:oneCellAnchor>
    <xdr:from>
      <xdr:col>17</xdr:col>
      <xdr:colOff>593911</xdr:colOff>
      <xdr:row>35</xdr:row>
      <xdr:rowOff>123265</xdr:rowOff>
    </xdr:from>
    <xdr:ext cx="7702477" cy="1876449"/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70886" y="7076515"/>
          <a:ext cx="7702477" cy="1876449"/>
        </a:xfrm>
        <a:prstGeom prst="rect">
          <a:avLst/>
        </a:prstGeom>
      </xdr:spPr>
    </xdr:pic>
    <xdr:clientData/>
  </xdr:oneCellAnchor>
  <xdr:oneCellAnchor>
    <xdr:from>
      <xdr:col>17</xdr:col>
      <xdr:colOff>537881</xdr:colOff>
      <xdr:row>93</xdr:row>
      <xdr:rowOff>123265</xdr:rowOff>
    </xdr:from>
    <xdr:ext cx="5657035" cy="3082175"/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14856" y="16639615"/>
          <a:ext cx="5657035" cy="3082175"/>
        </a:xfrm>
        <a:prstGeom prst="rect">
          <a:avLst/>
        </a:prstGeom>
      </xdr:spPr>
    </xdr:pic>
    <xdr:clientData/>
  </xdr:oneCellAnchor>
  <xdr:oneCellAnchor>
    <xdr:from>
      <xdr:col>9</xdr:col>
      <xdr:colOff>314739</xdr:colOff>
      <xdr:row>61</xdr:row>
      <xdr:rowOff>157369</xdr:rowOff>
    </xdr:from>
    <xdr:ext cx="2501591" cy="977347"/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96114" y="11473069"/>
          <a:ext cx="2501591" cy="977347"/>
        </a:xfrm>
        <a:prstGeom prst="rect">
          <a:avLst/>
        </a:prstGeom>
      </xdr:spPr>
    </xdr:pic>
    <xdr:clientData/>
  </xdr:oneCellAnchor>
  <xdr:oneCellAnchor>
    <xdr:from>
      <xdr:col>18</xdr:col>
      <xdr:colOff>157369</xdr:colOff>
      <xdr:row>85</xdr:row>
      <xdr:rowOff>16565</xdr:rowOff>
    </xdr:from>
    <xdr:ext cx="2508281" cy="977984"/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77294" y="15275615"/>
          <a:ext cx="2508281" cy="97798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122</xdr:row>
      <xdr:rowOff>0</xdr:rowOff>
    </xdr:from>
    <xdr:ext cx="2522616" cy="977347"/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825" y="21774150"/>
          <a:ext cx="2522616" cy="977347"/>
        </a:xfrm>
        <a:prstGeom prst="rect">
          <a:avLst/>
        </a:prstGeom>
      </xdr:spPr>
    </xdr:pic>
    <xdr:clientData/>
  </xdr:oneCellAnchor>
  <xdr:oneCellAnchor>
    <xdr:from>
      <xdr:col>11</xdr:col>
      <xdr:colOff>256761</xdr:colOff>
      <xdr:row>1</xdr:row>
      <xdr:rowOff>41413</xdr:rowOff>
    </xdr:from>
    <xdr:ext cx="1353251" cy="1048753"/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62036" y="460513"/>
          <a:ext cx="1353251" cy="1048753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oneCellAnchor>
  <xdr:oneCellAnchor>
    <xdr:from>
      <xdr:col>17</xdr:col>
      <xdr:colOff>745434</xdr:colOff>
      <xdr:row>16</xdr:row>
      <xdr:rowOff>41411</xdr:rowOff>
    </xdr:from>
    <xdr:ext cx="4909350" cy="2156709"/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22409" y="3241811"/>
          <a:ext cx="4909350" cy="2156709"/>
        </a:xfrm>
        <a:prstGeom prst="rect">
          <a:avLst/>
        </a:prstGeom>
      </xdr:spPr>
    </xdr:pic>
    <xdr:clientData/>
  </xdr:oneCellAnchor>
  <xdr:oneCellAnchor>
    <xdr:from>
      <xdr:col>40</xdr:col>
      <xdr:colOff>103909</xdr:colOff>
      <xdr:row>12</xdr:row>
      <xdr:rowOff>155864</xdr:rowOff>
    </xdr:from>
    <xdr:ext cx="6382564" cy="5530739"/>
    <xdr:pic>
      <xdr:nvPicPr>
        <xdr:cNvPr id="45" name="그림 4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877184" y="2594264"/>
          <a:ext cx="6382564" cy="553073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8"/>
  <sheetViews>
    <sheetView tabSelected="1" view="pageBreakPreview" zoomScale="145" zoomScaleNormal="115" zoomScaleSheetLayoutView="145" workbookViewId="0">
      <selection activeCell="D15" sqref="D15:E15"/>
    </sheetView>
  </sheetViews>
  <sheetFormatPr defaultColWidth="9" defaultRowHeight="11.25" customHeight="1" zeroHeight="1" x14ac:dyDescent="0.3"/>
  <cols>
    <col min="1" max="1" width="1.625" style="4" customWidth="1"/>
    <col min="2" max="17" width="4.75" style="4" customWidth="1"/>
    <col min="18" max="18" width="9.75" style="4" customWidth="1"/>
    <col min="19" max="50" width="4.625" style="4" customWidth="1"/>
    <col min="51" max="66" width="3.625" style="4" customWidth="1"/>
    <col min="67" max="16384" width="9" style="4"/>
  </cols>
  <sheetData>
    <row r="1" spans="1:18" ht="26.45" customHeight="1" x14ac:dyDescent="0.3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3">
      <c r="A2" s="1"/>
      <c r="B2" s="5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" customHeight="1" x14ac:dyDescent="0.3">
      <c r="A3" s="1"/>
      <c r="B3" s="5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" customHeight="1" x14ac:dyDescent="0.3">
      <c r="A4" s="1"/>
      <c r="B4" s="5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5" customHeight="1" x14ac:dyDescent="0.3">
      <c r="A5" s="1"/>
      <c r="B5" s="6"/>
      <c r="C5" s="7" t="s">
        <v>4</v>
      </c>
      <c r="D5" s="8">
        <v>9000</v>
      </c>
      <c r="E5" s="8"/>
      <c r="F5" s="9" t="s">
        <v>5</v>
      </c>
      <c r="G5" s="10" t="s">
        <v>6</v>
      </c>
      <c r="H5" s="11"/>
      <c r="I5" s="11"/>
      <c r="J5" s="11"/>
      <c r="K5" s="12"/>
      <c r="L5" s="12"/>
      <c r="M5" s="11"/>
      <c r="N5" s="11"/>
      <c r="O5" s="1"/>
      <c r="P5" s="1"/>
      <c r="Q5" s="13"/>
    </row>
    <row r="6" spans="1:18" ht="15" customHeight="1" x14ac:dyDescent="0.3">
      <c r="A6" s="1"/>
      <c r="B6" s="6"/>
      <c r="C6" s="7" t="s">
        <v>4</v>
      </c>
      <c r="D6" s="8">
        <v>3000</v>
      </c>
      <c r="E6" s="8"/>
      <c r="F6" s="9" t="s">
        <v>5</v>
      </c>
      <c r="G6" s="10" t="s">
        <v>7</v>
      </c>
      <c r="H6" s="11"/>
      <c r="I6" s="11"/>
      <c r="J6" s="11"/>
      <c r="K6" s="12"/>
      <c r="L6" s="12"/>
      <c r="M6" s="11"/>
      <c r="N6" s="11"/>
      <c r="O6" s="1"/>
      <c r="P6" s="1"/>
      <c r="Q6" s="13"/>
    </row>
    <row r="7" spans="1:18" ht="15" customHeight="1" x14ac:dyDescent="0.3">
      <c r="A7" s="1"/>
      <c r="B7" s="6"/>
      <c r="C7" s="7" t="s">
        <v>4</v>
      </c>
      <c r="D7" s="8">
        <v>9000</v>
      </c>
      <c r="E7" s="8"/>
      <c r="F7" s="9" t="s">
        <v>8</v>
      </c>
      <c r="G7" s="10" t="s">
        <v>9</v>
      </c>
      <c r="H7" s="11"/>
      <c r="I7" s="11"/>
      <c r="J7" s="11"/>
      <c r="K7" s="12"/>
      <c r="L7" s="12"/>
      <c r="M7" s="11"/>
      <c r="N7" s="11"/>
      <c r="O7" s="1"/>
      <c r="P7" s="1"/>
      <c r="Q7" s="13"/>
    </row>
    <row r="8" spans="1:18" ht="5.45" customHeight="1" x14ac:dyDescent="0.3">
      <c r="A8" s="1"/>
      <c r="B8" s="6"/>
      <c r="C8" s="9"/>
      <c r="D8" s="14"/>
      <c r="E8" s="14"/>
      <c r="F8" s="9"/>
      <c r="G8" s="10"/>
      <c r="H8" s="11"/>
      <c r="I8" s="11"/>
      <c r="J8" s="11"/>
      <c r="K8" s="12"/>
      <c r="L8" s="12"/>
      <c r="M8" s="11"/>
      <c r="N8" s="11"/>
      <c r="O8" s="1"/>
      <c r="P8" s="1"/>
      <c r="Q8" s="13"/>
    </row>
    <row r="9" spans="1:18" ht="15" customHeight="1" x14ac:dyDescent="0.2">
      <c r="A9" s="1"/>
      <c r="B9" s="5" t="s">
        <v>10</v>
      </c>
      <c r="C9" s="1"/>
      <c r="D9" s="1"/>
      <c r="E9" s="1"/>
      <c r="F9" s="1"/>
      <c r="G9" s="1"/>
      <c r="H9" s="1"/>
      <c r="I9" s="1"/>
      <c r="J9" s="1"/>
      <c r="K9" s="15"/>
      <c r="L9" s="15"/>
      <c r="M9" s="16"/>
      <c r="N9" s="17"/>
      <c r="O9" s="17"/>
      <c r="P9" s="17"/>
      <c r="Q9" s="17"/>
      <c r="R9" s="1"/>
    </row>
    <row r="10" spans="1:18" ht="15" customHeight="1" x14ac:dyDescent="0.2">
      <c r="A10" s="1"/>
      <c r="B10" s="18" t="s">
        <v>11</v>
      </c>
      <c r="C10" s="19"/>
      <c r="D10" s="20">
        <v>1</v>
      </c>
      <c r="E10" s="20"/>
      <c r="F10" s="10" t="s">
        <v>12</v>
      </c>
      <c r="G10" s="1"/>
      <c r="H10" s="1"/>
      <c r="I10" s="1"/>
      <c r="J10" s="1"/>
      <c r="K10" s="15"/>
      <c r="L10" s="15"/>
      <c r="M10" s="16"/>
      <c r="N10" s="17"/>
      <c r="O10" s="17"/>
      <c r="P10" s="17"/>
      <c r="Q10" s="17"/>
      <c r="R10" s="1"/>
    </row>
    <row r="11" spans="1:18" ht="15" customHeight="1" x14ac:dyDescent="0.2">
      <c r="A11" s="1"/>
      <c r="B11" s="18" t="s">
        <v>13</v>
      </c>
      <c r="C11" s="19"/>
      <c r="D11" s="20">
        <v>900</v>
      </c>
      <c r="E11" s="20"/>
      <c r="F11" s="1"/>
      <c r="G11" s="1"/>
      <c r="H11" s="1"/>
      <c r="I11" s="1"/>
      <c r="J11" s="1"/>
      <c r="K11" s="15"/>
      <c r="L11" s="15"/>
      <c r="M11" s="16"/>
      <c r="N11" s="21"/>
      <c r="O11" s="21"/>
      <c r="P11" s="21"/>
      <c r="Q11" s="21"/>
      <c r="R11" s="1"/>
    </row>
    <row r="12" spans="1:18" ht="15" customHeight="1" x14ac:dyDescent="0.2">
      <c r="A12" s="1"/>
      <c r="B12" s="18" t="s">
        <v>14</v>
      </c>
      <c r="C12" s="19"/>
      <c r="D12" s="20">
        <v>25</v>
      </c>
      <c r="E12" s="20"/>
      <c r="F12" s="1"/>
      <c r="G12" s="1"/>
      <c r="H12" s="1"/>
      <c r="I12" s="1"/>
      <c r="J12" s="1"/>
      <c r="K12" s="15"/>
      <c r="L12" s="15"/>
      <c r="M12" s="16"/>
      <c r="N12" s="21"/>
      <c r="O12" s="21"/>
      <c r="P12" s="21"/>
      <c r="Q12" s="21"/>
      <c r="R12" s="1"/>
    </row>
    <row r="13" spans="1:18" ht="15" customHeight="1" x14ac:dyDescent="0.2">
      <c r="A13" s="1"/>
      <c r="B13" s="18" t="s">
        <v>15</v>
      </c>
      <c r="C13" s="19"/>
      <c r="D13" s="20">
        <v>25</v>
      </c>
      <c r="E13" s="20"/>
      <c r="F13" s="10" t="s">
        <v>16</v>
      </c>
      <c r="G13" s="1"/>
      <c r="H13" s="1"/>
      <c r="I13" s="1"/>
      <c r="J13" s="1"/>
      <c r="K13" s="15"/>
      <c r="L13" s="15"/>
      <c r="M13" s="16"/>
      <c r="N13" s="21"/>
      <c r="O13" s="21"/>
      <c r="P13" s="21"/>
      <c r="Q13" s="21"/>
      <c r="R13" s="1"/>
    </row>
    <row r="14" spans="1:18" ht="15" customHeight="1" x14ac:dyDescent="0.2">
      <c r="A14" s="1"/>
      <c r="B14" s="18" t="s">
        <v>17</v>
      </c>
      <c r="C14" s="19"/>
      <c r="D14" s="20">
        <v>28</v>
      </c>
      <c r="E14" s="20"/>
      <c r="F14" s="10" t="s">
        <v>18</v>
      </c>
      <c r="G14" s="1"/>
      <c r="H14" s="1"/>
      <c r="I14" s="1"/>
      <c r="J14" s="1"/>
      <c r="K14" s="15"/>
      <c r="L14" s="15"/>
      <c r="M14" s="16"/>
      <c r="N14" s="21"/>
      <c r="O14" s="21"/>
      <c r="P14" s="21"/>
      <c r="Q14" s="21"/>
      <c r="R14" s="1"/>
    </row>
    <row r="15" spans="1:18" ht="15" customHeight="1" x14ac:dyDescent="0.2">
      <c r="A15" s="1"/>
      <c r="B15" s="18" t="s">
        <v>19</v>
      </c>
      <c r="C15" s="19"/>
      <c r="D15" s="20">
        <v>0</v>
      </c>
      <c r="E15" s="20"/>
      <c r="F15" s="10" t="s">
        <v>20</v>
      </c>
      <c r="G15" s="1"/>
      <c r="H15" s="1"/>
      <c r="I15" s="1"/>
      <c r="J15" s="1"/>
      <c r="K15" s="15"/>
      <c r="L15" s="15"/>
      <c r="M15" s="16"/>
      <c r="N15" s="21"/>
      <c r="O15" s="21"/>
      <c r="P15" s="21"/>
      <c r="Q15" s="21"/>
      <c r="R15" s="1"/>
    </row>
    <row r="16" spans="1:18" ht="15" customHeight="1" x14ac:dyDescent="0.2">
      <c r="A16" s="1"/>
      <c r="B16" s="22" t="s">
        <v>21</v>
      </c>
      <c r="C16" s="22"/>
      <c r="D16" s="20">
        <v>345</v>
      </c>
      <c r="E16" s="20"/>
      <c r="F16" s="10" t="s">
        <v>22</v>
      </c>
      <c r="G16" s="1"/>
      <c r="H16" s="1"/>
      <c r="I16" s="1"/>
      <c r="J16" s="1"/>
      <c r="K16" s="15"/>
      <c r="L16" s="15"/>
      <c r="M16" s="16"/>
      <c r="N16" s="21"/>
      <c r="O16" s="21"/>
      <c r="P16" s="21"/>
      <c r="Q16" s="21"/>
      <c r="R16" s="1"/>
    </row>
    <row r="17" spans="1:18" ht="6.6" customHeight="1" x14ac:dyDescent="0.2">
      <c r="A17" s="1"/>
      <c r="B17" s="5"/>
      <c r="C17" s="1"/>
      <c r="D17" s="1"/>
      <c r="E17" s="1"/>
      <c r="F17" s="1"/>
      <c r="G17" s="1"/>
      <c r="H17" s="1"/>
      <c r="I17" s="1"/>
      <c r="J17" s="1"/>
      <c r="K17" s="15"/>
      <c r="L17" s="15"/>
      <c r="M17" s="16"/>
      <c r="N17" s="21"/>
      <c r="O17" s="21"/>
      <c r="P17" s="21"/>
      <c r="Q17" s="21"/>
      <c r="R17" s="1"/>
    </row>
    <row r="18" spans="1:18" ht="15" customHeight="1" x14ac:dyDescent="0.2">
      <c r="A18" s="1"/>
      <c r="B18" s="18" t="s">
        <v>23</v>
      </c>
      <c r="C18" s="19"/>
      <c r="D18" s="23">
        <f>2*D12*D14+(D11-2*D14)*D13+D15*D15*4-3.14*D15*D15</f>
        <v>22500</v>
      </c>
      <c r="E18" s="23"/>
      <c r="F18" s="1"/>
      <c r="G18" s="1"/>
      <c r="H18" s="1"/>
      <c r="I18" s="1"/>
      <c r="J18" s="1"/>
      <c r="K18" s="15"/>
      <c r="L18" s="15"/>
      <c r="M18" s="16"/>
      <c r="N18" s="21"/>
      <c r="O18" s="21"/>
      <c r="P18" s="21"/>
      <c r="Q18" s="21"/>
      <c r="R18" s="1"/>
    </row>
    <row r="19" spans="1:18" ht="15" customHeight="1" x14ac:dyDescent="0.3">
      <c r="A19" s="1"/>
      <c r="B19" s="19" t="s">
        <v>24</v>
      </c>
      <c r="C19" s="19"/>
      <c r="D19" s="24">
        <f>D12*D11^3/12-((D12-D13)*(D11-2*D14)^3/12)+(D15*D15*(1-3.14/4))*((D11-2*D14)/2-0.225*D15)^2*4</f>
        <v>1518750000</v>
      </c>
      <c r="E19" s="24"/>
      <c r="F19" s="19" t="s">
        <v>25</v>
      </c>
      <c r="G19" s="19"/>
      <c r="H19" s="25">
        <f>(D19/D18)^0.5</f>
        <v>259.8076211353316</v>
      </c>
      <c r="I19" s="25"/>
      <c r="J19" s="19" t="s">
        <v>26</v>
      </c>
      <c r="K19" s="19"/>
      <c r="L19" s="24">
        <f>D19/(D11/2)</f>
        <v>3375000</v>
      </c>
      <c r="M19" s="24"/>
      <c r="N19" s="19" t="s">
        <v>27</v>
      </c>
      <c r="O19" s="19"/>
      <c r="P19" s="26">
        <f>D12*D11^2/4-((D12-D13)*(D11-2*D14)^2/4)</f>
        <v>5062500</v>
      </c>
      <c r="Q19" s="26"/>
      <c r="R19" s="1"/>
    </row>
    <row r="20" spans="1:18" ht="15" customHeight="1" x14ac:dyDescent="0.2">
      <c r="A20" s="1"/>
      <c r="B20" s="19" t="s">
        <v>28</v>
      </c>
      <c r="C20" s="19"/>
      <c r="D20" s="24">
        <f>2*D14*D12^3/12+(D11-2*D14)*D13^3/12+(D15*D15*(1-3.14/4))*(D13/2-0.225*D15)^2*4</f>
        <v>1171875</v>
      </c>
      <c r="E20" s="24"/>
      <c r="F20" s="27" t="s">
        <v>29</v>
      </c>
      <c r="G20" s="28"/>
      <c r="H20" s="29">
        <f>(D20/D18)^0.5</f>
        <v>7.2168783648703219</v>
      </c>
      <c r="I20" s="30"/>
      <c r="J20" s="19" t="s">
        <v>30</v>
      </c>
      <c r="K20" s="19"/>
      <c r="L20" s="31" t="s">
        <v>31</v>
      </c>
      <c r="M20" s="31"/>
      <c r="N20" s="19" t="s">
        <v>32</v>
      </c>
      <c r="O20" s="19"/>
      <c r="P20" s="32" t="s">
        <v>31</v>
      </c>
      <c r="Q20" s="32"/>
      <c r="R20" s="1"/>
    </row>
    <row r="21" spans="1:18" ht="15" customHeight="1" x14ac:dyDescent="0.3">
      <c r="A21" s="1"/>
      <c r="B21" s="19" t="s">
        <v>33</v>
      </c>
      <c r="C21" s="19"/>
      <c r="D21" s="26">
        <f>(2*D12*D14^3+(D11-2*D14)*D13^3)/3</f>
        <v>4761700</v>
      </c>
      <c r="E21" s="26"/>
      <c r="F21" s="19" t="s">
        <v>34</v>
      </c>
      <c r="G21" s="19"/>
      <c r="H21" s="24">
        <f>D20*(D11-D14)^2/4</f>
        <v>222768750000</v>
      </c>
      <c r="I21" s="24"/>
      <c r="J21" s="19" t="s">
        <v>35</v>
      </c>
      <c r="K21" s="19"/>
      <c r="L21" s="33">
        <f>MAX(0.35,MIN(4/(P21/D13)^0.5,0.76))</f>
        <v>0.68842839082151419</v>
      </c>
      <c r="M21" s="33"/>
      <c r="N21" s="19" t="s">
        <v>36</v>
      </c>
      <c r="O21" s="19"/>
      <c r="P21" s="34">
        <f>D11-D14*2</f>
        <v>844</v>
      </c>
      <c r="Q21" s="34"/>
      <c r="R21" s="1"/>
    </row>
    <row r="22" spans="1:18" ht="15" customHeight="1" x14ac:dyDescent="0.3">
      <c r="A22" s="1"/>
      <c r="B22" s="35" t="s">
        <v>37</v>
      </c>
      <c r="C22" s="36"/>
      <c r="D22" s="37">
        <v>77200</v>
      </c>
      <c r="E22" s="38"/>
      <c r="F22" s="35" t="s">
        <v>38</v>
      </c>
      <c r="G22" s="39"/>
      <c r="H22" s="40">
        <v>200000</v>
      </c>
      <c r="I22" s="41"/>
      <c r="J22" s="1"/>
      <c r="K22" s="1"/>
      <c r="L22" s="1"/>
      <c r="M22" s="1"/>
      <c r="N22" s="1"/>
      <c r="O22" s="1"/>
      <c r="P22" s="42"/>
      <c r="Q22" s="42"/>
      <c r="R22" s="1"/>
    </row>
    <row r="23" spans="1:18" ht="6.6" customHeight="1" x14ac:dyDescent="0.3">
      <c r="A23" s="1"/>
      <c r="B23" s="1"/>
      <c r="C23" s="1"/>
      <c r="D23" s="1"/>
      <c r="E23" s="1"/>
      <c r="F23" s="43"/>
      <c r="G23" s="43"/>
      <c r="H23" s="1"/>
      <c r="I23" s="1"/>
      <c r="J23" s="1"/>
      <c r="K23" s="1"/>
      <c r="L23" s="43"/>
      <c r="M23" s="43"/>
      <c r="N23" s="43"/>
      <c r="O23" s="43"/>
      <c r="P23" s="1"/>
      <c r="Q23" s="1"/>
      <c r="R23" s="1"/>
    </row>
    <row r="24" spans="1:18" ht="16.5" customHeight="1" x14ac:dyDescent="0.3">
      <c r="A24" s="1"/>
      <c r="B24" s="5" t="s">
        <v>39</v>
      </c>
      <c r="C24" s="44"/>
      <c r="D24" s="44"/>
      <c r="E24" s="44"/>
      <c r="F24" s="44"/>
      <c r="G24" s="44"/>
      <c r="H24" s="44"/>
      <c r="I24" s="44"/>
      <c r="J24" s="44"/>
      <c r="K24" s="1"/>
      <c r="L24" s="1"/>
      <c r="M24" s="1"/>
      <c r="N24" s="1"/>
      <c r="O24" s="1"/>
      <c r="P24" s="1"/>
      <c r="Q24" s="1"/>
      <c r="R24" s="1"/>
    </row>
    <row r="25" spans="1:18" ht="24.6" customHeight="1" x14ac:dyDescent="0.3">
      <c r="A25" s="1"/>
      <c r="B25" s="19" t="s">
        <v>40</v>
      </c>
      <c r="C25" s="19"/>
      <c r="D25" s="45" t="s">
        <v>41</v>
      </c>
      <c r="E25" s="46"/>
      <c r="F25" s="47"/>
      <c r="G25" s="18" t="s">
        <v>42</v>
      </c>
      <c r="H25" s="18"/>
      <c r="I25" s="18"/>
      <c r="J25" s="45" t="s">
        <v>43</v>
      </c>
      <c r="K25" s="46"/>
      <c r="L25" s="47"/>
      <c r="M25" s="19" t="s">
        <v>44</v>
      </c>
      <c r="N25" s="19"/>
      <c r="O25" s="27"/>
      <c r="P25" s="19" t="s">
        <v>45</v>
      </c>
      <c r="Q25" s="19"/>
    </row>
    <row r="26" spans="1:18" ht="15" customHeight="1" x14ac:dyDescent="0.3">
      <c r="A26" s="1"/>
      <c r="B26" s="19" t="s">
        <v>46</v>
      </c>
      <c r="C26" s="19"/>
      <c r="D26" s="48">
        <f>(D11-D14*2-D15*2)/(D13)</f>
        <v>33.76</v>
      </c>
      <c r="E26" s="49"/>
      <c r="F26" s="50"/>
      <c r="G26" s="25">
        <f>1.49*(H22/D16)^0.5</f>
        <v>35.874984219559224</v>
      </c>
      <c r="H26" s="25"/>
      <c r="I26" s="25"/>
      <c r="J26" s="51" t="str">
        <f>IF(D26&gt;G26,"slender","nonslender")</f>
        <v>nonslender</v>
      </c>
      <c r="K26" s="52"/>
      <c r="L26" s="53"/>
      <c r="M26" s="19" t="s">
        <v>47</v>
      </c>
      <c r="N26" s="19"/>
      <c r="O26" s="27"/>
      <c r="P26" s="19" t="str">
        <f>IF(J26="slender", "E7","E3,E4")</f>
        <v>E3,E4</v>
      </c>
      <c r="Q26" s="19"/>
    </row>
    <row r="27" spans="1:18" ht="15" customHeight="1" x14ac:dyDescent="0.3">
      <c r="A27" s="1"/>
      <c r="B27" s="19" t="s">
        <v>48</v>
      </c>
      <c r="C27" s="19"/>
      <c r="D27" s="48">
        <f>D12/(D14*2)</f>
        <v>0.44642857142857145</v>
      </c>
      <c r="E27" s="49"/>
      <c r="F27" s="50"/>
      <c r="G27" s="25">
        <f>IF(D10=1,0.64*(L21*H22/D16)^0.5,0.56*(H22/D16)^0.5)</f>
        <v>12.785414445352007</v>
      </c>
      <c r="H27" s="25"/>
      <c r="I27" s="25"/>
      <c r="J27" s="51" t="str">
        <f>IF(D27&gt;G27,"slender","nonslender")</f>
        <v>nonslender</v>
      </c>
      <c r="K27" s="52"/>
      <c r="L27" s="53"/>
      <c r="M27" s="19" t="str">
        <f>IF(D10=1,"Case 2", "Case 1")</f>
        <v>Case 2</v>
      </c>
      <c r="N27" s="19"/>
      <c r="O27" s="27"/>
      <c r="P27" s="19" t="str">
        <f>IF(J27="slender", "E7","E3,E4")</f>
        <v>E3,E4</v>
      </c>
      <c r="Q27" s="19"/>
    </row>
    <row r="28" spans="1:18" ht="15" customHeight="1" x14ac:dyDescent="0.3">
      <c r="A28" s="1"/>
      <c r="B28" s="54" t="s">
        <v>49</v>
      </c>
      <c r="C28" s="43"/>
      <c r="D28" s="43"/>
      <c r="E28" s="43"/>
      <c r="F28" s="43"/>
      <c r="G28" s="43"/>
      <c r="H28" s="43"/>
      <c r="I28" s="43"/>
      <c r="J28" s="55"/>
      <c r="K28" s="55"/>
      <c r="L28" s="43"/>
      <c r="M28" s="43"/>
      <c r="N28" s="1"/>
      <c r="O28" s="1"/>
      <c r="P28" s="16"/>
      <c r="Q28" s="16"/>
      <c r="R28" s="1"/>
    </row>
    <row r="29" spans="1:18" ht="7.15" customHeight="1" x14ac:dyDescent="0.3">
      <c r="A29" s="1"/>
      <c r="B29" s="56"/>
      <c r="C29" s="43"/>
      <c r="D29" s="43"/>
      <c r="E29" s="43"/>
      <c r="F29" s="43"/>
      <c r="G29" s="43"/>
      <c r="H29" s="43"/>
      <c r="I29" s="43"/>
      <c r="J29" s="55"/>
      <c r="K29" s="55"/>
      <c r="L29" s="43"/>
      <c r="M29" s="43"/>
      <c r="N29" s="1"/>
      <c r="O29" s="1"/>
      <c r="P29" s="16"/>
      <c r="Q29" s="16"/>
      <c r="R29" s="1"/>
    </row>
    <row r="30" spans="1:18" ht="15" customHeight="1" x14ac:dyDescent="0.3">
      <c r="A30" s="1"/>
      <c r="B30" s="9" t="s">
        <v>50</v>
      </c>
      <c r="C30" s="5"/>
      <c r="D30" s="1"/>
      <c r="E30" s="56"/>
      <c r="F30" s="1"/>
      <c r="G30" s="56"/>
      <c r="H30" s="56"/>
      <c r="I30" s="56"/>
      <c r="J30" s="55"/>
      <c r="K30" s="55"/>
      <c r="L30" s="43"/>
      <c r="M30" s="43"/>
      <c r="N30" s="43"/>
      <c r="O30" s="1"/>
      <c r="P30" s="1"/>
      <c r="Q30" s="1"/>
      <c r="R30" s="1"/>
    </row>
    <row r="31" spans="1:18" ht="27" customHeight="1" x14ac:dyDescent="0.3">
      <c r="A31" s="1"/>
      <c r="B31" s="57"/>
      <c r="C31" s="58"/>
      <c r="D31" s="58"/>
      <c r="F31" s="59" t="s">
        <v>51</v>
      </c>
      <c r="G31" s="1"/>
      <c r="H31" s="60">
        <f>MAX(D5/H19,D6/H20)</f>
        <v>415.69219381653056</v>
      </c>
      <c r="I31" s="61"/>
      <c r="J31" s="1"/>
      <c r="K31" s="43"/>
      <c r="L31" s="62"/>
      <c r="M31" s="63"/>
      <c r="N31" s="64"/>
      <c r="O31" s="61"/>
      <c r="P31" s="43"/>
      <c r="Q31" s="43"/>
    </row>
    <row r="32" spans="1:18" ht="27" customHeight="1" x14ac:dyDescent="0.3">
      <c r="A32" s="1"/>
      <c r="B32" s="9"/>
      <c r="C32" s="9"/>
      <c r="D32" s="65"/>
      <c r="E32" s="6"/>
      <c r="F32" s="66" t="s">
        <v>51</v>
      </c>
      <c r="G32" s="1"/>
      <c r="H32" s="7">
        <f>4.71*(H22/D16)^0.5</f>
        <v>113.40347360679459</v>
      </c>
      <c r="I32" s="11"/>
      <c r="J32" s="11"/>
      <c r="K32" s="1"/>
      <c r="L32" s="1"/>
      <c r="M32" s="1"/>
      <c r="N32" s="1"/>
      <c r="O32" s="1"/>
      <c r="P32" s="1"/>
      <c r="Q32" s="1"/>
    </row>
    <row r="33" spans="1:17" ht="15" customHeight="1" x14ac:dyDescent="0.3">
      <c r="A33" s="1"/>
      <c r="B33" s="67" t="s">
        <v>52</v>
      </c>
      <c r="C33" s="9"/>
      <c r="D33" s="65"/>
      <c r="E33" s="6"/>
      <c r="F33" s="66"/>
      <c r="G33" s="1"/>
      <c r="H33" s="7"/>
      <c r="I33" s="11"/>
      <c r="J33" s="11"/>
      <c r="K33" s="1"/>
      <c r="L33" s="1"/>
      <c r="M33" s="1"/>
      <c r="N33" s="1"/>
      <c r="O33" s="1"/>
      <c r="P33" s="1"/>
      <c r="Q33" s="1"/>
    </row>
    <row r="34" spans="1:17" ht="34.9" customHeight="1" x14ac:dyDescent="0.3">
      <c r="A34" s="1"/>
      <c r="B34" s="9"/>
      <c r="C34" s="9"/>
      <c r="D34" s="1"/>
      <c r="E34" s="1"/>
      <c r="F34" s="68" t="s">
        <v>4</v>
      </c>
      <c r="G34" s="69">
        <f>PI()*PI()*H22/H31^2</f>
        <v>11.423153242001572</v>
      </c>
      <c r="H34" s="69"/>
      <c r="I34" s="9" t="s">
        <v>53</v>
      </c>
      <c r="J34" s="10" t="s">
        <v>54</v>
      </c>
      <c r="K34" s="12"/>
      <c r="L34" s="1"/>
      <c r="M34" s="1"/>
      <c r="N34" s="11"/>
      <c r="O34" s="1"/>
      <c r="P34" s="1"/>
      <c r="Q34" s="13" t="s">
        <v>55</v>
      </c>
    </row>
    <row r="35" spans="1:17" ht="15" customHeight="1" x14ac:dyDescent="0.3">
      <c r="A35" s="1"/>
      <c r="B35" s="9"/>
      <c r="C35" s="9"/>
      <c r="D35" s="1"/>
      <c r="E35" s="1"/>
      <c r="F35" s="68" t="s">
        <v>51</v>
      </c>
      <c r="G35" s="69">
        <f>(0.658^(D16/G34))*D16</f>
        <v>1.1166332109861443E-3</v>
      </c>
      <c r="H35" s="69"/>
      <c r="I35" s="9" t="s">
        <v>53</v>
      </c>
      <c r="J35" s="10" t="s">
        <v>56</v>
      </c>
      <c r="K35" s="12"/>
      <c r="L35" s="1"/>
      <c r="M35" s="1"/>
      <c r="N35" s="11"/>
      <c r="O35" s="1"/>
      <c r="P35" s="1"/>
      <c r="Q35" s="13"/>
    </row>
    <row r="36" spans="1:17" ht="18.600000000000001" customHeight="1" x14ac:dyDescent="0.3">
      <c r="A36" s="1"/>
      <c r="B36" s="9"/>
      <c r="C36" s="9"/>
      <c r="D36" s="1"/>
      <c r="E36" s="1"/>
      <c r="F36" s="68" t="s">
        <v>4</v>
      </c>
      <c r="G36" s="69">
        <f>0.877*G34</f>
        <v>10.018105393235379</v>
      </c>
      <c r="H36" s="69"/>
      <c r="I36" s="9" t="s">
        <v>53</v>
      </c>
      <c r="J36" s="10" t="s">
        <v>57</v>
      </c>
      <c r="K36" s="12"/>
      <c r="L36" s="1"/>
      <c r="M36" s="1"/>
      <c r="N36" s="11"/>
      <c r="O36" s="1"/>
      <c r="P36" s="1"/>
      <c r="Q36" s="13"/>
    </row>
    <row r="37" spans="1:17" ht="15" customHeight="1" x14ac:dyDescent="0.3">
      <c r="A37" s="1"/>
      <c r="B37" s="9"/>
      <c r="C37" s="9"/>
      <c r="D37" s="1"/>
      <c r="E37" s="1"/>
      <c r="F37" s="68" t="s">
        <v>4</v>
      </c>
      <c r="G37" s="69">
        <f>IF(H31&lt;=H32,G35*D18,G36*D18)</f>
        <v>225407.37134779603</v>
      </c>
      <c r="H37" s="69"/>
      <c r="I37" s="9" t="s">
        <v>58</v>
      </c>
      <c r="J37" s="6"/>
      <c r="K37" s="12"/>
      <c r="L37" s="1"/>
      <c r="M37" s="1"/>
      <c r="N37" s="11"/>
      <c r="O37" s="1"/>
      <c r="P37" s="1"/>
      <c r="Q37" s="13"/>
    </row>
    <row r="38" spans="1:17" ht="15" customHeight="1" x14ac:dyDescent="0.3">
      <c r="A38" s="1"/>
      <c r="B38" s="9"/>
      <c r="C38" s="9"/>
      <c r="D38" s="1"/>
      <c r="E38" s="1"/>
      <c r="F38" s="68"/>
      <c r="G38" s="70"/>
      <c r="H38" s="70"/>
      <c r="I38" s="9"/>
      <c r="J38" s="6"/>
      <c r="K38" s="71"/>
      <c r="L38" s="71"/>
      <c r="M38" s="1"/>
      <c r="N38" s="11"/>
      <c r="O38" s="1"/>
      <c r="P38" s="1"/>
      <c r="Q38" s="13"/>
    </row>
    <row r="39" spans="1:17" ht="15" customHeight="1" x14ac:dyDescent="0.3">
      <c r="A39" s="1"/>
      <c r="B39" s="67" t="s">
        <v>59</v>
      </c>
      <c r="C39" s="9"/>
      <c r="D39" s="1"/>
      <c r="E39" s="1"/>
      <c r="F39" s="68"/>
      <c r="G39" s="70"/>
      <c r="H39" s="70"/>
      <c r="I39" s="9"/>
      <c r="J39" s="6"/>
      <c r="K39" s="12"/>
      <c r="L39" s="1"/>
      <c r="M39" s="1"/>
      <c r="N39" s="11"/>
      <c r="O39" s="1"/>
      <c r="P39" s="1"/>
      <c r="Q39" s="13"/>
    </row>
    <row r="40" spans="1:17" ht="31.15" customHeight="1" x14ac:dyDescent="0.3">
      <c r="A40" s="1"/>
      <c r="B40" s="67"/>
      <c r="C40" s="9"/>
      <c r="D40" s="1"/>
      <c r="E40" s="1"/>
      <c r="F40" s="68" t="s">
        <v>4</v>
      </c>
      <c r="G40" s="69">
        <f>(PI()*(PI()*H22*H21)/(D7*D7)+D22*D21)/(D19+D20)</f>
        <v>245.4283904208753</v>
      </c>
      <c r="H40" s="69"/>
      <c r="I40" s="9" t="s">
        <v>60</v>
      </c>
      <c r="J40" s="10" t="s">
        <v>61</v>
      </c>
      <c r="K40" s="12"/>
      <c r="L40" s="1"/>
      <c r="M40" s="1"/>
      <c r="N40" s="11"/>
      <c r="O40" s="1"/>
      <c r="P40" s="1"/>
      <c r="Q40" s="13" t="s">
        <v>62</v>
      </c>
    </row>
    <row r="41" spans="1:17" ht="15" customHeight="1" x14ac:dyDescent="0.3">
      <c r="A41" s="1"/>
      <c r="B41" s="9"/>
      <c r="C41" s="9"/>
      <c r="D41" s="1"/>
      <c r="E41" s="1"/>
      <c r="F41" s="68" t="s">
        <v>51</v>
      </c>
      <c r="G41" s="69">
        <f>(0.658^(D16/G40))*D16</f>
        <v>191.55710384451248</v>
      </c>
      <c r="H41" s="69"/>
      <c r="I41" s="9" t="s">
        <v>60</v>
      </c>
      <c r="J41" s="10" t="s">
        <v>56</v>
      </c>
      <c r="K41" s="12"/>
      <c r="L41" s="1"/>
      <c r="M41" s="1"/>
      <c r="N41" s="11"/>
      <c r="O41" s="1"/>
      <c r="P41" s="1"/>
      <c r="Q41" s="13"/>
    </row>
    <row r="42" spans="1:17" ht="18.600000000000001" customHeight="1" x14ac:dyDescent="0.3">
      <c r="A42" s="1"/>
      <c r="B42" s="9"/>
      <c r="C42" s="9"/>
      <c r="D42" s="1"/>
      <c r="E42" s="1"/>
      <c r="F42" s="68" t="s">
        <v>51</v>
      </c>
      <c r="G42" s="69">
        <f>0.877*G40</f>
        <v>215.24069839910763</v>
      </c>
      <c r="H42" s="69"/>
      <c r="I42" s="9" t="s">
        <v>60</v>
      </c>
      <c r="J42" s="10" t="s">
        <v>57</v>
      </c>
      <c r="K42" s="12"/>
      <c r="L42" s="1"/>
      <c r="M42" s="1"/>
      <c r="N42" s="11"/>
      <c r="O42" s="1"/>
      <c r="P42" s="1"/>
      <c r="Q42" s="13"/>
    </row>
    <row r="43" spans="1:17" ht="15" customHeight="1" x14ac:dyDescent="0.3">
      <c r="A43" s="1"/>
      <c r="B43" s="9"/>
      <c r="C43" s="9"/>
      <c r="D43" s="1"/>
      <c r="E43" s="1"/>
      <c r="F43" s="68" t="s">
        <v>51</v>
      </c>
      <c r="G43" s="69">
        <f>IF(H31&lt;=H32,G41*D18,G42*D18)</f>
        <v>4842915.7139799213</v>
      </c>
      <c r="H43" s="69"/>
      <c r="I43" s="9" t="s">
        <v>63</v>
      </c>
      <c r="J43" s="6"/>
      <c r="K43" s="12"/>
      <c r="L43" s="1"/>
      <c r="M43" s="1"/>
      <c r="N43" s="11"/>
      <c r="O43" s="1"/>
      <c r="P43" s="1"/>
      <c r="Q43" s="13"/>
    </row>
    <row r="44" spans="1:17" ht="6" customHeight="1" x14ac:dyDescent="0.3">
      <c r="A44" s="1"/>
      <c r="B44" s="67"/>
      <c r="C44" s="9"/>
      <c r="D44" s="1"/>
      <c r="E44" s="1"/>
      <c r="F44" s="68"/>
      <c r="G44" s="70"/>
      <c r="H44" s="70"/>
      <c r="I44" s="9"/>
      <c r="J44" s="6"/>
      <c r="K44" s="12"/>
      <c r="L44" s="1"/>
      <c r="M44" s="1"/>
      <c r="N44" s="11"/>
      <c r="O44" s="1"/>
      <c r="P44" s="1"/>
      <c r="Q44" s="13"/>
    </row>
    <row r="45" spans="1:17" ht="15" customHeight="1" x14ac:dyDescent="0.3">
      <c r="A45" s="1"/>
      <c r="B45" s="9" t="s">
        <v>64</v>
      </c>
      <c r="C45" s="9"/>
      <c r="D45" s="1"/>
      <c r="E45" s="1"/>
      <c r="F45" s="68"/>
      <c r="G45" s="70"/>
      <c r="H45" s="70"/>
      <c r="I45" s="9"/>
      <c r="J45" s="6"/>
      <c r="K45" s="12"/>
      <c r="L45" s="1"/>
      <c r="M45" s="1"/>
      <c r="N45" s="11"/>
      <c r="O45" s="1"/>
      <c r="P45" s="1"/>
      <c r="Q45" s="13"/>
    </row>
    <row r="46" spans="1:17" ht="15" customHeight="1" x14ac:dyDescent="0.3">
      <c r="A46" s="1"/>
      <c r="B46" s="9"/>
      <c r="C46" s="9"/>
      <c r="D46" s="1"/>
      <c r="E46" s="1"/>
      <c r="F46" s="68" t="s">
        <v>51</v>
      </c>
      <c r="G46" s="69">
        <f>MIN(G43,G37)</f>
        <v>225407.37134779603</v>
      </c>
      <c r="H46" s="69"/>
      <c r="I46" s="9" t="s">
        <v>63</v>
      </c>
      <c r="J46" s="10" t="s">
        <v>65</v>
      </c>
      <c r="K46" s="12"/>
      <c r="L46" s="1"/>
      <c r="M46" s="1"/>
      <c r="N46" s="11"/>
      <c r="O46" s="1"/>
      <c r="P46" s="1"/>
      <c r="Q46" s="13"/>
    </row>
    <row r="47" spans="1:17" ht="15" customHeight="1" x14ac:dyDescent="0.3">
      <c r="A47" s="1"/>
      <c r="B47" s="9"/>
      <c r="C47" s="9"/>
      <c r="D47" s="1"/>
      <c r="E47" s="1"/>
      <c r="F47" s="68" t="s">
        <v>51</v>
      </c>
      <c r="G47" s="69">
        <f>G46*0.9</f>
        <v>202866.63421301643</v>
      </c>
      <c r="H47" s="69"/>
      <c r="I47" s="9" t="s">
        <v>63</v>
      </c>
      <c r="J47" s="10" t="s">
        <v>66</v>
      </c>
      <c r="K47" s="12"/>
      <c r="L47" s="1"/>
      <c r="M47" s="1"/>
      <c r="N47" s="11"/>
      <c r="O47" s="1"/>
      <c r="P47" s="1"/>
      <c r="Q47" s="13"/>
    </row>
    <row r="48" spans="1:17" ht="6.6" customHeight="1" x14ac:dyDescent="0.2">
      <c r="A48" s="1"/>
      <c r="B48" s="72"/>
      <c r="C48" s="9"/>
      <c r="D48" s="1"/>
      <c r="E48" s="1"/>
      <c r="F48" s="68"/>
      <c r="G48" s="70"/>
      <c r="H48" s="70"/>
      <c r="I48" s="9"/>
      <c r="J48" s="6"/>
      <c r="K48" s="12"/>
      <c r="L48" s="1"/>
      <c r="M48" s="1"/>
      <c r="N48" s="73"/>
      <c r="O48" s="73"/>
      <c r="P48" s="1"/>
      <c r="Q48" s="13"/>
    </row>
    <row r="49" spans="1:17" ht="15" customHeight="1" x14ac:dyDescent="0.3">
      <c r="A49" s="1"/>
      <c r="B49" s="74" t="s">
        <v>67</v>
      </c>
      <c r="C49" s="9"/>
      <c r="D49" s="1"/>
      <c r="E49" s="1"/>
      <c r="F49" s="68"/>
      <c r="G49" s="70"/>
      <c r="H49" s="70"/>
      <c r="I49" s="9"/>
      <c r="J49" s="6"/>
      <c r="K49" s="12"/>
      <c r="L49" s="1"/>
      <c r="M49" s="1"/>
      <c r="N49" s="11"/>
      <c r="O49" s="1"/>
      <c r="P49" s="1"/>
      <c r="Q49" s="13"/>
    </row>
    <row r="50" spans="1:17" ht="24.6" customHeight="1" x14ac:dyDescent="0.3">
      <c r="A50" s="1"/>
      <c r="B50" s="9"/>
      <c r="C50" s="9"/>
      <c r="D50" s="1"/>
      <c r="E50" s="1"/>
      <c r="F50" s="68" t="s">
        <v>51</v>
      </c>
      <c r="G50" s="75">
        <f>G46/D18</f>
        <v>10.018105393235379</v>
      </c>
      <c r="H50" s="75"/>
      <c r="I50" s="9" t="s">
        <v>60</v>
      </c>
      <c r="J50" s="10" t="s">
        <v>68</v>
      </c>
      <c r="K50" s="12"/>
      <c r="L50" s="1"/>
      <c r="M50" s="1"/>
      <c r="N50" s="11"/>
      <c r="O50" s="1"/>
      <c r="P50" s="1"/>
      <c r="Q50" s="13"/>
    </row>
    <row r="51" spans="1:17" ht="15" customHeight="1" x14ac:dyDescent="0.3">
      <c r="A51" s="1"/>
      <c r="B51" s="6" t="s">
        <v>69</v>
      </c>
      <c r="C51" s="9"/>
      <c r="D51" s="1"/>
      <c r="E51" s="1"/>
      <c r="F51" s="68"/>
      <c r="G51" s="76"/>
      <c r="H51" s="76"/>
      <c r="I51" s="9"/>
      <c r="J51" s="10"/>
      <c r="K51" s="12"/>
      <c r="L51" s="1"/>
      <c r="M51" s="1"/>
      <c r="N51" s="11"/>
      <c r="O51" s="1"/>
      <c r="P51" s="1"/>
      <c r="Q51" s="13"/>
    </row>
    <row r="52" spans="1:17" ht="15" customHeight="1" x14ac:dyDescent="0.3">
      <c r="A52" s="1"/>
      <c r="B52" s="7" t="s">
        <v>70</v>
      </c>
      <c r="C52" s="9"/>
      <c r="D52" s="1"/>
      <c r="E52" s="1"/>
      <c r="F52" s="68" t="s">
        <v>51</v>
      </c>
      <c r="G52" s="76"/>
      <c r="H52" s="16">
        <v>0.18</v>
      </c>
      <c r="I52" s="9"/>
      <c r="J52" s="10" t="s">
        <v>71</v>
      </c>
      <c r="K52" s="12"/>
      <c r="L52" s="1"/>
      <c r="M52" s="1"/>
      <c r="N52" s="11"/>
      <c r="O52" s="1"/>
      <c r="P52" s="1"/>
      <c r="Q52" s="13"/>
    </row>
    <row r="53" spans="1:17" ht="15" customHeight="1" x14ac:dyDescent="0.3">
      <c r="A53" s="1"/>
      <c r="B53" s="7" t="s">
        <v>72</v>
      </c>
      <c r="C53" s="9"/>
      <c r="D53" s="1"/>
      <c r="E53" s="1"/>
      <c r="F53" s="68" t="s">
        <v>51</v>
      </c>
      <c r="G53" s="76"/>
      <c r="H53" s="16">
        <v>1.31</v>
      </c>
      <c r="I53" s="9"/>
      <c r="J53" s="10" t="s">
        <v>73</v>
      </c>
      <c r="K53" s="12"/>
      <c r="L53" s="1"/>
      <c r="M53" s="1"/>
      <c r="N53" s="11"/>
      <c r="O53" s="1"/>
      <c r="P53" s="1"/>
      <c r="Q53" s="13"/>
    </row>
    <row r="54" spans="1:17" ht="15" customHeight="1" x14ac:dyDescent="0.3">
      <c r="A54" s="1"/>
      <c r="B54" s="7" t="s">
        <v>74</v>
      </c>
      <c r="C54" s="9"/>
      <c r="D54" s="1"/>
      <c r="E54" s="1"/>
      <c r="F54" s="68" t="s">
        <v>51</v>
      </c>
      <c r="G54" s="75">
        <f>P21</f>
        <v>844</v>
      </c>
      <c r="H54" s="75"/>
      <c r="I54" s="9" t="s">
        <v>75</v>
      </c>
      <c r="J54" s="10" t="s">
        <v>76</v>
      </c>
      <c r="K54" s="12"/>
      <c r="L54" s="1"/>
      <c r="M54" s="1"/>
      <c r="N54" s="11"/>
      <c r="O54" s="1"/>
      <c r="P54" s="1"/>
      <c r="Q54" s="13"/>
    </row>
    <row r="55" spans="1:17" ht="15" customHeight="1" x14ac:dyDescent="0.3">
      <c r="A55" s="1"/>
      <c r="B55" s="7" t="s">
        <v>77</v>
      </c>
      <c r="C55" s="9"/>
      <c r="D55" s="1"/>
      <c r="E55" s="1"/>
      <c r="F55" s="68" t="s">
        <v>51</v>
      </c>
      <c r="G55" s="76"/>
      <c r="H55" s="76">
        <f>G26</f>
        <v>35.874984219559224</v>
      </c>
      <c r="I55" s="9"/>
      <c r="J55" s="10" t="s">
        <v>78</v>
      </c>
      <c r="K55" s="12"/>
      <c r="L55" s="1"/>
      <c r="M55" s="1"/>
      <c r="N55" s="11"/>
      <c r="O55" s="1"/>
      <c r="P55" s="1"/>
      <c r="Q55" s="13"/>
    </row>
    <row r="56" spans="1:17" ht="15" customHeight="1" x14ac:dyDescent="0.3">
      <c r="A56" s="1"/>
      <c r="B56" s="77" t="s">
        <v>79</v>
      </c>
      <c r="C56" s="9"/>
      <c r="D56" s="1"/>
      <c r="E56" s="1"/>
      <c r="F56" s="78" t="s">
        <v>51</v>
      </c>
      <c r="G56" s="79"/>
      <c r="H56" s="80">
        <f>D26</f>
        <v>33.76</v>
      </c>
      <c r="I56" s="11"/>
      <c r="J56" s="10" t="s">
        <v>80</v>
      </c>
      <c r="K56" s="12"/>
      <c r="L56" s="1"/>
      <c r="M56" s="1"/>
      <c r="N56" s="11"/>
      <c r="O56" s="1"/>
      <c r="P56" s="1"/>
      <c r="Q56" s="13"/>
    </row>
    <row r="57" spans="1:17" ht="35.450000000000003" customHeight="1" x14ac:dyDescent="0.3">
      <c r="A57" s="1"/>
      <c r="B57" s="9"/>
      <c r="C57" s="9"/>
      <c r="D57" s="1"/>
      <c r="E57" s="1"/>
      <c r="F57" s="78" t="s">
        <v>51</v>
      </c>
      <c r="G57" s="81">
        <f>H55*(D16/G50)^0.5</f>
        <v>210.5273229820732</v>
      </c>
      <c r="H57" s="81"/>
      <c r="I57" s="11"/>
      <c r="J57" s="82" t="s">
        <v>81</v>
      </c>
      <c r="K57" s="12"/>
      <c r="L57" s="1"/>
      <c r="M57" s="83"/>
      <c r="N57" s="1"/>
      <c r="O57" s="1"/>
      <c r="P57" s="84"/>
      <c r="Q57" s="84"/>
    </row>
    <row r="58" spans="1:17" ht="25.15" customHeight="1" x14ac:dyDescent="0.3">
      <c r="A58" s="1"/>
      <c r="B58" s="9"/>
      <c r="C58" s="9"/>
      <c r="D58" s="1"/>
      <c r="E58" s="1"/>
      <c r="F58" s="78" t="s">
        <v>51</v>
      </c>
      <c r="G58" s="85">
        <f>(H53*H55/H56)^2*D16</f>
        <v>668.55978253240062</v>
      </c>
      <c r="H58" s="85"/>
      <c r="I58" s="11"/>
      <c r="J58" s="82" t="s">
        <v>82</v>
      </c>
      <c r="K58" s="12"/>
      <c r="L58" s="1"/>
      <c r="M58" s="1"/>
      <c r="N58" s="1"/>
      <c r="O58" s="1"/>
      <c r="P58" s="86"/>
      <c r="Q58" s="86"/>
    </row>
    <row r="59" spans="1:17" ht="30.6" customHeight="1" x14ac:dyDescent="0.3">
      <c r="A59" s="1"/>
      <c r="B59" s="7" t="s">
        <v>83</v>
      </c>
      <c r="C59" s="9"/>
      <c r="D59" s="1"/>
      <c r="E59" s="1"/>
      <c r="F59" s="78" t="s">
        <v>51</v>
      </c>
      <c r="G59" s="87"/>
      <c r="H59" s="87">
        <v>1</v>
      </c>
      <c r="I59" s="11"/>
      <c r="J59" s="10" t="s">
        <v>84</v>
      </c>
      <c r="K59" s="12"/>
      <c r="L59" s="1"/>
      <c r="M59" s="1"/>
      <c r="N59" s="1"/>
      <c r="O59" s="1"/>
      <c r="P59" s="86"/>
      <c r="Q59" s="86"/>
    </row>
    <row r="60" spans="1:17" ht="35.450000000000003" customHeight="1" x14ac:dyDescent="0.3">
      <c r="A60" s="1"/>
      <c r="B60" s="9"/>
      <c r="C60" s="9"/>
      <c r="D60" s="1"/>
      <c r="E60" s="1"/>
      <c r="F60" s="78" t="s">
        <v>51</v>
      </c>
      <c r="G60" s="88">
        <f>(1-H52*(G58/G50)^0.5)*(G58/G50)^0.5</f>
        <v>-3.8431687310674083</v>
      </c>
      <c r="H60" s="88"/>
      <c r="I60" s="11"/>
      <c r="J60" s="10" t="s">
        <v>85</v>
      </c>
      <c r="K60" s="12"/>
      <c r="L60" s="1"/>
      <c r="M60" s="1"/>
      <c r="N60" s="1"/>
      <c r="O60" s="1"/>
      <c r="P60" s="86"/>
      <c r="Q60" s="86"/>
    </row>
    <row r="61" spans="1:17" ht="35.450000000000003" customHeight="1" x14ac:dyDescent="0.3">
      <c r="A61" s="1"/>
      <c r="B61" s="7" t="s">
        <v>86</v>
      </c>
      <c r="C61" s="9" t="s">
        <v>51</v>
      </c>
      <c r="D61" s="1" t="s">
        <v>87</v>
      </c>
      <c r="E61" s="1"/>
      <c r="F61" s="78" t="s">
        <v>51</v>
      </c>
      <c r="G61" s="89"/>
      <c r="H61" s="89">
        <f>IF(L61&gt;P61,G60,H59)</f>
        <v>1</v>
      </c>
      <c r="I61" s="11"/>
      <c r="J61" s="10" t="s">
        <v>88</v>
      </c>
      <c r="K61" s="12"/>
      <c r="L61" s="90">
        <f>H56</f>
        <v>33.76</v>
      </c>
      <c r="M61" s="91" t="str">
        <f>IF(L61&gt;P61,"&gt;","&lt;")</f>
        <v>&lt;</v>
      </c>
      <c r="N61" s="92"/>
      <c r="O61" s="92"/>
      <c r="P61" s="93">
        <f>G57</f>
        <v>210.5273229820732</v>
      </c>
      <c r="Q61" s="86"/>
    </row>
    <row r="62" spans="1:17" ht="19.149999999999999" customHeight="1" x14ac:dyDescent="0.3">
      <c r="A62" s="1"/>
      <c r="B62" s="9"/>
      <c r="C62" s="9"/>
      <c r="D62" s="1"/>
      <c r="E62" s="1"/>
      <c r="F62" s="78" t="s">
        <v>51</v>
      </c>
      <c r="G62" s="89"/>
      <c r="H62" s="89">
        <f>G54*H61</f>
        <v>844</v>
      </c>
      <c r="I62" s="11" t="s">
        <v>75</v>
      </c>
      <c r="J62" s="10" t="s">
        <v>89</v>
      </c>
      <c r="K62" s="12"/>
      <c r="L62" s="1"/>
      <c r="M62" s="1"/>
      <c r="N62" s="1"/>
      <c r="O62" s="1"/>
      <c r="P62" s="86"/>
      <c r="Q62" s="86"/>
    </row>
    <row r="63" spans="1:17" ht="15" customHeight="1" x14ac:dyDescent="0.3">
      <c r="A63" s="1"/>
      <c r="B63" s="6" t="s">
        <v>90</v>
      </c>
      <c r="C63" s="9"/>
      <c r="D63" s="1"/>
      <c r="E63" s="1"/>
      <c r="F63" s="68"/>
      <c r="G63" s="76"/>
      <c r="H63" s="76"/>
      <c r="I63" s="9"/>
      <c r="J63" s="10"/>
      <c r="K63" s="12"/>
      <c r="L63" s="1"/>
      <c r="M63" s="1"/>
      <c r="N63" s="11"/>
      <c r="O63" s="1"/>
      <c r="P63" s="1"/>
      <c r="Q63" s="13"/>
    </row>
    <row r="64" spans="1:17" ht="15" customHeight="1" x14ac:dyDescent="0.3">
      <c r="A64" s="1"/>
      <c r="B64" s="7" t="s">
        <v>91</v>
      </c>
      <c r="C64" s="9"/>
      <c r="D64" s="1"/>
      <c r="E64" s="1"/>
      <c r="F64" s="68" t="s">
        <v>51</v>
      </c>
      <c r="G64" s="76"/>
      <c r="H64" s="16">
        <v>0.22</v>
      </c>
      <c r="I64" s="9"/>
      <c r="J64" s="10" t="s">
        <v>92</v>
      </c>
      <c r="K64" s="12"/>
      <c r="L64" s="1"/>
      <c r="M64" s="1"/>
      <c r="N64" s="11"/>
      <c r="O64" s="1"/>
      <c r="P64" s="1"/>
      <c r="Q64" s="13"/>
    </row>
    <row r="65" spans="1:17" ht="15" customHeight="1" x14ac:dyDescent="0.3">
      <c r="A65" s="1"/>
      <c r="B65" s="7" t="s">
        <v>93</v>
      </c>
      <c r="C65" s="9"/>
      <c r="D65" s="1"/>
      <c r="E65" s="1"/>
      <c r="F65" s="68" t="s">
        <v>51</v>
      </c>
      <c r="G65" s="76"/>
      <c r="H65" s="16">
        <v>1.49</v>
      </c>
      <c r="I65" s="9"/>
      <c r="J65" s="10" t="s">
        <v>92</v>
      </c>
      <c r="K65" s="12"/>
      <c r="L65" s="1"/>
      <c r="M65" s="1"/>
      <c r="N65" s="11"/>
      <c r="O65" s="1"/>
      <c r="P65" s="1"/>
      <c r="Q65" s="13"/>
    </row>
    <row r="66" spans="1:17" ht="15" customHeight="1" x14ac:dyDescent="0.3">
      <c r="A66" s="1"/>
      <c r="B66" s="7" t="s">
        <v>94</v>
      </c>
      <c r="C66" s="9"/>
      <c r="D66" s="1"/>
      <c r="E66" s="1"/>
      <c r="F66" s="68" t="s">
        <v>51</v>
      </c>
      <c r="G66" s="75">
        <f>D12</f>
        <v>25</v>
      </c>
      <c r="H66" s="75"/>
      <c r="I66" s="9" t="s">
        <v>75</v>
      </c>
      <c r="J66" s="10" t="s">
        <v>95</v>
      </c>
      <c r="K66" s="12"/>
      <c r="L66" s="1"/>
      <c r="M66" s="1"/>
      <c r="N66" s="11"/>
      <c r="O66" s="1"/>
      <c r="P66" s="1"/>
      <c r="Q66" s="13"/>
    </row>
    <row r="67" spans="1:17" ht="15" customHeight="1" x14ac:dyDescent="0.3">
      <c r="A67" s="1"/>
      <c r="B67" s="7" t="s">
        <v>77</v>
      </c>
      <c r="C67" s="9"/>
      <c r="D67" s="1"/>
      <c r="E67" s="1"/>
      <c r="F67" s="68" t="s">
        <v>4</v>
      </c>
      <c r="G67" s="76"/>
      <c r="H67" s="76">
        <f>G27</f>
        <v>12.785414445352007</v>
      </c>
      <c r="I67" s="9"/>
      <c r="J67" s="10" t="s">
        <v>96</v>
      </c>
      <c r="K67" s="12"/>
      <c r="L67" s="1"/>
      <c r="M67" s="1"/>
      <c r="N67" s="11"/>
      <c r="O67" s="1"/>
      <c r="P67" s="1"/>
      <c r="Q67" s="13"/>
    </row>
    <row r="68" spans="1:17" ht="15" customHeight="1" x14ac:dyDescent="0.3">
      <c r="A68" s="1"/>
      <c r="B68" s="77" t="s">
        <v>97</v>
      </c>
      <c r="C68" s="9"/>
      <c r="D68" s="1"/>
      <c r="E68" s="1"/>
      <c r="F68" s="78" t="s">
        <v>4</v>
      </c>
      <c r="G68" s="79"/>
      <c r="H68" s="80">
        <f>D27</f>
        <v>0.44642857142857145</v>
      </c>
      <c r="I68" s="11"/>
      <c r="J68" s="10" t="s">
        <v>98</v>
      </c>
      <c r="K68" s="12"/>
      <c r="L68" s="1"/>
      <c r="M68" s="1"/>
      <c r="N68" s="11"/>
      <c r="O68" s="1"/>
      <c r="P68" s="1"/>
      <c r="Q68" s="13"/>
    </row>
    <row r="69" spans="1:17" ht="27" customHeight="1" x14ac:dyDescent="0.3">
      <c r="A69" s="1"/>
      <c r="B69" s="9"/>
      <c r="C69" s="9"/>
      <c r="D69" s="1"/>
      <c r="E69" s="1"/>
      <c r="F69" s="78" t="s">
        <v>4</v>
      </c>
      <c r="G69" s="81">
        <f>H67*(D16/G50)^0.5</f>
        <v>75.029414923861324</v>
      </c>
      <c r="H69" s="81"/>
      <c r="I69" s="11"/>
      <c r="J69" s="82" t="s">
        <v>99</v>
      </c>
      <c r="K69" s="12"/>
      <c r="L69" s="1"/>
      <c r="M69" s="83"/>
      <c r="N69" s="1"/>
      <c r="O69" s="1"/>
      <c r="P69" s="84"/>
      <c r="Q69" s="84"/>
    </row>
    <row r="70" spans="1:17" ht="24.6" customHeight="1" x14ac:dyDescent="0.3">
      <c r="A70" s="1"/>
      <c r="B70" s="9"/>
      <c r="C70" s="9"/>
      <c r="D70" s="1"/>
      <c r="E70" s="1"/>
      <c r="F70" s="78" t="s">
        <v>4</v>
      </c>
      <c r="G70" s="85">
        <f>(H65*H67/H68)^2*D16</f>
        <v>628228.00081177498</v>
      </c>
      <c r="H70" s="85"/>
      <c r="I70" s="11"/>
      <c r="J70" s="82" t="s">
        <v>100</v>
      </c>
      <c r="K70" s="12"/>
      <c r="L70" s="1"/>
      <c r="M70" s="1"/>
      <c r="N70" s="1"/>
      <c r="O70" s="1"/>
      <c r="P70" s="86"/>
      <c r="Q70" s="86"/>
    </row>
    <row r="71" spans="1:17" ht="28.9" customHeight="1" x14ac:dyDescent="0.3">
      <c r="A71" s="1"/>
      <c r="B71" s="7" t="s">
        <v>101</v>
      </c>
      <c r="C71" s="9"/>
      <c r="D71" s="1"/>
      <c r="E71" s="1"/>
      <c r="F71" s="78" t="s">
        <v>4</v>
      </c>
      <c r="G71" s="87"/>
      <c r="H71" s="87">
        <v>1</v>
      </c>
      <c r="I71" s="11"/>
      <c r="J71" s="10" t="s">
        <v>102</v>
      </c>
      <c r="K71" s="12"/>
      <c r="L71" s="1"/>
      <c r="M71" s="1"/>
      <c r="N71" s="1"/>
      <c r="O71" s="1"/>
      <c r="P71" s="86"/>
      <c r="Q71" s="86"/>
    </row>
    <row r="72" spans="1:17" ht="35.450000000000003" customHeight="1" x14ac:dyDescent="0.3">
      <c r="A72" s="1"/>
      <c r="B72" s="9"/>
      <c r="C72" s="9"/>
      <c r="D72" s="1"/>
      <c r="E72" s="1"/>
      <c r="F72" s="78" t="s">
        <v>4</v>
      </c>
      <c r="G72" s="88">
        <f>(1-H64*(G70/G50)^0.5)*(G70/G50)^0.5</f>
        <v>-13545.619573755581</v>
      </c>
      <c r="H72" s="88"/>
      <c r="I72" s="11"/>
      <c r="J72" s="10" t="s">
        <v>103</v>
      </c>
      <c r="K72" s="12"/>
      <c r="L72" s="1"/>
      <c r="M72" s="1"/>
      <c r="N72" s="1"/>
      <c r="O72" s="1"/>
      <c r="P72" s="86"/>
      <c r="Q72" s="86"/>
    </row>
    <row r="73" spans="1:17" ht="25.9" customHeight="1" x14ac:dyDescent="0.3">
      <c r="A73" s="1"/>
      <c r="B73" s="7" t="s">
        <v>104</v>
      </c>
      <c r="C73" s="9" t="s">
        <v>4</v>
      </c>
      <c r="D73" s="1" t="s">
        <v>105</v>
      </c>
      <c r="E73" s="1"/>
      <c r="F73" s="78" t="s">
        <v>4</v>
      </c>
      <c r="G73" s="89"/>
      <c r="H73" s="89">
        <f>IF(L73&gt;P73,G72,H71)</f>
        <v>1</v>
      </c>
      <c r="I73" s="11"/>
      <c r="J73" s="10" t="s">
        <v>106</v>
      </c>
      <c r="K73" s="12"/>
      <c r="L73" s="90">
        <f>H68</f>
        <v>0.44642857142857145</v>
      </c>
      <c r="M73" s="91" t="str">
        <f>IF(L73&gt;P73,"&gt;","&lt;")</f>
        <v>&lt;</v>
      </c>
      <c r="N73" s="92"/>
      <c r="O73" s="92"/>
      <c r="P73" s="94">
        <f>G69</f>
        <v>75.029414923861324</v>
      </c>
      <c r="Q73" s="86"/>
    </row>
    <row r="74" spans="1:17" ht="15" customHeight="1" x14ac:dyDescent="0.3">
      <c r="A74" s="1"/>
      <c r="B74" s="9"/>
      <c r="C74" s="9"/>
      <c r="D74" s="1"/>
      <c r="E74" s="1"/>
      <c r="F74" s="78" t="s">
        <v>51</v>
      </c>
      <c r="G74" s="88">
        <f>G66*H73</f>
        <v>25</v>
      </c>
      <c r="H74" s="88"/>
      <c r="I74" s="6" t="s">
        <v>5</v>
      </c>
      <c r="J74" s="10" t="s">
        <v>107</v>
      </c>
      <c r="K74" s="12"/>
      <c r="L74" s="1"/>
      <c r="M74" s="1"/>
      <c r="N74" s="1"/>
      <c r="O74" s="1"/>
      <c r="P74" s="86"/>
      <c r="Q74" s="86"/>
    </row>
    <row r="75" spans="1:17" ht="17.45" customHeight="1" x14ac:dyDescent="0.3">
      <c r="A75" s="1"/>
      <c r="B75" s="6" t="s">
        <v>108</v>
      </c>
      <c r="C75" s="9"/>
      <c r="D75" s="1"/>
      <c r="E75" s="1"/>
      <c r="F75" s="68"/>
      <c r="G75" s="89"/>
      <c r="H75" s="89"/>
      <c r="I75" s="6"/>
      <c r="J75" s="10"/>
      <c r="K75" s="12"/>
      <c r="L75" s="1"/>
      <c r="M75" s="1"/>
      <c r="N75" s="1"/>
      <c r="O75" s="1"/>
      <c r="P75" s="86"/>
      <c r="Q75" s="86"/>
    </row>
    <row r="76" spans="1:17" ht="15" customHeight="1" x14ac:dyDescent="0.3">
      <c r="A76" s="1"/>
      <c r="B76" s="1"/>
      <c r="C76" s="1"/>
      <c r="D76" s="1"/>
      <c r="E76" s="1"/>
      <c r="F76" s="44" t="s">
        <v>4</v>
      </c>
      <c r="G76" s="95">
        <f>H62*D13+2*D14*G74+D15*D15*3.14</f>
        <v>22500</v>
      </c>
      <c r="H76" s="95"/>
      <c r="I76" s="96" t="s">
        <v>109</v>
      </c>
      <c r="J76" s="10" t="s">
        <v>110</v>
      </c>
      <c r="K76" s="1"/>
      <c r="L76" s="1"/>
      <c r="M76" s="1"/>
      <c r="N76" s="97"/>
      <c r="O76" s="1"/>
      <c r="P76" s="1"/>
      <c r="Q76" s="1"/>
    </row>
    <row r="77" spans="1:17" ht="14.45" customHeight="1" x14ac:dyDescent="0.3">
      <c r="A77" s="1"/>
      <c r="B77" s="6"/>
      <c r="C77" s="1"/>
      <c r="D77" s="1"/>
      <c r="E77" s="1"/>
      <c r="F77" s="44" t="s">
        <v>4</v>
      </c>
      <c r="G77" s="98"/>
      <c r="H77" s="99">
        <f>G76/D18</f>
        <v>1</v>
      </c>
      <c r="I77" s="96"/>
      <c r="J77" s="10" t="s">
        <v>111</v>
      </c>
      <c r="K77" s="1"/>
      <c r="L77" s="1"/>
      <c r="M77" s="1"/>
      <c r="N77" s="1"/>
      <c r="O77" s="1"/>
      <c r="P77" s="1"/>
      <c r="Q77" s="1"/>
    </row>
    <row r="78" spans="1:17" ht="15" customHeight="1" x14ac:dyDescent="0.3">
      <c r="A78" s="1"/>
      <c r="B78" s="9" t="s">
        <v>112</v>
      </c>
      <c r="C78" s="9"/>
      <c r="D78" s="1"/>
      <c r="E78" s="1"/>
      <c r="F78" s="68"/>
      <c r="G78" s="70"/>
      <c r="H78" s="70"/>
      <c r="I78" s="9"/>
      <c r="J78" s="10"/>
      <c r="K78" s="1"/>
      <c r="L78" s="1"/>
      <c r="M78" s="1"/>
      <c r="N78" s="1"/>
      <c r="O78" s="1"/>
      <c r="P78" s="1"/>
      <c r="Q78" s="1"/>
    </row>
    <row r="79" spans="1:17" ht="15" customHeight="1" x14ac:dyDescent="0.3">
      <c r="A79" s="1"/>
      <c r="B79" s="9"/>
      <c r="C79" s="9"/>
      <c r="D79" s="1"/>
      <c r="E79" s="1"/>
      <c r="F79" s="68" t="s">
        <v>4</v>
      </c>
      <c r="G79" s="100">
        <f>G76*G50</f>
        <v>225407.37134779603</v>
      </c>
      <c r="H79" s="100"/>
      <c r="I79" s="9" t="s">
        <v>58</v>
      </c>
      <c r="J79" s="10" t="s">
        <v>113</v>
      </c>
      <c r="K79" s="12"/>
      <c r="M79" s="1"/>
      <c r="N79" s="1"/>
      <c r="O79" s="1"/>
      <c r="P79" s="1"/>
      <c r="Q79" s="44" t="s">
        <v>114</v>
      </c>
    </row>
    <row r="80" spans="1:17" ht="15" customHeight="1" x14ac:dyDescent="0.3">
      <c r="A80" s="1"/>
      <c r="B80" s="9"/>
      <c r="C80" s="9"/>
      <c r="D80" s="1"/>
      <c r="E80" s="1"/>
      <c r="F80" s="68" t="s">
        <v>4</v>
      </c>
      <c r="G80" s="69">
        <f>G79*0.9</f>
        <v>202866.63421301643</v>
      </c>
      <c r="H80" s="69"/>
      <c r="I80" s="9" t="s">
        <v>63</v>
      </c>
      <c r="J80" s="10" t="s">
        <v>66</v>
      </c>
      <c r="K80" s="12"/>
      <c r="L80" s="1"/>
      <c r="M80" s="1"/>
      <c r="N80" s="11"/>
      <c r="O80" s="1"/>
      <c r="P80" s="1"/>
      <c r="Q80" s="1"/>
    </row>
    <row r="81" spans="1:17" ht="15" customHeight="1" x14ac:dyDescent="0.3">
      <c r="A81" s="1"/>
      <c r="B81" s="67" t="s">
        <v>115</v>
      </c>
      <c r="C81" s="9"/>
      <c r="D81" s="1"/>
      <c r="E81" s="1"/>
      <c r="F81" s="68"/>
      <c r="G81" s="70"/>
      <c r="H81" s="70"/>
      <c r="I81" s="9"/>
      <c r="J81" s="10"/>
      <c r="K81" s="12"/>
      <c r="L81" s="1"/>
      <c r="M81" s="1"/>
      <c r="N81" s="11"/>
      <c r="O81" s="1"/>
      <c r="P81" s="1"/>
      <c r="Q81" s="1"/>
    </row>
    <row r="82" spans="1:17" ht="24" customHeight="1" x14ac:dyDescent="0.3">
      <c r="A82" s="1"/>
      <c r="B82" s="22" t="s">
        <v>116</v>
      </c>
      <c r="C82" s="31"/>
      <c r="D82" s="31" t="s">
        <v>117</v>
      </c>
      <c r="E82" s="31"/>
      <c r="F82" s="31"/>
      <c r="G82" s="22" t="s">
        <v>118</v>
      </c>
      <c r="H82" s="31"/>
      <c r="I82" s="22" t="s">
        <v>119</v>
      </c>
      <c r="J82" s="31"/>
      <c r="K82" s="22" t="s">
        <v>120</v>
      </c>
      <c r="L82" s="22"/>
      <c r="M82" s="22"/>
      <c r="N82" s="22"/>
      <c r="O82" s="31" t="s">
        <v>121</v>
      </c>
      <c r="P82" s="31"/>
      <c r="Q82" s="1"/>
    </row>
    <row r="83" spans="1:17" ht="15" customHeight="1" x14ac:dyDescent="0.3">
      <c r="A83" s="1"/>
      <c r="B83" s="31" t="s">
        <v>122</v>
      </c>
      <c r="C83" s="31"/>
      <c r="D83" s="101" t="s">
        <v>123</v>
      </c>
      <c r="E83" s="101"/>
      <c r="F83" s="101"/>
      <c r="G83" s="102">
        <f>IF(H31&lt;=H32,G35,G36)</f>
        <v>10.018105393235379</v>
      </c>
      <c r="H83" s="102"/>
      <c r="I83" s="103">
        <v>1</v>
      </c>
      <c r="J83" s="104"/>
      <c r="K83" s="105">
        <f>G83*I83*$D$18*0.9</f>
        <v>202866.63421301643</v>
      </c>
      <c r="L83" s="105"/>
      <c r="M83" s="105"/>
      <c r="N83" s="105"/>
      <c r="O83" s="31"/>
      <c r="P83" s="31"/>
      <c r="Q83" s="1"/>
    </row>
    <row r="84" spans="1:17" ht="15" customHeight="1" x14ac:dyDescent="0.3">
      <c r="A84" s="1"/>
      <c r="B84" s="106" t="s">
        <v>124</v>
      </c>
      <c r="C84" s="42"/>
      <c r="D84" s="31" t="s">
        <v>125</v>
      </c>
      <c r="E84" s="31"/>
      <c r="F84" s="31"/>
      <c r="G84" s="107">
        <f>IF(H31&lt;=H32,G41,G42)</f>
        <v>215.24069839910763</v>
      </c>
      <c r="H84" s="107"/>
      <c r="I84" s="103">
        <v>1</v>
      </c>
      <c r="J84" s="104"/>
      <c r="K84" s="105">
        <f>G84*I84*$D$18*0.9</f>
        <v>4358624.1425819295</v>
      </c>
      <c r="L84" s="105"/>
      <c r="M84" s="105"/>
      <c r="N84" s="105"/>
      <c r="O84" s="31"/>
      <c r="P84" s="31"/>
      <c r="Q84" s="1"/>
    </row>
    <row r="85" spans="1:17" ht="17.45" customHeight="1" x14ac:dyDescent="0.3">
      <c r="A85" s="1"/>
      <c r="B85" s="31" t="s">
        <v>126</v>
      </c>
      <c r="C85" s="31"/>
      <c r="D85" s="31" t="s">
        <v>127</v>
      </c>
      <c r="E85" s="31"/>
      <c r="F85" s="31"/>
      <c r="G85" s="107">
        <f>MIN(G83,G84)</f>
        <v>10.018105393235379</v>
      </c>
      <c r="H85" s="107"/>
      <c r="I85" s="103">
        <f>H77</f>
        <v>1</v>
      </c>
      <c r="J85" s="104"/>
      <c r="K85" s="105">
        <f>G85*I85*$D$18*0.9</f>
        <v>202866.63421301643</v>
      </c>
      <c r="L85" s="105"/>
      <c r="M85" s="105"/>
      <c r="N85" s="105"/>
      <c r="O85" s="31" t="s">
        <v>128</v>
      </c>
      <c r="P85" s="31"/>
      <c r="Q85" s="15"/>
    </row>
    <row r="86" spans="1:17" ht="11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1.25" customHeight="1" x14ac:dyDescent="0.3"/>
    <row r="88" spans="1:17" ht="11.25" customHeight="1" x14ac:dyDescent="0.3"/>
    <row r="89" spans="1:17" ht="11.25" customHeight="1" x14ac:dyDescent="0.3"/>
    <row r="90" spans="1:17" ht="11.25" customHeight="1" x14ac:dyDescent="0.3"/>
    <row r="91" spans="1:17" ht="11.25" customHeight="1" x14ac:dyDescent="0.3"/>
    <row r="92" spans="1:17" ht="11.25" customHeight="1" x14ac:dyDescent="0.3"/>
    <row r="93" spans="1:17" ht="11.25" customHeight="1" x14ac:dyDescent="0.3"/>
    <row r="94" spans="1:17" ht="11.25" customHeight="1" x14ac:dyDescent="0.3"/>
    <row r="95" spans="1:17" ht="11.25" customHeight="1" x14ac:dyDescent="0.3"/>
    <row r="96" spans="1:17" ht="11.25" customHeight="1" x14ac:dyDescent="0.3"/>
    <row r="97" ht="11.25" customHeight="1" x14ac:dyDescent="0.3"/>
    <row r="98" ht="11.25" customHeight="1" x14ac:dyDescent="0.3"/>
    <row r="99" ht="11.25" customHeight="1" x14ac:dyDescent="0.3"/>
    <row r="100" ht="11.25" customHeight="1" x14ac:dyDescent="0.3"/>
    <row r="101" ht="11.25" customHeight="1" x14ac:dyDescent="0.3"/>
    <row r="102" ht="11.25" customHeight="1" x14ac:dyDescent="0.3"/>
    <row r="103" ht="11.25" customHeight="1" x14ac:dyDescent="0.3"/>
    <row r="104" ht="11.25" customHeight="1" x14ac:dyDescent="0.3"/>
    <row r="105" ht="11.25" customHeight="1" x14ac:dyDescent="0.3"/>
    <row r="106" ht="11.25" customHeight="1" x14ac:dyDescent="0.3"/>
    <row r="107" ht="11.25" customHeight="1" x14ac:dyDescent="0.3"/>
    <row r="108" ht="11.25" customHeight="1" x14ac:dyDescent="0.3"/>
    <row r="109" ht="11.25" customHeight="1" x14ac:dyDescent="0.3"/>
    <row r="110" ht="11.25" customHeight="1" x14ac:dyDescent="0.3"/>
    <row r="111" ht="11.25" customHeight="1" x14ac:dyDescent="0.3"/>
    <row r="112" ht="11.25" customHeight="1" x14ac:dyDescent="0.3"/>
    <row r="113" ht="11.25" customHeight="1" x14ac:dyDescent="0.3"/>
    <row r="114" ht="11.25" customHeight="1" x14ac:dyDescent="0.3"/>
    <row r="115" ht="11.25" customHeight="1" x14ac:dyDescent="0.3"/>
    <row r="116" ht="11.25" customHeight="1" x14ac:dyDescent="0.3"/>
    <row r="117" ht="11.25" customHeight="1" x14ac:dyDescent="0.3"/>
    <row r="118" ht="11.25" customHeight="1" x14ac:dyDescent="0.3"/>
    <row r="119" ht="11.25" customHeight="1" x14ac:dyDescent="0.3"/>
    <row r="120" ht="11.25" customHeight="1" x14ac:dyDescent="0.3"/>
    <row r="121" ht="11.25" customHeight="1" x14ac:dyDescent="0.3"/>
    <row r="122" ht="11.25" customHeight="1" x14ac:dyDescent="0.3"/>
    <row r="123" ht="11.25" customHeight="1" x14ac:dyDescent="0.3"/>
    <row r="124" ht="11.25" customHeight="1" x14ac:dyDescent="0.3"/>
    <row r="125" ht="11.25" customHeight="1" x14ac:dyDescent="0.3"/>
    <row r="126" ht="11.25" customHeight="1" x14ac:dyDescent="0.3"/>
    <row r="127" ht="11.25" customHeight="1" x14ac:dyDescent="0.3"/>
    <row r="128" ht="11.25" customHeight="1" x14ac:dyDescent="0.3"/>
    <row r="129" ht="11.25" customHeight="1" x14ac:dyDescent="0.3"/>
    <row r="130" ht="11.25" customHeight="1" x14ac:dyDescent="0.3"/>
    <row r="131" ht="11.25" customHeight="1" x14ac:dyDescent="0.3"/>
    <row r="132" ht="11.25" customHeight="1" x14ac:dyDescent="0.3"/>
    <row r="133" ht="11.25" customHeight="1" x14ac:dyDescent="0.3"/>
    <row r="134" ht="11.25" customHeight="1" x14ac:dyDescent="0.3"/>
    <row r="135" ht="11.25" customHeight="1" x14ac:dyDescent="0.3"/>
    <row r="136" ht="11.25" customHeight="1" x14ac:dyDescent="0.3"/>
    <row r="137" ht="11.25" customHeight="1" x14ac:dyDescent="0.3"/>
    <row r="138" ht="11.25" customHeight="1" x14ac:dyDescent="0.3"/>
    <row r="139" ht="11.25" customHeight="1" x14ac:dyDescent="0.3"/>
    <row r="140" ht="11.25" customHeight="1" x14ac:dyDescent="0.3"/>
    <row r="141" ht="11.25" customHeight="1" x14ac:dyDescent="0.3"/>
    <row r="142" ht="11.25" customHeight="1" x14ac:dyDescent="0.3"/>
    <row r="143" ht="11.25" customHeight="1" x14ac:dyDescent="0.3"/>
    <row r="144" ht="11.25" customHeight="1" x14ac:dyDescent="0.3"/>
    <row r="145" ht="11.25" customHeight="1" x14ac:dyDescent="0.3"/>
    <row r="146" ht="11.25" customHeight="1" x14ac:dyDescent="0.3"/>
    <row r="147" ht="11.25" customHeight="1" x14ac:dyDescent="0.3"/>
    <row r="148" ht="11.25" customHeight="1" x14ac:dyDescent="0.3"/>
    <row r="149" ht="11.25" customHeight="1" x14ac:dyDescent="0.3"/>
    <row r="150" ht="11.25" customHeight="1" x14ac:dyDescent="0.3"/>
    <row r="151" ht="11.25" customHeight="1" x14ac:dyDescent="0.3"/>
    <row r="152" ht="11.25" customHeight="1" x14ac:dyDescent="0.3"/>
    <row r="153" ht="11.25" customHeight="1" x14ac:dyDescent="0.3"/>
    <row r="154" ht="11.25" customHeight="1" x14ac:dyDescent="0.3"/>
    <row r="155" ht="11.25" customHeight="1" x14ac:dyDescent="0.3"/>
    <row r="156" ht="11.25" customHeight="1" x14ac:dyDescent="0.3"/>
    <row r="157" ht="11.25" customHeight="1" x14ac:dyDescent="0.3"/>
    <row r="158" ht="11.25" customHeight="1" x14ac:dyDescent="0.3"/>
    <row r="159" ht="11.25" customHeight="1" x14ac:dyDescent="0.3"/>
    <row r="160" ht="11.25" customHeight="1" x14ac:dyDescent="0.3"/>
    <row r="161" ht="11.25" customHeight="1" x14ac:dyDescent="0.3"/>
    <row r="162" ht="11.25" customHeight="1" x14ac:dyDescent="0.3"/>
    <row r="163" ht="11.25" customHeight="1" x14ac:dyDescent="0.3"/>
    <row r="164" ht="11.25" customHeight="1" x14ac:dyDescent="0.3"/>
    <row r="165" ht="11.25" customHeight="1" x14ac:dyDescent="0.3"/>
    <row r="166" ht="11.25" customHeight="1" x14ac:dyDescent="0.3"/>
    <row r="167" ht="11.25" customHeight="1" x14ac:dyDescent="0.3"/>
    <row r="168" ht="11.25" customHeight="1" x14ac:dyDescent="0.3"/>
    <row r="169" ht="11.25" customHeight="1" x14ac:dyDescent="0.3"/>
    <row r="170" ht="11.25" customHeight="1" x14ac:dyDescent="0.3"/>
    <row r="171" ht="11.25" customHeight="1" x14ac:dyDescent="0.3"/>
    <row r="172" ht="11.25" customHeight="1" x14ac:dyDescent="0.3"/>
    <row r="173" ht="11.25" customHeight="1" x14ac:dyDescent="0.3"/>
    <row r="174" ht="11.25" customHeight="1" x14ac:dyDescent="0.3"/>
    <row r="175" ht="11.25" customHeight="1" x14ac:dyDescent="0.3"/>
    <row r="176" ht="11.25" customHeight="1" x14ac:dyDescent="0.3"/>
    <row r="177" ht="11.25" customHeight="1" x14ac:dyDescent="0.3"/>
    <row r="178" ht="11.25" customHeight="1" x14ac:dyDescent="0.3"/>
    <row r="179" ht="11.25" customHeight="1" x14ac:dyDescent="0.3"/>
    <row r="180" ht="11.25" customHeight="1" x14ac:dyDescent="0.3"/>
    <row r="181" ht="11.25" customHeight="1" x14ac:dyDescent="0.3"/>
    <row r="182" ht="11.25" customHeight="1" x14ac:dyDescent="0.3"/>
    <row r="183" ht="11.25" customHeight="1" x14ac:dyDescent="0.3"/>
    <row r="184" ht="11.25" customHeight="1" x14ac:dyDescent="0.3"/>
    <row r="185" ht="11.25" customHeight="1" x14ac:dyDescent="0.3"/>
    <row r="186" ht="11.25" customHeight="1" x14ac:dyDescent="0.3"/>
    <row r="187" ht="11.25" customHeight="1" x14ac:dyDescent="0.3"/>
    <row r="188" ht="11.25" customHeight="1" x14ac:dyDescent="0.3"/>
    <row r="189" ht="11.25" customHeight="1" x14ac:dyDescent="0.3"/>
    <row r="190" ht="11.25" customHeight="1" x14ac:dyDescent="0.3"/>
    <row r="191" ht="11.25" customHeight="1" x14ac:dyDescent="0.3"/>
    <row r="192" ht="11.25" customHeight="1" x14ac:dyDescent="0.3"/>
    <row r="193" ht="11.25" customHeight="1" x14ac:dyDescent="0.3"/>
    <row r="194" ht="11.25" customHeight="1" x14ac:dyDescent="0.3"/>
    <row r="195" ht="11.25" customHeight="1" x14ac:dyDescent="0.3"/>
    <row r="196" ht="11.25" customHeight="1" x14ac:dyDescent="0.3"/>
    <row r="197" ht="11.25" customHeight="1" x14ac:dyDescent="0.3"/>
    <row r="198" ht="11.25" customHeight="1" x14ac:dyDescent="0.3"/>
    <row r="199" ht="11.25" customHeight="1" x14ac:dyDescent="0.3"/>
    <row r="200" ht="11.25" customHeight="1" x14ac:dyDescent="0.3"/>
    <row r="201" ht="11.25" customHeight="1" x14ac:dyDescent="0.3"/>
    <row r="202" ht="11.25" customHeight="1" x14ac:dyDescent="0.3"/>
    <row r="203" ht="11.25" customHeight="1" x14ac:dyDescent="0.3"/>
    <row r="204" ht="11.25" customHeight="1" x14ac:dyDescent="0.3"/>
    <row r="205" ht="11.25" customHeight="1" x14ac:dyDescent="0.3"/>
    <row r="206" ht="11.25" customHeight="1" x14ac:dyDescent="0.3"/>
    <row r="207" ht="11.25" customHeight="1" x14ac:dyDescent="0.3"/>
    <row r="208" ht="11.25" customHeight="1" x14ac:dyDescent="0.3"/>
    <row r="209" ht="11.25" customHeight="1" x14ac:dyDescent="0.3"/>
    <row r="210" ht="11.25" customHeight="1" x14ac:dyDescent="0.3"/>
    <row r="211" ht="11.25" customHeight="1" x14ac:dyDescent="0.3"/>
    <row r="212" ht="11.25" customHeight="1" x14ac:dyDescent="0.3"/>
    <row r="213" ht="11.25" customHeight="1" x14ac:dyDescent="0.3"/>
    <row r="214" ht="11.25" customHeight="1" x14ac:dyDescent="0.3"/>
    <row r="215" ht="11.25" customHeight="1" x14ac:dyDescent="0.3"/>
    <row r="216" ht="11.25" customHeight="1" x14ac:dyDescent="0.3"/>
    <row r="217" ht="11.25" customHeight="1" x14ac:dyDescent="0.3"/>
    <row r="218" ht="11.25" customHeight="1" x14ac:dyDescent="0.3"/>
    <row r="219" ht="11.25" customHeight="1" x14ac:dyDescent="0.3"/>
    <row r="220" ht="11.25" customHeight="1" x14ac:dyDescent="0.3"/>
    <row r="221" ht="11.25" customHeight="1" x14ac:dyDescent="0.3"/>
    <row r="222" ht="11.25" customHeight="1" x14ac:dyDescent="0.3"/>
    <row r="223" ht="11.25" customHeight="1" x14ac:dyDescent="0.3"/>
    <row r="224" ht="11.25" customHeight="1" x14ac:dyDescent="0.3"/>
    <row r="225" ht="11.25" customHeight="1" x14ac:dyDescent="0.3"/>
    <row r="226" ht="11.25" customHeight="1" x14ac:dyDescent="0.3"/>
    <row r="227" ht="11.25" customHeight="1" x14ac:dyDescent="0.3"/>
    <row r="228" ht="11.25" customHeight="1" x14ac:dyDescent="0.3"/>
    <row r="229" ht="11.25" customHeight="1" x14ac:dyDescent="0.3"/>
    <row r="230" ht="11.25" customHeight="1" x14ac:dyDescent="0.3"/>
    <row r="231" ht="11.25" customHeight="1" x14ac:dyDescent="0.3"/>
    <row r="232" ht="11.25" customHeight="1" x14ac:dyDescent="0.3"/>
    <row r="233" ht="11.25" customHeight="1" x14ac:dyDescent="0.3"/>
    <row r="234" ht="11.25" customHeight="1" x14ac:dyDescent="0.3"/>
    <row r="235" ht="11.25" customHeight="1" x14ac:dyDescent="0.3"/>
    <row r="236" ht="11.25" customHeight="1" x14ac:dyDescent="0.3"/>
    <row r="237" ht="11.25" customHeight="1" x14ac:dyDescent="0.3"/>
    <row r="238" ht="11.25" customHeight="1" x14ac:dyDescent="0.3"/>
    <row r="239" ht="11.25" customHeight="1" x14ac:dyDescent="0.3"/>
    <row r="240" ht="11.25" customHeight="1" x14ac:dyDescent="0.3"/>
    <row r="241" ht="11.25" customHeight="1" x14ac:dyDescent="0.3"/>
    <row r="242" ht="11.25" customHeight="1" x14ac:dyDescent="0.3"/>
    <row r="243" ht="11.25" customHeight="1" x14ac:dyDescent="0.3"/>
    <row r="244" ht="11.25" customHeight="1" x14ac:dyDescent="0.3"/>
    <row r="245" ht="11.25" customHeight="1" x14ac:dyDescent="0.3"/>
    <row r="246" ht="11.25" customHeight="1" x14ac:dyDescent="0.3"/>
    <row r="247" ht="11.25" customHeight="1" x14ac:dyDescent="0.3"/>
    <row r="248" ht="11.25" customHeight="1" x14ac:dyDescent="0.3"/>
    <row r="249" ht="11.25" customHeight="1" x14ac:dyDescent="0.3"/>
    <row r="250" ht="11.25" customHeight="1" x14ac:dyDescent="0.3"/>
    <row r="251" ht="11.25" customHeight="1" x14ac:dyDescent="0.3"/>
    <row r="252" ht="11.25" customHeight="1" x14ac:dyDescent="0.3"/>
    <row r="253" ht="11.25" customHeight="1" x14ac:dyDescent="0.3"/>
    <row r="254" ht="11.25" customHeight="1" x14ac:dyDescent="0.3"/>
    <row r="255" ht="11.25" customHeight="1" x14ac:dyDescent="0.3"/>
    <row r="256" ht="11.25" customHeight="1" x14ac:dyDescent="0.3"/>
    <row r="257" ht="11.25" customHeight="1" x14ac:dyDescent="0.3"/>
    <row r="258" ht="11.25" customHeight="1" x14ac:dyDescent="0.3"/>
    <row r="259" ht="11.25" customHeight="1" x14ac:dyDescent="0.3"/>
    <row r="260" ht="11.25" customHeight="1" x14ac:dyDescent="0.3"/>
    <row r="261" ht="11.25" customHeight="1" x14ac:dyDescent="0.3"/>
    <row r="262" ht="11.25" customHeight="1" x14ac:dyDescent="0.3"/>
    <row r="263" ht="11.25" customHeight="1" x14ac:dyDescent="0.3"/>
    <row r="264" ht="11.25" customHeight="1" x14ac:dyDescent="0.3"/>
    <row r="265" ht="11.25" customHeight="1" x14ac:dyDescent="0.3"/>
    <row r="266" ht="11.25" customHeight="1" x14ac:dyDescent="0.3"/>
    <row r="267" ht="11.25" customHeight="1" x14ac:dyDescent="0.3"/>
    <row r="268" ht="11.25" customHeight="1" x14ac:dyDescent="0.3"/>
  </sheetData>
  <mergeCells count="116">
    <mergeCell ref="B85:C85"/>
    <mergeCell ref="D85:F85"/>
    <mergeCell ref="G85:H85"/>
    <mergeCell ref="I85:J85"/>
    <mergeCell ref="K85:N85"/>
    <mergeCell ref="O85:P85"/>
    <mergeCell ref="B84:C84"/>
    <mergeCell ref="D84:F84"/>
    <mergeCell ref="G84:H84"/>
    <mergeCell ref="I84:J84"/>
    <mergeCell ref="K84:N84"/>
    <mergeCell ref="O84:P84"/>
    <mergeCell ref="B83:C83"/>
    <mergeCell ref="D83:F83"/>
    <mergeCell ref="G83:H83"/>
    <mergeCell ref="I83:J83"/>
    <mergeCell ref="K83:N83"/>
    <mergeCell ref="O83:P83"/>
    <mergeCell ref="B82:C82"/>
    <mergeCell ref="D82:F82"/>
    <mergeCell ref="G82:H82"/>
    <mergeCell ref="I82:J82"/>
    <mergeCell ref="K82:N82"/>
    <mergeCell ref="O82:P82"/>
    <mergeCell ref="G70:H70"/>
    <mergeCell ref="G72:H72"/>
    <mergeCell ref="G74:H74"/>
    <mergeCell ref="G76:H76"/>
    <mergeCell ref="G79:H79"/>
    <mergeCell ref="G80:H80"/>
    <mergeCell ref="G57:H57"/>
    <mergeCell ref="P57:Q57"/>
    <mergeCell ref="G58:H58"/>
    <mergeCell ref="G60:H60"/>
    <mergeCell ref="G66:H66"/>
    <mergeCell ref="G69:H69"/>
    <mergeCell ref="P69:Q69"/>
    <mergeCell ref="G42:H42"/>
    <mergeCell ref="G43:H43"/>
    <mergeCell ref="G46:H46"/>
    <mergeCell ref="G47:H47"/>
    <mergeCell ref="G50:H50"/>
    <mergeCell ref="G54:H54"/>
    <mergeCell ref="G34:H34"/>
    <mergeCell ref="G35:H35"/>
    <mergeCell ref="G36:H36"/>
    <mergeCell ref="G37:H37"/>
    <mergeCell ref="G40:H40"/>
    <mergeCell ref="G41:H41"/>
    <mergeCell ref="B27:C27"/>
    <mergeCell ref="D27:F27"/>
    <mergeCell ref="G27:I27"/>
    <mergeCell ref="J27:L27"/>
    <mergeCell ref="M27:O27"/>
    <mergeCell ref="P27:Q27"/>
    <mergeCell ref="P25:Q25"/>
    <mergeCell ref="B26:C26"/>
    <mergeCell ref="D26:F26"/>
    <mergeCell ref="G26:I26"/>
    <mergeCell ref="J26:L26"/>
    <mergeCell ref="M26:O26"/>
    <mergeCell ref="P26:Q26"/>
    <mergeCell ref="B22:C22"/>
    <mergeCell ref="D22:E22"/>
    <mergeCell ref="F22:G22"/>
    <mergeCell ref="H22:I22"/>
    <mergeCell ref="P22:Q22"/>
    <mergeCell ref="B25:C25"/>
    <mergeCell ref="D25:F25"/>
    <mergeCell ref="G25:I25"/>
    <mergeCell ref="J25:L25"/>
    <mergeCell ref="M25:O25"/>
    <mergeCell ref="N20:O20"/>
    <mergeCell ref="P20:Q20"/>
    <mergeCell ref="B21:C21"/>
    <mergeCell ref="D21:E21"/>
    <mergeCell ref="F21:G21"/>
    <mergeCell ref="H21:I21"/>
    <mergeCell ref="J21:K21"/>
    <mergeCell ref="L21:M21"/>
    <mergeCell ref="N21:O21"/>
    <mergeCell ref="P21:Q21"/>
    <mergeCell ref="J19:K19"/>
    <mergeCell ref="L19:M19"/>
    <mergeCell ref="N19:O19"/>
    <mergeCell ref="P19:Q19"/>
    <mergeCell ref="B20:C20"/>
    <mergeCell ref="D20:E20"/>
    <mergeCell ref="F20:G20"/>
    <mergeCell ref="H20:I20"/>
    <mergeCell ref="J20:K20"/>
    <mergeCell ref="L20:M20"/>
    <mergeCell ref="B18:C18"/>
    <mergeCell ref="D18:E18"/>
    <mergeCell ref="B19:C19"/>
    <mergeCell ref="D19:E19"/>
    <mergeCell ref="F19:G19"/>
    <mergeCell ref="H19:I19"/>
    <mergeCell ref="B14:C14"/>
    <mergeCell ref="D14:E14"/>
    <mergeCell ref="B15:C15"/>
    <mergeCell ref="D15:E15"/>
    <mergeCell ref="B16:C16"/>
    <mergeCell ref="D16:E16"/>
    <mergeCell ref="B11:C11"/>
    <mergeCell ref="D11:E11"/>
    <mergeCell ref="B12:C12"/>
    <mergeCell ref="D12:E12"/>
    <mergeCell ref="B13:C13"/>
    <mergeCell ref="D13:E13"/>
    <mergeCell ref="B1:R1"/>
    <mergeCell ref="D5:E5"/>
    <mergeCell ref="D6:E6"/>
    <mergeCell ref="D7:E7"/>
    <mergeCell ref="B10:C10"/>
    <mergeCell ref="D10:E10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97" orientation="portrait" horizontalDpi="1200" verticalDpi="1200" r:id="rId1"/>
  <rowBreaks count="3" manualBreakCount="3">
    <brk id="44" max="16" man="1"/>
    <brk id="80" max="16" man="1"/>
    <brk id="85" max="1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B1" zoomScale="85" zoomScaleNormal="85" workbookViewId="0">
      <selection activeCell="D15" sqref="D15:E15"/>
    </sheetView>
  </sheetViews>
  <sheetFormatPr defaultColWidth="0" defaultRowHeight="16.5" customHeight="1" zeroHeight="1" x14ac:dyDescent="0.3"/>
  <cols>
    <col min="1" max="1" width="8.75" customWidth="1"/>
    <col min="2" max="6" width="20.75" customWidth="1"/>
    <col min="7" max="7" width="5.75" style="108" customWidth="1"/>
    <col min="8" max="8" width="20.75" hidden="1" customWidth="1"/>
    <col min="9" max="16384" width="8.75" hidden="1"/>
  </cols>
  <sheetData>
    <row r="1" spans="2:6" x14ac:dyDescent="0.3">
      <c r="B1" s="108"/>
      <c r="C1" s="108"/>
      <c r="D1" s="108"/>
      <c r="E1" s="108"/>
      <c r="F1" s="108"/>
    </row>
    <row r="2" spans="2:6" x14ac:dyDescent="0.3">
      <c r="B2" s="108"/>
      <c r="C2" s="108"/>
      <c r="D2" s="108"/>
      <c r="E2" s="108"/>
      <c r="F2" s="108"/>
    </row>
    <row r="3" spans="2:6" ht="25.15" customHeight="1" x14ac:dyDescent="0.3">
      <c r="B3" s="109" t="s">
        <v>129</v>
      </c>
      <c r="C3" s="110">
        <v>345</v>
      </c>
      <c r="D3" s="108" t="s">
        <v>130</v>
      </c>
      <c r="E3" s="108"/>
      <c r="F3" s="108"/>
    </row>
    <row r="4" spans="2:6" ht="25.15" customHeight="1" x14ac:dyDescent="0.3">
      <c r="B4" s="111" t="s">
        <v>131</v>
      </c>
      <c r="C4" s="112">
        <v>200000</v>
      </c>
      <c r="D4" s="108" t="s">
        <v>53</v>
      </c>
      <c r="E4" s="108"/>
      <c r="F4" s="108"/>
    </row>
    <row r="5" spans="2:6" ht="49.9" customHeight="1" x14ac:dyDescent="0.3">
      <c r="B5" s="111"/>
      <c r="C5" s="113">
        <f>4.71*($C$4/$C$3)^0.5</f>
        <v>113.40347360679459</v>
      </c>
      <c r="D5" s="108"/>
      <c r="E5" s="108"/>
      <c r="F5" s="108"/>
    </row>
    <row r="6" spans="2:6" ht="25.15" customHeight="1" x14ac:dyDescent="0.3">
      <c r="B6" s="114"/>
      <c r="C6" s="108"/>
      <c r="D6" s="108"/>
      <c r="E6" s="108"/>
      <c r="F6" s="108"/>
    </row>
    <row r="7" spans="2:6" ht="36.6" customHeight="1" x14ac:dyDescent="0.3">
      <c r="B7" s="115"/>
      <c r="C7" s="115"/>
      <c r="D7" s="115"/>
      <c r="E7" s="115"/>
      <c r="F7" s="115"/>
    </row>
    <row r="8" spans="2:6" ht="17.25" x14ac:dyDescent="0.3">
      <c r="B8" s="116">
        <v>1</v>
      </c>
      <c r="C8" s="117">
        <f>3.14*3.14*$C$4/B8^2</f>
        <v>1971920</v>
      </c>
      <c r="D8" s="118">
        <f>0.658^($C$3/C8)*$C$3</f>
        <v>344.97473724535564</v>
      </c>
      <c r="E8" s="118">
        <f>0.877*C8</f>
        <v>1729373.84</v>
      </c>
      <c r="F8" s="119">
        <f t="shared" ref="F8:F48" si="0">IF(B8&lt;=$C$5,D8,E8)</f>
        <v>344.97473724535564</v>
      </c>
    </row>
    <row r="9" spans="2:6" ht="17.25" x14ac:dyDescent="0.3">
      <c r="B9" s="116">
        <v>5</v>
      </c>
      <c r="C9" s="117">
        <f>3.14*3.14*$C$4/B9^2</f>
        <v>78876.800000000003</v>
      </c>
      <c r="D9" s="118">
        <f>0.658^($C$3/C9)*$C$3</f>
        <v>344.36898578487364</v>
      </c>
      <c r="E9" s="118">
        <f t="shared" ref="E9:E48" si="1">0.877*C9</f>
        <v>69174.953600000008</v>
      </c>
      <c r="F9" s="119">
        <f t="shared" si="0"/>
        <v>344.36898578487364</v>
      </c>
    </row>
    <row r="10" spans="2:6" ht="17.25" x14ac:dyDescent="0.3">
      <c r="B10" s="116">
        <v>10</v>
      </c>
      <c r="C10" s="117">
        <f t="shared" ref="C10:C40" si="2">3.14*3.14*$C$4/B10^2</f>
        <v>19719.2</v>
      </c>
      <c r="D10" s="118">
        <f t="shared" ref="D10:D48" si="3">0.658^($C$3/C10)*$C$3</f>
        <v>342.48285955065552</v>
      </c>
      <c r="E10" s="118">
        <f t="shared" si="1"/>
        <v>17293.738400000002</v>
      </c>
      <c r="F10" s="119">
        <f t="shared" si="0"/>
        <v>342.48285955065552</v>
      </c>
    </row>
    <row r="11" spans="2:6" ht="17.25" x14ac:dyDescent="0.3">
      <c r="B11" s="116">
        <v>15</v>
      </c>
      <c r="C11" s="117">
        <f t="shared" si="2"/>
        <v>8764.0888888888894</v>
      </c>
      <c r="D11" s="118">
        <f t="shared" si="3"/>
        <v>339.36224433588251</v>
      </c>
      <c r="E11" s="118">
        <f t="shared" si="1"/>
        <v>7686.1059555555557</v>
      </c>
      <c r="F11" s="119">
        <f t="shared" si="0"/>
        <v>339.36224433588251</v>
      </c>
    </row>
    <row r="12" spans="2:6" ht="17.25" x14ac:dyDescent="0.3">
      <c r="B12" s="116">
        <v>20</v>
      </c>
      <c r="C12" s="117">
        <f t="shared" si="2"/>
        <v>4929.8</v>
      </c>
      <c r="D12" s="118">
        <f t="shared" si="3"/>
        <v>335.04109444123208</v>
      </c>
      <c r="E12" s="118">
        <f t="shared" si="1"/>
        <v>4323.4346000000005</v>
      </c>
      <c r="F12" s="119">
        <f t="shared" si="0"/>
        <v>335.04109444123208</v>
      </c>
    </row>
    <row r="13" spans="2:6" ht="17.25" x14ac:dyDescent="0.3">
      <c r="B13" s="116">
        <v>25</v>
      </c>
      <c r="C13" s="117">
        <f t="shared" si="2"/>
        <v>3155.0720000000001</v>
      </c>
      <c r="D13" s="118">
        <f t="shared" si="3"/>
        <v>329.56608044732434</v>
      </c>
      <c r="E13" s="118">
        <f t="shared" si="1"/>
        <v>2766.9981440000001</v>
      </c>
      <c r="F13" s="119">
        <f t="shared" si="0"/>
        <v>329.56608044732434</v>
      </c>
    </row>
    <row r="14" spans="2:6" ht="17.25" x14ac:dyDescent="0.3">
      <c r="B14" s="116">
        <v>30</v>
      </c>
      <c r="C14" s="117">
        <f t="shared" si="2"/>
        <v>2191.0222222222224</v>
      </c>
      <c r="D14" s="118">
        <f t="shared" si="3"/>
        <v>322.99575019038292</v>
      </c>
      <c r="E14" s="118">
        <f t="shared" si="1"/>
        <v>1921.5264888888889</v>
      </c>
      <c r="F14" s="119">
        <f t="shared" si="0"/>
        <v>322.99575019038292</v>
      </c>
    </row>
    <row r="15" spans="2:6" ht="17.25" x14ac:dyDescent="0.3">
      <c r="B15" s="116">
        <v>35</v>
      </c>
      <c r="C15" s="117">
        <f t="shared" si="2"/>
        <v>1609.7306122448979</v>
      </c>
      <c r="D15" s="118">
        <f t="shared" si="3"/>
        <v>315.39948678555794</v>
      </c>
      <c r="E15" s="118">
        <f t="shared" si="1"/>
        <v>1411.7337469387755</v>
      </c>
      <c r="F15" s="119">
        <f t="shared" si="0"/>
        <v>315.39948678555794</v>
      </c>
    </row>
    <row r="16" spans="2:6" ht="17.25" x14ac:dyDescent="0.3">
      <c r="B16" s="116">
        <v>40</v>
      </c>
      <c r="C16" s="117">
        <f t="shared" si="2"/>
        <v>1232.45</v>
      </c>
      <c r="D16" s="118">
        <f t="shared" si="3"/>
        <v>306.85628962199615</v>
      </c>
      <c r="E16" s="118">
        <f t="shared" si="1"/>
        <v>1080.8586500000001</v>
      </c>
      <c r="F16" s="119">
        <f t="shared" si="0"/>
        <v>306.85628962199615</v>
      </c>
    </row>
    <row r="17" spans="2:6" ht="17.25" x14ac:dyDescent="0.3">
      <c r="B17" s="116">
        <v>45</v>
      </c>
      <c r="C17" s="117">
        <f t="shared" si="2"/>
        <v>973.7876543209876</v>
      </c>
      <c r="D17" s="118">
        <f t="shared" si="3"/>
        <v>297.45340825996988</v>
      </c>
      <c r="E17" s="118">
        <f t="shared" si="1"/>
        <v>854.01177283950608</v>
      </c>
      <c r="F17" s="119">
        <f t="shared" si="0"/>
        <v>297.45340825996988</v>
      </c>
    </row>
    <row r="18" spans="2:6" ht="17.25" x14ac:dyDescent="0.3">
      <c r="B18" s="116">
        <v>50</v>
      </c>
      <c r="C18" s="117">
        <f t="shared" si="2"/>
        <v>788.76800000000003</v>
      </c>
      <c r="D18" s="118">
        <f t="shared" si="3"/>
        <v>287.284862223461</v>
      </c>
      <c r="E18" s="118">
        <f t="shared" si="1"/>
        <v>691.74953600000003</v>
      </c>
      <c r="F18" s="119">
        <f t="shared" si="0"/>
        <v>287.284862223461</v>
      </c>
    </row>
    <row r="19" spans="2:6" ht="17.25" x14ac:dyDescent="0.3">
      <c r="B19" s="116">
        <v>55</v>
      </c>
      <c r="C19" s="117">
        <f t="shared" si="2"/>
        <v>651.87438016528927</v>
      </c>
      <c r="D19" s="118">
        <f t="shared" si="3"/>
        <v>276.44988172271411</v>
      </c>
      <c r="E19" s="118">
        <f t="shared" si="1"/>
        <v>571.6938314049587</v>
      </c>
      <c r="F19" s="119">
        <f t="shared" si="0"/>
        <v>276.44988172271411</v>
      </c>
    </row>
    <row r="20" spans="2:6" ht="17.25" x14ac:dyDescent="0.3">
      <c r="B20" s="116">
        <v>60</v>
      </c>
      <c r="C20" s="117">
        <f t="shared" si="2"/>
        <v>547.75555555555559</v>
      </c>
      <c r="D20" s="118">
        <f t="shared" si="3"/>
        <v>265.05130532019132</v>
      </c>
      <c r="E20" s="118">
        <f t="shared" si="1"/>
        <v>480.38162222222223</v>
      </c>
      <c r="F20" s="119">
        <f t="shared" si="0"/>
        <v>265.05130532019132</v>
      </c>
    </row>
    <row r="21" spans="2:6" ht="17.25" x14ac:dyDescent="0.3">
      <c r="B21" s="116">
        <v>65</v>
      </c>
      <c r="C21" s="117">
        <f t="shared" si="2"/>
        <v>466.72662721893494</v>
      </c>
      <c r="D21" s="118">
        <f t="shared" si="3"/>
        <v>253.1939704690507</v>
      </c>
      <c r="E21" s="118">
        <f t="shared" si="1"/>
        <v>409.31925207100596</v>
      </c>
      <c r="F21" s="119">
        <f t="shared" si="0"/>
        <v>253.1939704690507</v>
      </c>
    </row>
    <row r="22" spans="2:6" ht="17.25" x14ac:dyDescent="0.3">
      <c r="B22" s="116">
        <v>70</v>
      </c>
      <c r="C22" s="117">
        <f t="shared" si="2"/>
        <v>402.43265306122447</v>
      </c>
      <c r="D22" s="118">
        <f t="shared" si="3"/>
        <v>240.9831317428189</v>
      </c>
      <c r="E22" s="118">
        <f t="shared" si="1"/>
        <v>352.93343673469388</v>
      </c>
      <c r="F22" s="119">
        <f t="shared" si="0"/>
        <v>240.9831317428189</v>
      </c>
    </row>
    <row r="23" spans="2:6" ht="17.25" x14ac:dyDescent="0.3">
      <c r="B23" s="116">
        <v>75</v>
      </c>
      <c r="C23" s="117">
        <f t="shared" si="2"/>
        <v>350.56355555555558</v>
      </c>
      <c r="D23" s="118">
        <f t="shared" si="3"/>
        <v>228.52293951085443</v>
      </c>
      <c r="E23" s="118">
        <f t="shared" si="1"/>
        <v>307.44423822222222</v>
      </c>
      <c r="F23" s="119">
        <f t="shared" si="0"/>
        <v>228.52293951085443</v>
      </c>
    </row>
    <row r="24" spans="2:6" ht="17.25" x14ac:dyDescent="0.3">
      <c r="B24" s="116">
        <v>80</v>
      </c>
      <c r="C24" s="117">
        <f t="shared" si="2"/>
        <v>308.11250000000001</v>
      </c>
      <c r="D24" s="118">
        <f t="shared" si="3"/>
        <v>215.91500890032952</v>
      </c>
      <c r="E24" s="118">
        <f t="shared" si="1"/>
        <v>270.21466250000003</v>
      </c>
      <c r="F24" s="119">
        <f t="shared" si="0"/>
        <v>215.91500890032952</v>
      </c>
    </row>
    <row r="25" spans="2:6" ht="17.25" x14ac:dyDescent="0.3">
      <c r="B25" s="116">
        <v>85</v>
      </c>
      <c r="C25" s="117">
        <f t="shared" si="2"/>
        <v>272.93010380622837</v>
      </c>
      <c r="D25" s="118">
        <f t="shared" si="3"/>
        <v>203.25710525163086</v>
      </c>
      <c r="E25" s="118">
        <f t="shared" si="1"/>
        <v>239.3597010380623</v>
      </c>
      <c r="F25" s="119">
        <f t="shared" si="0"/>
        <v>203.25710525163086</v>
      </c>
    </row>
    <row r="26" spans="2:6" ht="17.25" x14ac:dyDescent="0.3">
      <c r="B26" s="116">
        <v>90</v>
      </c>
      <c r="C26" s="117">
        <f t="shared" si="2"/>
        <v>243.4469135802469</v>
      </c>
      <c r="D26" s="118">
        <f t="shared" si="3"/>
        <v>190.64196806993598</v>
      </c>
      <c r="E26" s="118">
        <f t="shared" si="1"/>
        <v>213.50294320987652</v>
      </c>
      <c r="F26" s="119">
        <f t="shared" si="0"/>
        <v>190.64196806993598</v>
      </c>
    </row>
    <row r="27" spans="2:6" ht="17.25" x14ac:dyDescent="0.3">
      <c r="B27" s="116">
        <v>95</v>
      </c>
      <c r="C27" s="117">
        <f t="shared" si="2"/>
        <v>218.49529085872575</v>
      </c>
      <c r="D27" s="118">
        <f t="shared" si="3"/>
        <v>178.15629086396962</v>
      </c>
      <c r="E27" s="118">
        <f t="shared" si="1"/>
        <v>191.62037008310247</v>
      </c>
      <c r="F27" s="119">
        <f t="shared" si="0"/>
        <v>178.15629086396962</v>
      </c>
    </row>
    <row r="28" spans="2:6" ht="17.25" x14ac:dyDescent="0.3">
      <c r="B28" s="116">
        <v>100</v>
      </c>
      <c r="C28" s="117">
        <f t="shared" si="2"/>
        <v>197.19200000000001</v>
      </c>
      <c r="D28" s="118">
        <f t="shared" si="3"/>
        <v>165.87986941232771</v>
      </c>
      <c r="E28" s="118">
        <f t="shared" si="1"/>
        <v>172.93738400000001</v>
      </c>
      <c r="F28" s="119">
        <f t="shared" si="0"/>
        <v>165.87986941232771</v>
      </c>
    </row>
    <row r="29" spans="2:6" ht="17.25" x14ac:dyDescent="0.3">
      <c r="B29" s="116">
        <v>105</v>
      </c>
      <c r="C29" s="117">
        <f t="shared" si="2"/>
        <v>178.85895691609977</v>
      </c>
      <c r="D29" s="118">
        <f t="shared" si="3"/>
        <v>153.88492607620304</v>
      </c>
      <c r="E29" s="118">
        <f t="shared" si="1"/>
        <v>156.85930521541951</v>
      </c>
      <c r="F29" s="119">
        <f t="shared" si="0"/>
        <v>153.88492607620304</v>
      </c>
    </row>
    <row r="30" spans="2:6" ht="17.25" x14ac:dyDescent="0.3">
      <c r="B30" s="116">
        <v>110</v>
      </c>
      <c r="C30" s="117">
        <f t="shared" si="2"/>
        <v>162.96859504132232</v>
      </c>
      <c r="D30" s="118">
        <f t="shared" si="3"/>
        <v>142.23561294545962</v>
      </c>
      <c r="E30" s="118">
        <f t="shared" si="1"/>
        <v>142.92345785123968</v>
      </c>
      <c r="F30" s="119">
        <f t="shared" si="0"/>
        <v>142.23561294545962</v>
      </c>
    </row>
    <row r="31" spans="2:6" ht="17.25" x14ac:dyDescent="0.3">
      <c r="B31" s="116">
        <v>115</v>
      </c>
      <c r="C31" s="117">
        <f t="shared" si="2"/>
        <v>149.10548204158789</v>
      </c>
      <c r="D31" s="118">
        <f t="shared" si="3"/>
        <v>130.98769201029742</v>
      </c>
      <c r="E31" s="118">
        <f t="shared" si="1"/>
        <v>130.76550775047258</v>
      </c>
      <c r="F31" s="119">
        <f t="shared" si="0"/>
        <v>130.76550775047258</v>
      </c>
    </row>
    <row r="32" spans="2:6" ht="17.25" x14ac:dyDescent="0.3">
      <c r="B32" s="116">
        <v>120</v>
      </c>
      <c r="C32" s="117">
        <f t="shared" si="2"/>
        <v>136.9388888888889</v>
      </c>
      <c r="D32" s="118">
        <f t="shared" si="3"/>
        <v>120.18838632275656</v>
      </c>
      <c r="E32" s="118">
        <f t="shared" si="1"/>
        <v>120.09540555555556</v>
      </c>
      <c r="F32" s="119">
        <f t="shared" si="0"/>
        <v>120.09540555555556</v>
      </c>
    </row>
    <row r="33" spans="2:6" ht="17.25" x14ac:dyDescent="0.3">
      <c r="B33" s="116">
        <v>125</v>
      </c>
      <c r="C33" s="117">
        <f t="shared" si="2"/>
        <v>126.20287999999999</v>
      </c>
      <c r="D33" s="118">
        <f t="shared" si="3"/>
        <v>109.87639235878778</v>
      </c>
      <c r="E33" s="118">
        <f t="shared" si="1"/>
        <v>110.67992575999999</v>
      </c>
      <c r="F33" s="119">
        <f t="shared" si="0"/>
        <v>110.67992575999999</v>
      </c>
    </row>
    <row r="34" spans="2:6" ht="17.25" x14ac:dyDescent="0.3">
      <c r="B34" s="116">
        <v>130</v>
      </c>
      <c r="C34" s="117">
        <f t="shared" si="2"/>
        <v>116.68165680473373</v>
      </c>
      <c r="D34" s="118">
        <f t="shared" si="3"/>
        <v>100.08204059592241</v>
      </c>
      <c r="E34" s="118">
        <f t="shared" si="1"/>
        <v>102.32981301775149</v>
      </c>
      <c r="F34" s="119">
        <f t="shared" si="0"/>
        <v>102.32981301775149</v>
      </c>
    </row>
    <row r="35" spans="2:6" ht="17.25" x14ac:dyDescent="0.3">
      <c r="B35" s="116">
        <v>135</v>
      </c>
      <c r="C35" s="117">
        <f t="shared" si="2"/>
        <v>108.19862825788752</v>
      </c>
      <c r="D35" s="118">
        <f t="shared" si="3"/>
        <v>90.827588741251049</v>
      </c>
      <c r="E35" s="118">
        <f t="shared" si="1"/>
        <v>94.890196982167353</v>
      </c>
      <c r="F35" s="119">
        <f t="shared" si="0"/>
        <v>94.890196982167353</v>
      </c>
    </row>
    <row r="36" spans="2:6" ht="17.25" x14ac:dyDescent="0.3">
      <c r="B36" s="116">
        <v>140</v>
      </c>
      <c r="C36" s="117">
        <f t="shared" si="2"/>
        <v>100.60816326530612</v>
      </c>
      <c r="D36" s="118">
        <f t="shared" si="3"/>
        <v>82.127630110990353</v>
      </c>
      <c r="E36" s="118">
        <f t="shared" si="1"/>
        <v>88.233359183673471</v>
      </c>
      <c r="F36" s="119">
        <f t="shared" si="0"/>
        <v>88.233359183673471</v>
      </c>
    </row>
    <row r="37" spans="2:6" ht="17.25" x14ac:dyDescent="0.3">
      <c r="B37" s="116">
        <v>145</v>
      </c>
      <c r="C37" s="117">
        <f t="shared" si="2"/>
        <v>93.789298454221168</v>
      </c>
      <c r="D37" s="118">
        <f t="shared" si="3"/>
        <v>73.98959838274277</v>
      </c>
      <c r="E37" s="118">
        <f t="shared" si="1"/>
        <v>82.253214744351965</v>
      </c>
      <c r="F37" s="119">
        <f t="shared" si="0"/>
        <v>82.253214744351965</v>
      </c>
    </row>
    <row r="38" spans="2:6" ht="17.25" x14ac:dyDescent="0.3">
      <c r="B38" s="116">
        <v>150</v>
      </c>
      <c r="C38" s="117">
        <f t="shared" si="2"/>
        <v>87.640888888888895</v>
      </c>
      <c r="D38" s="118">
        <f t="shared" si="3"/>
        <v>66.414349297739406</v>
      </c>
      <c r="E38" s="118">
        <f t="shared" si="1"/>
        <v>76.861059555555556</v>
      </c>
      <c r="F38" s="119">
        <f t="shared" si="0"/>
        <v>76.861059555555556</v>
      </c>
    </row>
    <row r="39" spans="2:6" ht="17.25" x14ac:dyDescent="0.3">
      <c r="B39" s="116">
        <v>155</v>
      </c>
      <c r="C39" s="117">
        <f t="shared" si="2"/>
        <v>82.077835587929243</v>
      </c>
      <c r="D39" s="118">
        <f t="shared" si="3"/>
        <v>59.396799845379157</v>
      </c>
      <c r="E39" s="118">
        <f t="shared" si="1"/>
        <v>71.982261810613949</v>
      </c>
      <c r="F39" s="119">
        <f t="shared" si="0"/>
        <v>71.982261810613949</v>
      </c>
    </row>
    <row r="40" spans="2:6" ht="17.25" x14ac:dyDescent="0.3">
      <c r="B40" s="116">
        <v>160</v>
      </c>
      <c r="C40" s="117">
        <f t="shared" si="2"/>
        <v>77.028125000000003</v>
      </c>
      <c r="D40" s="118">
        <f t="shared" si="3"/>
        <v>52.926605961430312</v>
      </c>
      <c r="E40" s="118">
        <f t="shared" si="1"/>
        <v>67.553665625000008</v>
      </c>
      <c r="F40" s="119">
        <f t="shared" si="0"/>
        <v>67.553665625000008</v>
      </c>
    </row>
    <row r="41" spans="2:6" ht="17.25" x14ac:dyDescent="0.3">
      <c r="B41" s="116">
        <v>165</v>
      </c>
      <c r="C41" s="117">
        <f>3.14*3.14*$C$4/B41^2</f>
        <v>72.430486685032136</v>
      </c>
      <c r="D41" s="118">
        <f t="shared" si="3"/>
        <v>46.98886074592059</v>
      </c>
      <c r="E41" s="118">
        <f t="shared" si="1"/>
        <v>63.521536822773186</v>
      </c>
      <c r="F41" s="119">
        <f t="shared" si="0"/>
        <v>63.521536822773186</v>
      </c>
    </row>
    <row r="42" spans="2:6" ht="17.25" x14ac:dyDescent="0.3">
      <c r="B42" s="116">
        <v>170</v>
      </c>
      <c r="C42" s="117">
        <f>3.14*3.14*$C$4/B42^2</f>
        <v>68.232525951557093</v>
      </c>
      <c r="D42" s="118">
        <f t="shared" si="3"/>
        <v>41.564796578930419</v>
      </c>
      <c r="E42" s="118">
        <f t="shared" si="1"/>
        <v>59.839925259515574</v>
      </c>
      <c r="F42" s="119">
        <f t="shared" si="0"/>
        <v>59.839925259515574</v>
      </c>
    </row>
    <row r="43" spans="2:6" ht="17.25" x14ac:dyDescent="0.3">
      <c r="B43" s="116">
        <v>175</v>
      </c>
      <c r="C43" s="117">
        <f t="shared" ref="C43:C48" si="4">3.14*3.14*$C$4/B43^2</f>
        <v>64.389224489795922</v>
      </c>
      <c r="D43" s="118">
        <f t="shared" si="3"/>
        <v>36.632476198386925</v>
      </c>
      <c r="E43" s="118">
        <f t="shared" si="1"/>
        <v>56.469349877551025</v>
      </c>
      <c r="F43" s="119">
        <f t="shared" si="0"/>
        <v>56.469349877551025</v>
      </c>
    </row>
    <row r="44" spans="2:6" ht="17.25" x14ac:dyDescent="0.3">
      <c r="B44" s="116">
        <v>180</v>
      </c>
      <c r="C44" s="117">
        <f t="shared" si="4"/>
        <v>60.861728395061725</v>
      </c>
      <c r="D44" s="118">
        <f t="shared" si="3"/>
        <v>32.167459717744705</v>
      </c>
      <c r="E44" s="118">
        <f t="shared" si="1"/>
        <v>53.37573580246913</v>
      </c>
      <c r="F44" s="119">
        <f t="shared" si="0"/>
        <v>53.37573580246913</v>
      </c>
    </row>
    <row r="45" spans="2:6" ht="17.25" x14ac:dyDescent="0.3">
      <c r="B45" s="116">
        <v>185</v>
      </c>
      <c r="C45" s="117">
        <f t="shared" si="4"/>
        <v>57.616362308254203</v>
      </c>
      <c r="D45" s="118">
        <f t="shared" si="3"/>
        <v>28.143436618821148</v>
      </c>
      <c r="E45" s="118">
        <f t="shared" si="1"/>
        <v>50.529549744338937</v>
      </c>
      <c r="F45" s="119">
        <f t="shared" si="0"/>
        <v>50.529549744338937</v>
      </c>
    </row>
    <row r="46" spans="2:6" ht="17.25" x14ac:dyDescent="0.3">
      <c r="B46" s="116">
        <v>190</v>
      </c>
      <c r="C46" s="117">
        <f t="shared" si="4"/>
        <v>54.623822714681438</v>
      </c>
      <c r="D46" s="118">
        <f t="shared" si="3"/>
        <v>24.532813876229664</v>
      </c>
      <c r="E46" s="118">
        <f t="shared" si="1"/>
        <v>47.905092520775618</v>
      </c>
      <c r="F46" s="119">
        <f t="shared" si="0"/>
        <v>47.905092520775618</v>
      </c>
    </row>
    <row r="47" spans="2:6" ht="17.25" x14ac:dyDescent="0.3">
      <c r="B47" s="116">
        <v>195</v>
      </c>
      <c r="C47" s="117">
        <f t="shared" si="4"/>
        <v>51.858514135437211</v>
      </c>
      <c r="D47" s="118">
        <f t="shared" si="3"/>
        <v>21.307253482017444</v>
      </c>
      <c r="E47" s="118">
        <f t="shared" si="1"/>
        <v>45.479916896778434</v>
      </c>
      <c r="F47" s="119">
        <f t="shared" si="0"/>
        <v>45.479916896778434</v>
      </c>
    </row>
    <row r="48" spans="2:6" ht="17.25" x14ac:dyDescent="0.3">
      <c r="B48" s="116">
        <v>200</v>
      </c>
      <c r="C48" s="117">
        <f t="shared" si="4"/>
        <v>49.298000000000002</v>
      </c>
      <c r="D48" s="118">
        <f t="shared" si="3"/>
        <v>18.438154678390433</v>
      </c>
      <c r="E48" s="118">
        <f t="shared" si="1"/>
        <v>43.234346000000002</v>
      </c>
      <c r="F48" s="119">
        <f t="shared" si="0"/>
        <v>43.234346000000002</v>
      </c>
    </row>
    <row r="49" spans="2:5" x14ac:dyDescent="0.3">
      <c r="B49" s="120"/>
      <c r="C49" s="121"/>
      <c r="D49" s="122"/>
      <c r="E49" s="122"/>
    </row>
    <row r="50" spans="2:5" hidden="1" x14ac:dyDescent="0.3">
      <c r="B50" s="120"/>
      <c r="C50" s="121"/>
      <c r="D50" s="122"/>
      <c r="E50" s="122"/>
    </row>
    <row r="51" spans="2:5" hidden="1" x14ac:dyDescent="0.3">
      <c r="B51" s="120"/>
      <c r="C51" s="121"/>
      <c r="D51" s="122"/>
      <c r="E51" s="122"/>
    </row>
    <row r="52" spans="2:5" hidden="1" x14ac:dyDescent="0.3">
      <c r="B52" s="120"/>
      <c r="C52" s="121"/>
      <c r="D52" s="122"/>
      <c r="E52" s="122"/>
    </row>
    <row r="53" spans="2:5" ht="17.45" hidden="1" customHeight="1" x14ac:dyDescent="0.3">
      <c r="B53" s="120"/>
      <c r="C53" s="121"/>
      <c r="D53" s="122"/>
      <c r="E53" s="122"/>
    </row>
    <row r="54" spans="2:5" hidden="1" x14ac:dyDescent="0.3">
      <c r="B54" s="120"/>
      <c r="C54" s="121"/>
      <c r="D54" s="122"/>
      <c r="E54" s="122"/>
    </row>
    <row r="55" spans="2:5" hidden="1" x14ac:dyDescent="0.3">
      <c r="B55" s="120"/>
      <c r="C55" s="121"/>
      <c r="D55" s="122"/>
      <c r="E55" s="122"/>
    </row>
    <row r="56" spans="2:5" hidden="1" x14ac:dyDescent="0.3">
      <c r="B56" s="120"/>
      <c r="C56" s="121"/>
      <c r="D56" s="122"/>
      <c r="E56" s="122"/>
    </row>
    <row r="57" spans="2:5" ht="17.45" hidden="1" customHeight="1" x14ac:dyDescent="0.3">
      <c r="B57" s="120"/>
      <c r="C57" s="121"/>
      <c r="D57" s="122"/>
      <c r="E57" s="122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5"/>
  <sheetViews>
    <sheetView view="pageBreakPreview" topLeftCell="A19" zoomScale="115" zoomScaleNormal="115" zoomScaleSheetLayoutView="115" workbookViewId="0">
      <selection activeCell="D15" sqref="D15:E15"/>
    </sheetView>
  </sheetViews>
  <sheetFormatPr defaultColWidth="9" defaultRowHeight="0" customHeight="1" zeroHeight="1" x14ac:dyDescent="0.3"/>
  <cols>
    <col min="1" max="1" width="1.625" style="4" customWidth="1"/>
    <col min="2" max="2" width="9.5" style="4" customWidth="1"/>
    <col min="3" max="17" width="4.75" style="4" customWidth="1"/>
    <col min="18" max="18" width="9.75" style="4" customWidth="1"/>
    <col min="19" max="50" width="4.625" style="4" customWidth="1"/>
    <col min="51" max="66" width="3.625" style="4" customWidth="1"/>
    <col min="67" max="16384" width="9" style="4"/>
  </cols>
  <sheetData>
    <row r="1" spans="1:19" ht="33" customHeight="1" x14ac:dyDescent="0.3">
      <c r="A1" s="1"/>
      <c r="B1" s="2" t="s">
        <v>132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9" ht="15" customHeight="1" x14ac:dyDescent="0.3">
      <c r="A2" s="1"/>
      <c r="B2" s="5" t="s">
        <v>133</v>
      </c>
      <c r="C2" s="1"/>
      <c r="D2" s="1"/>
      <c r="E2" s="1"/>
      <c r="F2" s="1"/>
      <c r="G2" s="1"/>
      <c r="H2" s="1"/>
      <c r="I2" s="1"/>
      <c r="J2" s="11"/>
      <c r="K2" s="11"/>
      <c r="L2" s="11"/>
      <c r="M2" s="11"/>
      <c r="N2" s="1"/>
      <c r="O2" s="1"/>
      <c r="P2" s="1"/>
      <c r="Q2" s="1"/>
      <c r="R2" s="1"/>
    </row>
    <row r="3" spans="1:19" ht="15" customHeight="1" x14ac:dyDescent="0.3">
      <c r="A3" s="1"/>
      <c r="B3" s="11" t="s">
        <v>134</v>
      </c>
      <c r="C3" s="7" t="s">
        <v>135</v>
      </c>
      <c r="D3" s="8">
        <v>6.0250000000000004</v>
      </c>
      <c r="E3" s="8"/>
      <c r="F3" s="9" t="s">
        <v>136</v>
      </c>
      <c r="G3" s="10" t="s">
        <v>137</v>
      </c>
      <c r="H3" s="11"/>
      <c r="I3" s="11"/>
      <c r="J3" s="11"/>
      <c r="L3" s="123"/>
      <c r="M3" s="1"/>
      <c r="N3" s="1"/>
      <c r="O3" s="124"/>
      <c r="P3" s="125"/>
      <c r="Q3" s="126"/>
    </row>
    <row r="4" spans="1:19" ht="15" customHeight="1" x14ac:dyDescent="0.3">
      <c r="A4" s="1"/>
      <c r="B4" s="11" t="s">
        <v>138</v>
      </c>
      <c r="C4" s="7" t="s">
        <v>139</v>
      </c>
      <c r="D4" s="8">
        <v>20</v>
      </c>
      <c r="E4" s="8"/>
      <c r="F4" s="9" t="s">
        <v>140</v>
      </c>
      <c r="G4" s="10" t="s">
        <v>141</v>
      </c>
      <c r="H4" s="11"/>
      <c r="I4" s="11"/>
      <c r="J4" s="11"/>
      <c r="K4" s="11"/>
      <c r="L4" s="11"/>
      <c r="M4" s="11"/>
      <c r="N4" s="1"/>
      <c r="O4" s="1"/>
      <c r="P4" s="1"/>
      <c r="Q4" s="13"/>
    </row>
    <row r="5" spans="1:19" ht="15" customHeight="1" x14ac:dyDescent="0.3">
      <c r="A5" s="1"/>
      <c r="B5" s="11" t="s">
        <v>142</v>
      </c>
      <c r="C5" s="7" t="s">
        <v>51</v>
      </c>
      <c r="D5" s="8">
        <v>1.02</v>
      </c>
      <c r="E5" s="8"/>
      <c r="F5" s="9" t="s">
        <v>140</v>
      </c>
      <c r="G5" s="10" t="s">
        <v>143</v>
      </c>
      <c r="H5" s="11"/>
      <c r="I5" s="11"/>
      <c r="J5" s="11"/>
      <c r="K5" s="11"/>
      <c r="L5" s="12"/>
      <c r="M5" s="11"/>
      <c r="N5" s="11"/>
      <c r="O5" s="1"/>
      <c r="P5" s="1"/>
      <c r="Q5" s="13"/>
    </row>
    <row r="6" spans="1:19" ht="15" customHeight="1" x14ac:dyDescent="0.3">
      <c r="A6" s="1"/>
      <c r="B6" s="11" t="s">
        <v>144</v>
      </c>
      <c r="C6" s="7" t="s">
        <v>51</v>
      </c>
      <c r="D6" s="127">
        <f>(D5^2+(D4/2)^2)^0.5</f>
        <v>10.051885395287792</v>
      </c>
      <c r="E6" s="127"/>
      <c r="F6" s="9" t="s">
        <v>140</v>
      </c>
      <c r="G6" s="10" t="s">
        <v>145</v>
      </c>
      <c r="H6" s="11"/>
      <c r="I6" s="11"/>
      <c r="J6" s="11"/>
      <c r="K6" s="12"/>
      <c r="L6" s="12"/>
      <c r="M6" s="11"/>
      <c r="N6" s="11"/>
      <c r="O6" s="1"/>
      <c r="P6" s="1"/>
      <c r="Q6" s="13"/>
    </row>
    <row r="7" spans="1:19" ht="15" customHeight="1" x14ac:dyDescent="0.3">
      <c r="A7" s="1"/>
      <c r="B7" s="11" t="s">
        <v>146</v>
      </c>
      <c r="C7" s="7" t="s">
        <v>51</v>
      </c>
      <c r="D7" s="8">
        <v>8</v>
      </c>
      <c r="E7" s="8"/>
      <c r="F7" s="9" t="s">
        <v>140</v>
      </c>
      <c r="G7" s="10" t="s">
        <v>147</v>
      </c>
      <c r="H7" s="11"/>
      <c r="I7" s="11"/>
      <c r="J7" s="11"/>
      <c r="K7" s="12"/>
      <c r="L7" s="12"/>
      <c r="M7" s="11"/>
      <c r="N7" s="11"/>
      <c r="O7" s="1"/>
      <c r="P7" s="1"/>
      <c r="Q7" s="13"/>
    </row>
    <row r="8" spans="1:19" ht="15" customHeight="1" x14ac:dyDescent="0.3">
      <c r="A8" s="1"/>
      <c r="B8" s="128" t="s">
        <v>148</v>
      </c>
      <c r="C8" s="7" t="s">
        <v>139</v>
      </c>
      <c r="D8" s="129">
        <f>TANH(D5/(D4/2))*180/3.14</f>
        <v>5.8269399325514115</v>
      </c>
      <c r="E8" s="130"/>
      <c r="F8" s="131" t="s">
        <v>149</v>
      </c>
      <c r="G8" s="10" t="s">
        <v>150</v>
      </c>
      <c r="H8" s="11"/>
      <c r="I8" s="11"/>
      <c r="J8" s="11"/>
      <c r="K8" s="12"/>
      <c r="L8" s="12"/>
      <c r="M8" s="132" t="s">
        <v>151</v>
      </c>
      <c r="N8" s="132"/>
      <c r="O8" s="132"/>
      <c r="P8" s="1"/>
      <c r="Q8" s="13"/>
    </row>
    <row r="9" spans="1:19" ht="9" customHeight="1" x14ac:dyDescent="0.3">
      <c r="A9" s="1"/>
      <c r="B9" s="133"/>
      <c r="C9" s="7"/>
      <c r="D9" s="134"/>
      <c r="E9" s="134"/>
      <c r="F9" s="131"/>
      <c r="G9" s="10"/>
      <c r="H9" s="11"/>
      <c r="I9" s="11"/>
      <c r="J9" s="11"/>
      <c r="K9" s="12"/>
      <c r="L9" s="12"/>
      <c r="M9" s="11"/>
      <c r="N9" s="11"/>
      <c r="O9" s="1"/>
      <c r="P9" s="1"/>
      <c r="Q9" s="13"/>
    </row>
    <row r="10" spans="1:19" ht="15" customHeight="1" x14ac:dyDescent="0.2">
      <c r="A10" s="1"/>
      <c r="B10" s="5" t="s">
        <v>10</v>
      </c>
      <c r="C10" s="1"/>
      <c r="D10" s="1"/>
      <c r="E10" s="1"/>
      <c r="F10" s="1"/>
      <c r="G10" s="1"/>
      <c r="H10" s="1"/>
      <c r="I10" s="1"/>
      <c r="J10" s="1"/>
      <c r="K10" s="15"/>
      <c r="L10" s="15"/>
      <c r="M10" s="16"/>
      <c r="N10" s="17"/>
      <c r="O10" s="17"/>
      <c r="P10" s="17"/>
      <c r="Q10" s="17"/>
      <c r="R10" s="1"/>
    </row>
    <row r="11" spans="1:19" ht="15" customHeight="1" x14ac:dyDescent="0.2">
      <c r="A11" s="1"/>
      <c r="B11" s="135" t="s">
        <v>152</v>
      </c>
      <c r="C11" s="135"/>
      <c r="D11" s="31" t="s">
        <v>153</v>
      </c>
      <c r="E11" s="31"/>
      <c r="F11" s="31" t="s">
        <v>154</v>
      </c>
      <c r="G11" s="31"/>
      <c r="H11" s="1"/>
      <c r="I11" s="1"/>
      <c r="J11" s="1"/>
      <c r="K11" s="15"/>
      <c r="L11" s="15"/>
      <c r="M11" s="16"/>
      <c r="N11" s="17"/>
      <c r="O11" s="17"/>
      <c r="P11" s="17"/>
      <c r="Q11" s="17"/>
      <c r="R11" s="1"/>
    </row>
    <row r="12" spans="1:19" ht="15" customHeight="1" x14ac:dyDescent="0.2">
      <c r="A12" s="1"/>
      <c r="B12" s="18" t="s">
        <v>155</v>
      </c>
      <c r="C12" s="19"/>
      <c r="D12" s="20">
        <v>400</v>
      </c>
      <c r="E12" s="20"/>
      <c r="F12" s="20">
        <v>400</v>
      </c>
      <c r="G12" s="20"/>
      <c r="H12" s="1"/>
      <c r="I12" s="1"/>
      <c r="J12" s="1"/>
      <c r="K12" s="15"/>
      <c r="L12" s="15"/>
      <c r="M12" s="16"/>
      <c r="N12" s="21"/>
      <c r="O12" s="21"/>
      <c r="P12" s="21"/>
      <c r="Q12" s="21"/>
      <c r="R12" s="1"/>
    </row>
    <row r="13" spans="1:19" ht="15" customHeight="1" x14ac:dyDescent="0.2">
      <c r="A13" s="1"/>
      <c r="B13" s="18" t="s">
        <v>156</v>
      </c>
      <c r="C13" s="19"/>
      <c r="D13" s="20">
        <v>200</v>
      </c>
      <c r="E13" s="20"/>
      <c r="F13" s="20">
        <v>200</v>
      </c>
      <c r="G13" s="20"/>
      <c r="H13" s="1"/>
      <c r="I13" s="1"/>
      <c r="J13" s="1"/>
      <c r="K13" s="15"/>
      <c r="L13" s="15"/>
      <c r="M13" s="16"/>
      <c r="N13" s="21"/>
      <c r="O13" s="21"/>
      <c r="P13" s="21"/>
      <c r="Q13" s="21"/>
      <c r="R13" s="1"/>
    </row>
    <row r="14" spans="1:19" ht="15" customHeight="1" x14ac:dyDescent="0.2">
      <c r="A14" s="1"/>
      <c r="B14" s="18" t="s">
        <v>157</v>
      </c>
      <c r="C14" s="19"/>
      <c r="D14" s="20">
        <v>8</v>
      </c>
      <c r="E14" s="20"/>
      <c r="F14" s="20">
        <v>8</v>
      </c>
      <c r="G14" s="20"/>
      <c r="H14" s="10" t="s">
        <v>16</v>
      </c>
      <c r="I14" s="1"/>
      <c r="J14" s="1"/>
      <c r="K14" s="15"/>
      <c r="L14" s="15"/>
      <c r="M14" s="16"/>
      <c r="N14" s="21"/>
      <c r="O14" s="21"/>
      <c r="P14" s="21"/>
      <c r="Q14" s="21"/>
      <c r="R14" s="1"/>
    </row>
    <row r="15" spans="1:19" ht="15" customHeight="1" x14ac:dyDescent="0.2">
      <c r="A15" s="1"/>
      <c r="B15" s="18" t="s">
        <v>158</v>
      </c>
      <c r="C15" s="19"/>
      <c r="D15" s="20">
        <v>12</v>
      </c>
      <c r="E15" s="20"/>
      <c r="F15" s="20">
        <v>12</v>
      </c>
      <c r="G15" s="20"/>
      <c r="H15" s="10" t="s">
        <v>159</v>
      </c>
      <c r="I15" s="1"/>
      <c r="J15" s="1"/>
      <c r="K15" s="15"/>
      <c r="L15" s="15"/>
      <c r="M15" s="16"/>
      <c r="N15" s="21"/>
      <c r="O15" s="21"/>
      <c r="P15" s="21"/>
      <c r="Q15" s="21"/>
      <c r="R15" s="1"/>
    </row>
    <row r="16" spans="1:19" ht="15" customHeight="1" x14ac:dyDescent="0.2">
      <c r="A16" s="1"/>
      <c r="B16" s="18" t="s">
        <v>160</v>
      </c>
      <c r="C16" s="19"/>
      <c r="D16" s="20">
        <v>0</v>
      </c>
      <c r="E16" s="20"/>
      <c r="F16" s="20">
        <v>0</v>
      </c>
      <c r="G16" s="20"/>
      <c r="H16" s="10" t="s">
        <v>161</v>
      </c>
      <c r="I16" s="1"/>
      <c r="J16" s="1"/>
      <c r="K16" s="15"/>
      <c r="L16" s="15"/>
      <c r="M16" s="42" t="s">
        <v>45</v>
      </c>
      <c r="N16" s="42"/>
      <c r="O16" s="42"/>
      <c r="P16" s="21"/>
      <c r="Q16" s="21"/>
      <c r="R16" s="1"/>
      <c r="S16" s="136" t="s">
        <v>162</v>
      </c>
    </row>
    <row r="17" spans="1:18" ht="15" customHeight="1" x14ac:dyDescent="0.2">
      <c r="A17" s="1"/>
      <c r="B17" s="18" t="s">
        <v>163</v>
      </c>
      <c r="C17" s="19"/>
      <c r="D17" s="137">
        <f>D13*D12^3/12-((D13-D14)*(D12-2*D15)^3/12)+(D16*D16*(1-3.14/4))*((D12-2*D15)/2-0.225*D16)^2*4</f>
        <v>216148650.66666663</v>
      </c>
      <c r="E17" s="138"/>
      <c r="F17" s="137">
        <f>F13*F12^3/12-((F13-F14)*(F12-2*F15)^3/12)+(F16*F16*(1-3.14/4))*((F12-2*F15)/2-0.225*F16)^2*4</f>
        <v>216148650.66666663</v>
      </c>
      <c r="G17" s="138"/>
      <c r="H17" s="10" t="s">
        <v>164</v>
      </c>
      <c r="I17" s="1"/>
      <c r="J17" s="1"/>
      <c r="K17" s="15"/>
      <c r="L17" s="15"/>
      <c r="M17" s="16"/>
      <c r="N17" s="21"/>
      <c r="O17" s="21"/>
      <c r="P17" s="21"/>
      <c r="Q17" s="21"/>
      <c r="R17" s="1"/>
    </row>
    <row r="18" spans="1:18" ht="7.5" customHeight="1" x14ac:dyDescent="0.2">
      <c r="A18" s="1"/>
      <c r="B18" s="139"/>
      <c r="C18" s="43"/>
      <c r="D18" s="140"/>
      <c r="E18" s="140"/>
      <c r="F18" s="140"/>
      <c r="G18" s="140"/>
      <c r="H18" s="10"/>
      <c r="I18" s="1"/>
      <c r="J18" s="1"/>
      <c r="K18" s="15"/>
      <c r="L18" s="15"/>
      <c r="M18" s="16"/>
      <c r="N18" s="21"/>
      <c r="O18" s="21"/>
      <c r="P18" s="21"/>
      <c r="Q18" s="21"/>
      <c r="R18" s="1"/>
    </row>
    <row r="19" spans="1:18" s="1" customFormat="1" ht="15" customHeight="1" x14ac:dyDescent="0.3">
      <c r="B19" s="141" t="s">
        <v>165</v>
      </c>
    </row>
    <row r="20" spans="1:18" s="1" customFormat="1" ht="15" customHeight="1" x14ac:dyDescent="0.3">
      <c r="B20" s="31" t="s">
        <v>166</v>
      </c>
      <c r="C20" s="31"/>
      <c r="D20" s="142">
        <v>0.4</v>
      </c>
      <c r="E20" s="142"/>
      <c r="F20" s="1" t="s">
        <v>167</v>
      </c>
      <c r="H20" s="143" t="s">
        <v>168</v>
      </c>
    </row>
    <row r="21" spans="1:18" s="1" customFormat="1" ht="15" customHeight="1" x14ac:dyDescent="0.3">
      <c r="B21" s="31" t="s">
        <v>169</v>
      </c>
      <c r="C21" s="31"/>
      <c r="D21" s="142">
        <v>0.6</v>
      </c>
      <c r="E21" s="142"/>
      <c r="F21" s="1" t="s">
        <v>170</v>
      </c>
      <c r="H21" s="144"/>
    </row>
    <row r="22" spans="1:18" s="1" customFormat="1" ht="7.5" customHeight="1" x14ac:dyDescent="0.3">
      <c r="B22" s="43"/>
      <c r="C22" s="43"/>
      <c r="D22" s="43"/>
      <c r="E22" s="43"/>
      <c r="H22" s="144"/>
    </row>
    <row r="23" spans="1:18" s="1" customFormat="1" ht="15" customHeight="1" x14ac:dyDescent="0.3">
      <c r="A23" s="145"/>
      <c r="B23" s="141" t="s">
        <v>171</v>
      </c>
      <c r="C23" s="43"/>
      <c r="D23" s="43"/>
      <c r="E23" s="43"/>
      <c r="F23" s="145"/>
      <c r="G23" s="145"/>
      <c r="H23" s="145"/>
      <c r="K23" s="145"/>
      <c r="L23" s="145"/>
      <c r="M23" s="145"/>
      <c r="N23" s="145"/>
      <c r="O23" s="145"/>
      <c r="P23" s="145"/>
    </row>
    <row r="24" spans="1:18" s="1" customFormat="1" ht="15" customHeight="1" x14ac:dyDescent="0.3">
      <c r="A24" s="145"/>
      <c r="B24" s="146" t="s">
        <v>172</v>
      </c>
      <c r="C24" s="43"/>
      <c r="D24" s="142" t="s">
        <v>173</v>
      </c>
      <c r="E24" s="142"/>
      <c r="F24" s="145"/>
      <c r="G24" s="145"/>
      <c r="H24" s="145"/>
      <c r="K24" s="145"/>
      <c r="L24" s="145"/>
      <c r="M24" s="145"/>
      <c r="N24" s="145"/>
      <c r="O24" s="145"/>
      <c r="P24" s="145"/>
    </row>
    <row r="25" spans="1:18" s="1" customFormat="1" ht="15" customHeight="1" x14ac:dyDescent="0.3">
      <c r="A25" s="145"/>
      <c r="B25" s="146" t="s">
        <v>174</v>
      </c>
      <c r="C25" s="43"/>
      <c r="D25" s="142">
        <v>51.6</v>
      </c>
      <c r="E25" s="142"/>
      <c r="F25" s="145" t="s">
        <v>175</v>
      </c>
      <c r="G25" s="145" t="s">
        <v>176</v>
      </c>
      <c r="H25" s="145"/>
      <c r="K25" s="145"/>
      <c r="L25" s="145"/>
      <c r="M25" s="145"/>
      <c r="N25" s="145"/>
      <c r="O25" s="145"/>
      <c r="P25" s="145"/>
    </row>
    <row r="26" spans="1:18" s="1" customFormat="1" ht="15" customHeight="1" x14ac:dyDescent="0.3">
      <c r="A26" s="145"/>
      <c r="B26" s="146" t="s">
        <v>177</v>
      </c>
      <c r="C26" s="43"/>
      <c r="D26" s="142">
        <v>1.08</v>
      </c>
      <c r="E26" s="142"/>
      <c r="F26" s="145"/>
      <c r="G26" s="145" t="s">
        <v>178</v>
      </c>
      <c r="H26" s="145"/>
      <c r="K26" s="145"/>
      <c r="L26" s="145"/>
      <c r="M26" s="145"/>
      <c r="N26" s="145"/>
      <c r="O26" s="145"/>
      <c r="P26" s="145"/>
    </row>
    <row r="27" spans="1:18" s="1" customFormat="1" ht="15" customHeight="1" x14ac:dyDescent="0.3">
      <c r="A27" s="145"/>
      <c r="B27" s="146" t="s">
        <v>179</v>
      </c>
      <c r="C27" s="43"/>
      <c r="D27" s="107">
        <f>D25*(D26)^0.5</f>
        <v>53.62429300233245</v>
      </c>
      <c r="E27" s="107"/>
      <c r="F27" s="145" t="s">
        <v>180</v>
      </c>
      <c r="G27" s="145" t="s">
        <v>181</v>
      </c>
      <c r="H27" s="145"/>
      <c r="K27" s="145"/>
      <c r="L27" s="145"/>
      <c r="M27" s="145"/>
      <c r="N27" s="145"/>
      <c r="O27" s="145"/>
      <c r="P27" s="145"/>
    </row>
    <row r="28" spans="1:18" s="1" customFormat="1" ht="15" customHeight="1" x14ac:dyDescent="0.3">
      <c r="A28" s="145"/>
      <c r="B28" s="146"/>
      <c r="C28" s="43"/>
      <c r="D28" s="43"/>
      <c r="E28" s="43"/>
      <c r="F28" s="145"/>
      <c r="G28" s="145"/>
      <c r="H28" s="145"/>
      <c r="K28" s="145"/>
      <c r="L28" s="145"/>
      <c r="M28" s="145"/>
      <c r="N28" s="145"/>
      <c r="O28" s="145"/>
      <c r="P28" s="145"/>
    </row>
    <row r="29" spans="1:18" s="1" customFormat="1" ht="40.5" customHeight="1" x14ac:dyDescent="0.3">
      <c r="B29" s="31" t="s">
        <v>182</v>
      </c>
      <c r="C29" s="31"/>
      <c r="D29" s="31" t="s">
        <v>183</v>
      </c>
      <c r="E29" s="31"/>
      <c r="F29" s="22" t="s">
        <v>184</v>
      </c>
      <c r="G29" s="31"/>
      <c r="H29" s="35" t="s">
        <v>185</v>
      </c>
      <c r="I29" s="39"/>
      <c r="J29" s="31" t="s">
        <v>186</v>
      </c>
      <c r="K29" s="31"/>
      <c r="L29" s="22" t="s">
        <v>187</v>
      </c>
      <c r="M29" s="31"/>
      <c r="N29" s="31" t="s">
        <v>188</v>
      </c>
      <c r="O29" s="31"/>
    </row>
    <row r="30" spans="1:18" s="1" customFormat="1" ht="15" customHeight="1" x14ac:dyDescent="0.3">
      <c r="B30" s="31" t="s">
        <v>189</v>
      </c>
      <c r="C30" s="31"/>
      <c r="D30" s="31" t="s">
        <v>190</v>
      </c>
      <c r="E30" s="31"/>
      <c r="F30" s="147">
        <v>0.85</v>
      </c>
      <c r="G30" s="148"/>
      <c r="H30" s="149">
        <f>0.613*D27^2*0.85/1000</f>
        <v>1.4983130390400006</v>
      </c>
      <c r="I30" s="150"/>
      <c r="J30" s="142">
        <v>0.8</v>
      </c>
      <c r="K30" s="142"/>
      <c r="L30" s="151">
        <f>$F$30*$H$30*J30</f>
        <v>1.0188528665472005</v>
      </c>
      <c r="M30" s="151"/>
      <c r="N30" s="31"/>
      <c r="O30" s="31"/>
    </row>
    <row r="31" spans="1:18" s="1" customFormat="1" ht="15" customHeight="1" x14ac:dyDescent="0.3">
      <c r="B31" s="31"/>
      <c r="C31" s="31"/>
      <c r="D31" s="31" t="s">
        <v>191</v>
      </c>
      <c r="E31" s="31"/>
      <c r="F31" s="106"/>
      <c r="G31" s="152"/>
      <c r="H31" s="153"/>
      <c r="I31" s="154"/>
      <c r="J31" s="142">
        <v>-0.5</v>
      </c>
      <c r="K31" s="142"/>
      <c r="L31" s="151">
        <f>$F$30*$H$30*J31</f>
        <v>-0.63678304159200028</v>
      </c>
      <c r="M31" s="151"/>
      <c r="N31" s="31"/>
      <c r="O31" s="31"/>
    </row>
    <row r="32" spans="1:18" s="1" customFormat="1" ht="15" customHeight="1" x14ac:dyDescent="0.3">
      <c r="B32" s="31" t="s">
        <v>192</v>
      </c>
      <c r="C32" s="31"/>
      <c r="D32" s="31" t="s">
        <v>190</v>
      </c>
      <c r="E32" s="31"/>
      <c r="F32" s="106"/>
      <c r="G32" s="152"/>
      <c r="H32" s="153"/>
      <c r="I32" s="154"/>
      <c r="J32" s="142">
        <v>-0.7</v>
      </c>
      <c r="K32" s="142"/>
      <c r="L32" s="151">
        <f>$F$30*$H$30*J32</f>
        <v>-0.8914962582288003</v>
      </c>
      <c r="M32" s="151"/>
      <c r="N32" s="31"/>
      <c r="O32" s="31"/>
    </row>
    <row r="33" spans="2:17" s="1" customFormat="1" ht="15" customHeight="1" x14ac:dyDescent="0.3">
      <c r="B33" s="31"/>
      <c r="C33" s="31"/>
      <c r="D33" s="31" t="s">
        <v>191</v>
      </c>
      <c r="E33" s="31"/>
      <c r="F33" s="155"/>
      <c r="G33" s="156"/>
      <c r="H33" s="157"/>
      <c r="I33" s="158"/>
      <c r="J33" s="142">
        <v>-0.7</v>
      </c>
      <c r="K33" s="142"/>
      <c r="L33" s="151">
        <f>$F$30*$H$30*J33</f>
        <v>-0.8914962582288003</v>
      </c>
      <c r="M33" s="151"/>
      <c r="N33" s="31"/>
      <c r="O33" s="31"/>
    </row>
    <row r="34" spans="2:17" s="1" customFormat="1" ht="15" customHeight="1" x14ac:dyDescent="0.3"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</row>
    <row r="35" spans="2:17" s="1" customFormat="1" ht="15" customHeight="1" x14ac:dyDescent="0.3">
      <c r="H35" s="1" t="s">
        <v>139</v>
      </c>
      <c r="I35" s="159">
        <f>D20*D7</f>
        <v>3.2</v>
      </c>
      <c r="J35" s="159"/>
      <c r="K35" s="1" t="s">
        <v>193</v>
      </c>
    </row>
    <row r="36" spans="2:17" s="1" customFormat="1" ht="15" customHeight="1" x14ac:dyDescent="0.3">
      <c r="H36" s="1" t="s">
        <v>51</v>
      </c>
      <c r="I36" s="160">
        <f>D21*D7</f>
        <v>4.8</v>
      </c>
      <c r="J36" s="160"/>
      <c r="K36" s="1" t="s">
        <v>193</v>
      </c>
    </row>
    <row r="37" spans="2:17" s="1" customFormat="1" ht="7.5" customHeight="1" x14ac:dyDescent="0.3"/>
    <row r="38" spans="2:17" s="1" customFormat="1" ht="15" customHeight="1" x14ac:dyDescent="0.3">
      <c r="B38" s="11"/>
      <c r="H38" s="1" t="s">
        <v>51</v>
      </c>
      <c r="I38" s="160">
        <f>(F17/D17)*(D3/D6)</f>
        <v>0.59939004107870653</v>
      </c>
      <c r="J38" s="160"/>
    </row>
    <row r="39" spans="2:17" s="1" customFormat="1" ht="7.15" customHeight="1" x14ac:dyDescent="0.3"/>
    <row r="40" spans="2:17" s="1" customFormat="1" ht="15" customHeight="1" x14ac:dyDescent="0.3">
      <c r="H40" s="1" t="s">
        <v>51</v>
      </c>
      <c r="I40" s="100">
        <f>D3^2*(I38+3)+D5*(3*D3+D5)</f>
        <v>150.13700810993274</v>
      </c>
      <c r="J40" s="100"/>
      <c r="L40" s="99"/>
    </row>
    <row r="41" spans="2:17" s="1" customFormat="1" ht="15" customHeight="1" x14ac:dyDescent="0.3">
      <c r="H41" s="1" t="s">
        <v>51</v>
      </c>
      <c r="I41" s="161"/>
      <c r="J41" s="161">
        <f>(I38*D3+D5)^2+4*I38*(D3^2+D3*D5+D5^2)</f>
        <v>125.71073125694183</v>
      </c>
    </row>
    <row r="42" spans="2:17" s="1" customFormat="1" ht="9" customHeight="1" x14ac:dyDescent="0.3">
      <c r="I42" s="161"/>
      <c r="J42" s="161"/>
    </row>
    <row r="43" spans="2:17" s="1" customFormat="1" ht="15" customHeight="1" x14ac:dyDescent="0.3">
      <c r="B43" s="162" t="s">
        <v>194</v>
      </c>
      <c r="C43" s="5"/>
      <c r="D43" s="5"/>
      <c r="E43" s="5"/>
      <c r="F43" s="5"/>
      <c r="I43" s="100"/>
      <c r="J43" s="100"/>
    </row>
    <row r="44" spans="2:17" s="1" customFormat="1" ht="15" customHeight="1" x14ac:dyDescent="0.3">
      <c r="B44" s="163" t="s">
        <v>195</v>
      </c>
      <c r="H44" s="1" t="s">
        <v>51</v>
      </c>
      <c r="I44" s="100">
        <f>I35*D4/2</f>
        <v>32</v>
      </c>
      <c r="J44" s="100"/>
      <c r="K44" s="1" t="s">
        <v>196</v>
      </c>
      <c r="P44" s="164" t="s">
        <v>197</v>
      </c>
      <c r="Q44" s="164"/>
    </row>
    <row r="45" spans="2:17" s="1" customFormat="1" ht="21" customHeight="1" x14ac:dyDescent="0.3">
      <c r="B45" s="163" t="s">
        <v>198</v>
      </c>
      <c r="H45" s="1" t="s">
        <v>51</v>
      </c>
      <c r="I45" s="100">
        <f>I35*D4^2/32*(8*D3+5*D5)/I40</f>
        <v>14.200362900790692</v>
      </c>
      <c r="J45" s="100"/>
      <c r="K45" s="1" t="s">
        <v>196</v>
      </c>
    </row>
    <row r="46" spans="2:17" s="1" customFormat="1" ht="15" customHeight="1" x14ac:dyDescent="0.3">
      <c r="B46" s="163" t="s">
        <v>199</v>
      </c>
      <c r="I46" s="161"/>
      <c r="J46" s="161">
        <f>-I45</f>
        <v>-14.200362900790692</v>
      </c>
      <c r="K46" s="1" t="s">
        <v>196</v>
      </c>
    </row>
    <row r="47" spans="2:17" s="1" customFormat="1" ht="15" customHeight="1" x14ac:dyDescent="0.3">
      <c r="B47" s="13"/>
      <c r="C47" s="13"/>
      <c r="H47" s="1" t="s">
        <v>51</v>
      </c>
      <c r="I47" s="160">
        <f>-I45*D3</f>
        <v>-85.557186477263926</v>
      </c>
      <c r="J47" s="160"/>
      <c r="K47" s="1" t="s">
        <v>200</v>
      </c>
    </row>
    <row r="48" spans="2:17" s="1" customFormat="1" ht="4.9000000000000004" customHeight="1" x14ac:dyDescent="0.3">
      <c r="I48" s="160"/>
      <c r="J48" s="160"/>
    </row>
    <row r="49" spans="2:26" s="1" customFormat="1" ht="15" customHeight="1" x14ac:dyDescent="0.3">
      <c r="H49" s="1" t="s">
        <v>51</v>
      </c>
      <c r="I49" s="160">
        <f>I35*D4^2/8-I45*(D3+D5)</f>
        <v>59.958443363929575</v>
      </c>
      <c r="J49" s="160"/>
      <c r="K49" s="1" t="s">
        <v>200</v>
      </c>
    </row>
    <row r="50" spans="2:26" s="1" customFormat="1" ht="4.9000000000000004" customHeight="1" x14ac:dyDescent="0.3"/>
    <row r="51" spans="2:26" s="1" customFormat="1" ht="15" customHeight="1" x14ac:dyDescent="0.3">
      <c r="B51" s="44"/>
      <c r="H51" s="1" t="s">
        <v>51</v>
      </c>
      <c r="I51" s="160">
        <f>I44*N51-I45*(D3+2*D5*N51/D4)-I35*N51*N51/2</f>
        <v>-85.557186477263926</v>
      </c>
      <c r="J51" s="160"/>
      <c r="K51" s="1" t="s">
        <v>200</v>
      </c>
      <c r="L51" s="13" t="s">
        <v>201</v>
      </c>
      <c r="M51" s="13" t="s">
        <v>51</v>
      </c>
      <c r="N51" s="165">
        <v>0</v>
      </c>
      <c r="O51" s="13" t="s">
        <v>140</v>
      </c>
    </row>
    <row r="52" spans="2:26" s="1" customFormat="1" ht="15" customHeight="1" x14ac:dyDescent="0.3">
      <c r="B52" s="44"/>
    </row>
    <row r="53" spans="2:26" s="1" customFormat="1" ht="15" customHeight="1" x14ac:dyDescent="0.3">
      <c r="B53" s="162" t="s">
        <v>202</v>
      </c>
      <c r="C53" s="5"/>
      <c r="D53" s="5"/>
      <c r="E53" s="5"/>
      <c r="F53" s="5"/>
    </row>
    <row r="54" spans="2:26" s="1" customFormat="1" ht="15" customHeight="1" x14ac:dyDescent="0.3">
      <c r="B54" s="163" t="s">
        <v>203</v>
      </c>
      <c r="H54" s="1" t="s">
        <v>51</v>
      </c>
      <c r="I54" s="166">
        <f>I36*D4/2</f>
        <v>48</v>
      </c>
      <c r="J54" s="166"/>
      <c r="K54" s="1" t="s">
        <v>196</v>
      </c>
      <c r="P54" s="164" t="s">
        <v>197</v>
      </c>
      <c r="Q54" s="164"/>
    </row>
    <row r="55" spans="2:26" s="1" customFormat="1" ht="21" customHeight="1" x14ac:dyDescent="0.3">
      <c r="B55" s="167" t="s">
        <v>204</v>
      </c>
      <c r="H55" s="1" t="s">
        <v>51</v>
      </c>
      <c r="I55" s="166">
        <f>I36*D4^2/32*(8*D3+5*D5)/I40</f>
        <v>21.300544351186041</v>
      </c>
      <c r="J55" s="166"/>
      <c r="K55" s="1" t="s">
        <v>196</v>
      </c>
    </row>
    <row r="56" spans="2:26" s="1" customFormat="1" ht="15" customHeight="1" x14ac:dyDescent="0.3">
      <c r="B56" s="163" t="s">
        <v>199</v>
      </c>
      <c r="H56" s="1" t="s">
        <v>51</v>
      </c>
      <c r="I56" s="161"/>
      <c r="J56" s="161">
        <f>-I55</f>
        <v>-21.300544351186041</v>
      </c>
    </row>
    <row r="57" spans="2:26" s="1" customFormat="1" ht="15" customHeight="1" x14ac:dyDescent="0.3">
      <c r="B57" s="13"/>
      <c r="C57" s="13"/>
      <c r="H57" s="1" t="s">
        <v>51</v>
      </c>
      <c r="I57" s="168">
        <f>-I55*D3</f>
        <v>-128.33577971589591</v>
      </c>
      <c r="J57" s="168"/>
      <c r="K57" s="1" t="s">
        <v>205</v>
      </c>
    </row>
    <row r="58" spans="2:26" s="1" customFormat="1" ht="6.6" customHeight="1" x14ac:dyDescent="0.3">
      <c r="I58" s="168"/>
      <c r="J58" s="168"/>
    </row>
    <row r="59" spans="2:26" s="1" customFormat="1" ht="15" customHeight="1" x14ac:dyDescent="0.3">
      <c r="H59" s="1" t="s">
        <v>51</v>
      </c>
      <c r="I59" s="168">
        <f>I36*D4^2/8-I55*(D3+D5)</f>
        <v>89.937665045894335</v>
      </c>
      <c r="J59" s="168"/>
      <c r="K59" s="1" t="s">
        <v>200</v>
      </c>
    </row>
    <row r="60" spans="2:26" s="1" customFormat="1" ht="8.4499999999999993" customHeight="1" x14ac:dyDescent="0.3"/>
    <row r="61" spans="2:26" s="1" customFormat="1" ht="15" customHeight="1" x14ac:dyDescent="0.3">
      <c r="B61" s="44"/>
      <c r="H61" s="1" t="s">
        <v>51</v>
      </c>
      <c r="I61" s="160">
        <f>I54*N61-I55*(D3+2*D5*N61/D4)-I36*N61*N61/2</f>
        <v>89.937665045894335</v>
      </c>
      <c r="J61" s="160"/>
      <c r="K61" s="1" t="s">
        <v>200</v>
      </c>
      <c r="L61" s="13" t="s">
        <v>201</v>
      </c>
      <c r="M61" s="13" t="s">
        <v>51</v>
      </c>
      <c r="N61" s="165">
        <v>10</v>
      </c>
      <c r="O61" s="13" t="s">
        <v>140</v>
      </c>
    </row>
    <row r="62" spans="2:26" s="1" customFormat="1" ht="15" customHeight="1" x14ac:dyDescent="0.3">
      <c r="B62" s="44"/>
    </row>
    <row r="63" spans="2:26" s="1" customFormat="1" ht="15" customHeight="1" x14ac:dyDescent="0.3">
      <c r="B63" s="169" t="s">
        <v>206</v>
      </c>
      <c r="C63" s="146" t="s">
        <v>51</v>
      </c>
      <c r="D63" s="170">
        <f>L30*D7</f>
        <v>8.1508229323776042</v>
      </c>
      <c r="E63" s="146" t="s">
        <v>193</v>
      </c>
      <c r="F63" s="125" t="s">
        <v>207</v>
      </c>
      <c r="G63" s="146"/>
      <c r="H63" s="146"/>
      <c r="I63" s="146"/>
      <c r="J63" s="171"/>
    </row>
    <row r="64" spans="2:26" s="1" customFormat="1" ht="15" customHeight="1" x14ac:dyDescent="0.3">
      <c r="B64" s="169" t="s">
        <v>208</v>
      </c>
      <c r="C64" s="146" t="s">
        <v>51</v>
      </c>
      <c r="D64" s="146">
        <f>-L32*D7*COS(D8*PI()/180)</f>
        <v>7.0951197694779742</v>
      </c>
      <c r="E64" s="146" t="s">
        <v>193</v>
      </c>
      <c r="F64" s="125" t="s">
        <v>209</v>
      </c>
      <c r="G64" s="146"/>
      <c r="H64" s="146"/>
      <c r="I64" s="172"/>
      <c r="S64" s="173" t="s">
        <v>210</v>
      </c>
      <c r="T64" s="173"/>
      <c r="U64" s="173"/>
      <c r="V64" s="173"/>
      <c r="W64" s="173"/>
      <c r="X64" s="173"/>
      <c r="Y64" s="173"/>
      <c r="Z64" s="173"/>
    </row>
    <row r="65" spans="1:17" s="1" customFormat="1" ht="15" customHeight="1" x14ac:dyDescent="0.3">
      <c r="B65" s="169" t="s">
        <v>211</v>
      </c>
      <c r="C65" s="146" t="s">
        <v>51</v>
      </c>
      <c r="D65" s="146">
        <f>-L33*D7*COS(D8*PI()/180)</f>
        <v>7.0951197694779742</v>
      </c>
      <c r="E65" s="146" t="s">
        <v>193</v>
      </c>
      <c r="F65" s="125" t="s">
        <v>212</v>
      </c>
      <c r="G65" s="146"/>
      <c r="H65" s="146"/>
      <c r="I65" s="172"/>
    </row>
    <row r="66" spans="1:17" s="1" customFormat="1" ht="15" customHeight="1" x14ac:dyDescent="0.3">
      <c r="B66" s="169" t="s">
        <v>213</v>
      </c>
      <c r="C66" s="146" t="s">
        <v>51</v>
      </c>
      <c r="D66" s="146">
        <f>-L32*D7*SIN(D8*PI()/180)</f>
        <v>0.72406662446471715</v>
      </c>
      <c r="E66" s="146" t="s">
        <v>193</v>
      </c>
      <c r="F66" s="125" t="s">
        <v>214</v>
      </c>
      <c r="G66" s="146"/>
      <c r="H66" s="146"/>
      <c r="I66" s="172"/>
    </row>
    <row r="67" spans="1:17" s="1" customFormat="1" ht="15" customHeight="1" x14ac:dyDescent="0.3">
      <c r="B67" s="169" t="s">
        <v>215</v>
      </c>
      <c r="C67" s="146" t="s">
        <v>51</v>
      </c>
      <c r="D67" s="146">
        <f>-L33*D7*SIN(D8*PI()/180)</f>
        <v>0.72406662446471715</v>
      </c>
      <c r="E67" s="146" t="s">
        <v>193</v>
      </c>
      <c r="F67" s="125" t="s">
        <v>216</v>
      </c>
      <c r="G67" s="146"/>
      <c r="H67" s="146"/>
      <c r="I67" s="172"/>
    </row>
    <row r="68" spans="1:17" ht="15" customHeight="1" x14ac:dyDescent="0.3">
      <c r="A68" s="1"/>
      <c r="B68" s="169" t="s">
        <v>217</v>
      </c>
      <c r="C68" s="146" t="s">
        <v>51</v>
      </c>
      <c r="D68" s="170">
        <f>-L31*D7</f>
        <v>5.0942643327360022</v>
      </c>
      <c r="E68" s="146" t="s">
        <v>193</v>
      </c>
      <c r="F68" s="125" t="s">
        <v>218</v>
      </c>
      <c r="G68" s="146"/>
      <c r="H68" s="146"/>
      <c r="I68" s="172"/>
      <c r="J68" s="1"/>
      <c r="K68" s="1"/>
      <c r="L68" s="1"/>
      <c r="M68" s="1"/>
      <c r="N68" s="1"/>
      <c r="O68" s="1"/>
      <c r="P68" s="1"/>
      <c r="Q68" s="1"/>
    </row>
    <row r="69" spans="1:17" ht="15" customHeight="1" x14ac:dyDescent="0.3">
      <c r="A69" s="1"/>
      <c r="B69" s="169"/>
      <c r="C69" s="146"/>
      <c r="D69" s="170"/>
      <c r="E69" s="146"/>
      <c r="F69" s="125"/>
      <c r="G69" s="146"/>
      <c r="H69" s="146"/>
      <c r="I69" s="172"/>
      <c r="J69" s="1"/>
      <c r="K69" s="1"/>
      <c r="L69" s="1"/>
      <c r="M69" s="1"/>
      <c r="N69" s="1"/>
      <c r="O69" s="1"/>
      <c r="P69" s="1"/>
      <c r="Q69" s="1"/>
    </row>
    <row r="70" spans="1:17" ht="15" customHeight="1" x14ac:dyDescent="0.3">
      <c r="A70" s="1"/>
      <c r="B70" s="174" t="s">
        <v>219</v>
      </c>
      <c r="C70" s="141"/>
      <c r="D70" s="141"/>
      <c r="E70" s="141"/>
      <c r="F70" s="14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 customHeight="1" x14ac:dyDescent="0.3">
      <c r="A71" s="1"/>
      <c r="B71" s="1" t="s">
        <v>220</v>
      </c>
      <c r="C71" s="1"/>
      <c r="D71" s="1"/>
      <c r="E71" s="1"/>
      <c r="F71" s="1"/>
      <c r="G71" s="1"/>
      <c r="H71" s="1"/>
      <c r="I71" s="175">
        <f>-1*D3^2/(2*D4)*(D63+D68)</f>
        <v>-12.020123647579117</v>
      </c>
      <c r="J71" s="176"/>
      <c r="K71" s="1"/>
      <c r="L71" s="1"/>
      <c r="M71" s="1"/>
      <c r="N71" s="1"/>
      <c r="O71" s="1"/>
      <c r="P71" s="164" t="s">
        <v>221</v>
      </c>
      <c r="Q71" s="164"/>
    </row>
    <row r="72" spans="1:17" ht="4.9000000000000004" customHeight="1" x14ac:dyDescent="0.3">
      <c r="A72" s="1"/>
      <c r="B72" s="1"/>
      <c r="C72" s="1"/>
      <c r="D72" s="1"/>
      <c r="E72" s="1"/>
      <c r="F72" s="1"/>
      <c r="G72" s="1"/>
      <c r="H72" s="1"/>
      <c r="I72" s="175"/>
      <c r="J72" s="176"/>
      <c r="K72" s="1"/>
      <c r="L72" s="1"/>
      <c r="M72" s="1"/>
      <c r="N72" s="1"/>
      <c r="O72" s="1"/>
      <c r="P72" s="1"/>
      <c r="Q72" s="1"/>
    </row>
    <row r="73" spans="1:17" ht="15" customHeight="1" x14ac:dyDescent="0.3">
      <c r="A73" s="1"/>
      <c r="B73" s="1" t="s">
        <v>222</v>
      </c>
      <c r="C73" s="1"/>
      <c r="D73" s="1"/>
      <c r="E73" s="1"/>
      <c r="F73" s="1"/>
      <c r="G73" s="1"/>
      <c r="H73" s="1"/>
      <c r="I73" s="175">
        <f>-I71</f>
        <v>12.020123647579117</v>
      </c>
      <c r="J73" s="176"/>
      <c r="K73" s="1"/>
      <c r="L73" s="1"/>
      <c r="M73" s="1"/>
      <c r="N73" s="1"/>
      <c r="O73" s="1"/>
      <c r="P73" s="1"/>
      <c r="Q73" s="1"/>
    </row>
    <row r="74" spans="1:17" ht="7.9" customHeight="1" x14ac:dyDescent="0.3">
      <c r="A74" s="1"/>
      <c r="B74" s="1"/>
      <c r="C74" s="1"/>
      <c r="D74" s="1"/>
      <c r="E74" s="1"/>
      <c r="F74" s="1"/>
      <c r="G74" s="1"/>
      <c r="H74" s="1"/>
      <c r="I74" s="175"/>
      <c r="J74" s="176"/>
      <c r="K74" s="1"/>
      <c r="L74" s="1"/>
      <c r="M74" s="1"/>
      <c r="N74" s="1"/>
      <c r="O74" s="1"/>
      <c r="P74" s="1"/>
      <c r="Q74" s="1"/>
    </row>
    <row r="75" spans="1:17" ht="15" customHeight="1" x14ac:dyDescent="0.3">
      <c r="A75" s="1"/>
      <c r="B75" s="1" t="s">
        <v>223</v>
      </c>
      <c r="C75" s="1"/>
      <c r="D75" s="1"/>
      <c r="E75" s="1"/>
      <c r="F75" s="1"/>
      <c r="G75" s="1"/>
      <c r="H75" s="1"/>
      <c r="I75" s="175">
        <f>-D63*D3+(5*D3*I38+6*(2*D3+D5))/(16*I40)*D3^2*(D63-D68)</f>
        <v>-44.652543904744519</v>
      </c>
      <c r="J75" s="176"/>
      <c r="K75" s="1"/>
      <c r="L75" s="1"/>
      <c r="M75" s="1"/>
      <c r="N75" s="1"/>
      <c r="O75" s="1"/>
      <c r="P75" s="1"/>
      <c r="Q75" s="1"/>
    </row>
    <row r="76" spans="1:17" ht="4.9000000000000004" customHeight="1" x14ac:dyDescent="0.3">
      <c r="A76" s="1"/>
      <c r="B76" s="1"/>
      <c r="C76" s="1"/>
      <c r="D76" s="1"/>
      <c r="E76" s="1"/>
      <c r="F76" s="1"/>
      <c r="G76" s="1"/>
      <c r="H76" s="1"/>
      <c r="I76" s="175"/>
      <c r="J76" s="176"/>
      <c r="K76" s="1"/>
      <c r="L76" s="1"/>
      <c r="M76" s="1"/>
      <c r="N76" s="1"/>
      <c r="O76" s="1"/>
      <c r="P76" s="1"/>
      <c r="Q76" s="1"/>
    </row>
    <row r="77" spans="1:17" ht="15" customHeight="1" x14ac:dyDescent="0.3">
      <c r="A77" s="1"/>
      <c r="B77" s="1" t="s">
        <v>224</v>
      </c>
      <c r="C77" s="1"/>
      <c r="D77" s="1"/>
      <c r="E77" s="1"/>
      <c r="F77" s="1"/>
      <c r="G77" s="1"/>
      <c r="H77" s="1"/>
      <c r="I77" s="175">
        <f>-D68*D3-(5*D3*I38+6*(2*D3+D5))/(16*I40)*D3^2*(D63-D68)</f>
        <v>-35.149106867564967</v>
      </c>
      <c r="J77" s="176"/>
      <c r="K77" s="1"/>
      <c r="L77" s="1"/>
      <c r="M77" s="1"/>
      <c r="N77" s="1"/>
      <c r="O77" s="1"/>
      <c r="P77" s="1"/>
      <c r="Q77" s="1"/>
    </row>
    <row r="78" spans="1:17" ht="15" customHeight="1" x14ac:dyDescent="0.3">
      <c r="A78" s="1"/>
      <c r="B78" s="1"/>
      <c r="C78" s="1"/>
      <c r="D78" s="1"/>
      <c r="E78" s="1"/>
      <c r="F78" s="1"/>
      <c r="G78" s="1"/>
      <c r="H78" s="1"/>
      <c r="I78" s="175"/>
      <c r="J78" s="176"/>
      <c r="K78" s="1"/>
      <c r="L78" s="1"/>
      <c r="M78" s="1"/>
      <c r="N78" s="1"/>
      <c r="O78" s="1"/>
      <c r="P78" s="1"/>
      <c r="Q78" s="1"/>
    </row>
    <row r="79" spans="1:17" ht="15" customHeight="1" x14ac:dyDescent="0.3">
      <c r="A79" s="1"/>
      <c r="B79" s="1" t="s">
        <v>225</v>
      </c>
      <c r="C79" s="1"/>
      <c r="D79" s="1"/>
      <c r="E79" s="1"/>
      <c r="F79" s="1"/>
      <c r="G79" s="1"/>
      <c r="H79" s="1"/>
      <c r="I79" s="175">
        <f>D5*(2*D3+D5)/(2*D4)*(D66-D67)</f>
        <v>0</v>
      </c>
      <c r="J79" s="176"/>
      <c r="K79" s="1"/>
      <c r="L79" s="1"/>
      <c r="M79" s="1"/>
      <c r="N79" s="1"/>
      <c r="O79" s="1"/>
      <c r="P79" s="164" t="s">
        <v>226</v>
      </c>
      <c r="Q79" s="164"/>
    </row>
    <row r="80" spans="1:17" ht="4.9000000000000004" customHeight="1" x14ac:dyDescent="0.3">
      <c r="A80" s="1"/>
      <c r="B80" s="1"/>
      <c r="C80" s="1"/>
      <c r="D80" s="1"/>
      <c r="E80" s="1"/>
      <c r="F80" s="1"/>
      <c r="G80" s="1"/>
      <c r="H80" s="1"/>
      <c r="I80" s="175"/>
      <c r="J80" s="176"/>
      <c r="K80" s="1"/>
      <c r="L80" s="1"/>
      <c r="M80" s="1"/>
      <c r="N80" s="1"/>
      <c r="O80" s="1"/>
      <c r="P80" s="1"/>
      <c r="Q80" s="1"/>
    </row>
    <row r="81" spans="1:17" ht="15" customHeight="1" x14ac:dyDescent="0.3">
      <c r="A81" s="1"/>
      <c r="B81" s="1" t="s">
        <v>227</v>
      </c>
      <c r="C81" s="1"/>
      <c r="D81" s="1"/>
      <c r="E81" s="1"/>
      <c r="F81" s="1"/>
      <c r="G81" s="1"/>
      <c r="H81" s="1"/>
      <c r="I81" s="175">
        <f>-I79</f>
        <v>0</v>
      </c>
      <c r="J81" s="176"/>
      <c r="K81" s="1"/>
      <c r="L81" s="1"/>
      <c r="M81" s="177"/>
      <c r="N81" s="177"/>
      <c r="O81" s="1"/>
      <c r="P81" s="1"/>
      <c r="Q81" s="1"/>
    </row>
    <row r="82" spans="1:17" ht="15" customHeight="1" x14ac:dyDescent="0.3">
      <c r="A82" s="1"/>
      <c r="B82" s="1"/>
      <c r="C82" s="1"/>
      <c r="D82" s="1"/>
      <c r="E82" s="1"/>
      <c r="F82" s="1"/>
      <c r="G82" s="1"/>
      <c r="H82" s="1"/>
      <c r="I82" s="175"/>
      <c r="J82" s="176"/>
      <c r="K82" s="1"/>
      <c r="L82" s="1"/>
      <c r="M82" s="177"/>
      <c r="N82" s="177"/>
      <c r="O82" s="1"/>
      <c r="P82" s="1"/>
      <c r="Q82" s="1"/>
    </row>
    <row r="83" spans="1:17" ht="15" customHeight="1" x14ac:dyDescent="0.3">
      <c r="A83" s="1"/>
      <c r="B83" s="1" t="s">
        <v>228</v>
      </c>
      <c r="C83" s="1"/>
      <c r="D83" s="1"/>
      <c r="E83" s="1"/>
      <c r="F83" s="1"/>
      <c r="G83" s="1"/>
      <c r="H83" s="1"/>
      <c r="I83" s="175">
        <f>D66*D5-(8*D3^2*(I38+3)+5*D5*(4*D3+D5))/(16*I40)*D5*(D66+D67)</f>
        <v>1.7034558982708559E-2</v>
      </c>
      <c r="J83" s="176"/>
      <c r="K83" s="1"/>
      <c r="L83" s="1"/>
      <c r="M83" s="177"/>
      <c r="N83" s="177"/>
      <c r="O83" s="1"/>
      <c r="P83" s="1"/>
      <c r="Q83" s="1"/>
    </row>
    <row r="84" spans="1:17" ht="4.9000000000000004" customHeight="1" x14ac:dyDescent="0.3">
      <c r="A84" s="1"/>
      <c r="B84" s="1"/>
      <c r="C84" s="1"/>
      <c r="D84" s="1"/>
      <c r="E84" s="1"/>
      <c r="F84" s="1"/>
      <c r="G84" s="1"/>
      <c r="H84" s="1"/>
      <c r="I84" s="178"/>
      <c r="J84" s="179"/>
      <c r="K84" s="1"/>
      <c r="L84" s="1"/>
      <c r="M84" s="177"/>
      <c r="N84" s="177"/>
      <c r="O84" s="1"/>
      <c r="P84" s="1"/>
      <c r="Q84" s="1"/>
    </row>
    <row r="85" spans="1:17" ht="15" customHeight="1" x14ac:dyDescent="0.3">
      <c r="A85" s="1"/>
      <c r="B85" s="1" t="s">
        <v>229</v>
      </c>
      <c r="C85" s="1"/>
      <c r="D85" s="1"/>
      <c r="E85" s="1"/>
      <c r="F85" s="1"/>
      <c r="G85" s="1"/>
      <c r="H85" s="1"/>
      <c r="I85" s="175">
        <f>-D67*D5+(8*D3^2*(I38+3)+5*D5*(4*D3+D5))/(16*I40)*D5*(D66+D67)</f>
        <v>-1.7034558982708559E-2</v>
      </c>
      <c r="J85" s="175"/>
      <c r="K85" s="1"/>
      <c r="L85" s="1"/>
      <c r="M85" s="177"/>
      <c r="N85" s="177"/>
      <c r="O85" s="1"/>
      <c r="P85" s="1"/>
      <c r="Q85" s="1"/>
    </row>
    <row r="86" spans="1:17" ht="15" customHeight="1" x14ac:dyDescent="0.3">
      <c r="A86" s="1"/>
      <c r="B86" s="1"/>
      <c r="C86" s="1"/>
      <c r="D86" s="1"/>
      <c r="E86" s="1"/>
      <c r="F86" s="1"/>
      <c r="G86" s="1"/>
      <c r="H86" s="1"/>
      <c r="I86" s="178"/>
      <c r="J86" s="179"/>
      <c r="K86" s="1"/>
      <c r="L86" s="1"/>
      <c r="M86" s="177"/>
      <c r="N86" s="177"/>
      <c r="O86" s="1"/>
      <c r="P86" s="1"/>
      <c r="Q86" s="1"/>
    </row>
    <row r="87" spans="1:17" ht="15" customHeight="1" x14ac:dyDescent="0.3">
      <c r="A87" s="1"/>
      <c r="B87" s="1" t="s">
        <v>230</v>
      </c>
      <c r="C87" s="1"/>
      <c r="D87" s="1"/>
      <c r="E87" s="1"/>
      <c r="F87" s="1"/>
      <c r="G87" s="1"/>
      <c r="H87" s="1"/>
      <c r="I87" s="175">
        <f>3*(-D64)*D4/8</f>
        <v>-53.213398271084806</v>
      </c>
      <c r="J87" s="176"/>
      <c r="K87" s="1"/>
      <c r="L87" s="1"/>
      <c r="M87" s="177"/>
      <c r="N87" s="177"/>
      <c r="O87" s="1"/>
      <c r="P87" s="164" t="s">
        <v>231</v>
      </c>
      <c r="Q87" s="164"/>
    </row>
    <row r="88" spans="1:17" ht="4.9000000000000004" customHeight="1" x14ac:dyDescent="0.3">
      <c r="A88" s="1"/>
      <c r="B88" s="1"/>
      <c r="C88" s="1"/>
      <c r="D88" s="1"/>
      <c r="E88" s="1"/>
      <c r="F88" s="1"/>
      <c r="G88" s="1"/>
      <c r="H88" s="1"/>
      <c r="I88" s="175"/>
      <c r="J88" s="176"/>
      <c r="K88" s="1"/>
      <c r="L88" s="1"/>
      <c r="M88" s="1"/>
      <c r="N88" s="1"/>
      <c r="O88" s="1"/>
      <c r="P88" s="1"/>
      <c r="Q88" s="1"/>
    </row>
    <row r="89" spans="1:17" ht="15" customHeight="1" x14ac:dyDescent="0.3">
      <c r="A89" s="1"/>
      <c r="B89" s="1" t="s">
        <v>232</v>
      </c>
      <c r="C89" s="1"/>
      <c r="D89" s="1"/>
      <c r="E89" s="1"/>
      <c r="F89" s="1"/>
      <c r="G89" s="1"/>
      <c r="H89" s="1"/>
      <c r="I89" s="175">
        <f>(-D64)*D4/8</f>
        <v>-17.737799423694934</v>
      </c>
      <c r="J89" s="176"/>
      <c r="K89" s="1"/>
      <c r="L89" s="1"/>
      <c r="M89" s="177"/>
      <c r="N89" s="177"/>
      <c r="O89" s="1"/>
      <c r="P89" s="1"/>
      <c r="Q89" s="1"/>
    </row>
    <row r="90" spans="1:17" ht="15" customHeight="1" x14ac:dyDescent="0.3">
      <c r="A90" s="1"/>
      <c r="B90" s="1"/>
      <c r="C90" s="1"/>
      <c r="D90" s="1"/>
      <c r="E90" s="1"/>
      <c r="F90" s="1"/>
      <c r="G90" s="1"/>
      <c r="H90" s="1"/>
      <c r="I90" s="143"/>
      <c r="J90" s="143"/>
      <c r="K90" s="1"/>
      <c r="L90" s="1"/>
      <c r="M90" s="1"/>
      <c r="N90" s="1"/>
      <c r="O90" s="1"/>
      <c r="P90" s="1"/>
      <c r="Q90" s="1"/>
    </row>
    <row r="91" spans="1:17" ht="15" customHeight="1" x14ac:dyDescent="0.3">
      <c r="A91" s="1"/>
      <c r="B91" s="1" t="s">
        <v>233</v>
      </c>
      <c r="C91" s="1"/>
      <c r="D91" s="1"/>
      <c r="E91" s="1"/>
      <c r="F91" s="1"/>
      <c r="G91" s="1"/>
      <c r="H91" s="1"/>
      <c r="I91" s="175">
        <f>(-D64)*D4*D4/64*(8*D3+5*D5)/I40</f>
        <v>-15.742699304869005</v>
      </c>
      <c r="J91" s="175"/>
      <c r="K91" s="1"/>
      <c r="L91" s="1"/>
      <c r="M91" s="177"/>
      <c r="N91" s="177"/>
      <c r="O91" s="1"/>
      <c r="P91" s="1"/>
      <c r="Q91" s="1"/>
    </row>
    <row r="92" spans="1:17" ht="4.9000000000000004" customHeight="1" x14ac:dyDescent="0.3">
      <c r="A92" s="1"/>
      <c r="B92" s="1"/>
      <c r="C92" s="1"/>
      <c r="D92" s="1"/>
      <c r="E92" s="1"/>
      <c r="F92" s="1"/>
      <c r="G92" s="1"/>
      <c r="H92" s="1"/>
      <c r="I92" s="175"/>
      <c r="J92" s="176"/>
      <c r="K92" s="1"/>
      <c r="L92" s="1"/>
      <c r="M92" s="180"/>
      <c r="N92" s="180"/>
      <c r="O92" s="1"/>
      <c r="P92" s="1"/>
      <c r="Q92" s="1"/>
    </row>
    <row r="93" spans="1:17" ht="15" customHeight="1" x14ac:dyDescent="0.3">
      <c r="A93" s="1"/>
      <c r="B93" s="1" t="s">
        <v>234</v>
      </c>
      <c r="C93" s="1"/>
      <c r="D93" s="1"/>
      <c r="E93" s="1"/>
      <c r="F93" s="1"/>
      <c r="G93" s="1"/>
      <c r="H93" s="1"/>
      <c r="I93" s="175">
        <f>-I91</f>
        <v>15.742699304869005</v>
      </c>
      <c r="J93" s="175"/>
      <c r="K93" s="1"/>
      <c r="L93" s="1"/>
      <c r="M93" s="177"/>
      <c r="N93" s="177"/>
      <c r="O93" s="1"/>
      <c r="P93" s="1"/>
      <c r="Q93" s="1"/>
    </row>
    <row r="94" spans="1:17" ht="15" customHeight="1" x14ac:dyDescent="0.3">
      <c r="A94" s="1"/>
      <c r="B94" s="1"/>
      <c r="C94" s="1"/>
      <c r="D94" s="1"/>
      <c r="E94" s="1"/>
      <c r="F94" s="1"/>
      <c r="G94" s="1"/>
      <c r="H94" s="1"/>
      <c r="I94" s="175"/>
      <c r="J94" s="175"/>
      <c r="K94" s="1"/>
      <c r="L94" s="1"/>
      <c r="M94" s="1"/>
      <c r="N94" s="1"/>
      <c r="O94" s="1"/>
      <c r="P94" s="1"/>
      <c r="Q94" s="1"/>
    </row>
    <row r="95" spans="1:17" ht="15" customHeight="1" x14ac:dyDescent="0.3">
      <c r="A95" s="1"/>
      <c r="B95" s="1" t="s">
        <v>235</v>
      </c>
      <c r="C95" s="1"/>
      <c r="D95" s="1"/>
      <c r="E95" s="1"/>
      <c r="F95" s="1"/>
      <c r="G95" s="1"/>
      <c r="H95" s="1"/>
      <c r="I95" s="175">
        <f>3*(-D65)*D4/8</f>
        <v>-53.213398271084806</v>
      </c>
      <c r="J95" s="176"/>
      <c r="K95" s="1"/>
      <c r="L95" s="1"/>
      <c r="M95" s="1"/>
      <c r="N95" s="1"/>
      <c r="O95" s="1"/>
      <c r="P95" s="164" t="s">
        <v>231</v>
      </c>
      <c r="Q95" s="164"/>
    </row>
    <row r="96" spans="1:17" ht="4.9000000000000004" customHeight="1" x14ac:dyDescent="0.3">
      <c r="A96" s="1"/>
      <c r="B96" s="1"/>
      <c r="C96" s="1"/>
      <c r="D96" s="1"/>
      <c r="E96" s="1"/>
      <c r="F96" s="1"/>
      <c r="G96" s="1"/>
      <c r="H96" s="1"/>
      <c r="I96" s="175"/>
      <c r="J96" s="176"/>
      <c r="K96" s="1"/>
      <c r="L96" s="1"/>
      <c r="M96" s="1"/>
      <c r="N96" s="1"/>
      <c r="O96" s="1"/>
      <c r="P96" s="1"/>
      <c r="Q96" s="1"/>
    </row>
    <row r="97" spans="1:27" ht="15" customHeight="1" x14ac:dyDescent="0.3">
      <c r="A97" s="1"/>
      <c r="B97" s="1" t="s">
        <v>236</v>
      </c>
      <c r="C97" s="1"/>
      <c r="D97" s="1"/>
      <c r="E97" s="1"/>
      <c r="F97" s="1"/>
      <c r="G97" s="1"/>
      <c r="H97" s="1"/>
      <c r="I97" s="175">
        <f>(-D65)*D4/8</f>
        <v>-17.737799423694934</v>
      </c>
      <c r="J97" s="176"/>
      <c r="K97" s="1"/>
      <c r="L97" s="1"/>
      <c r="M97" s="1"/>
      <c r="N97" s="1"/>
      <c r="O97" s="1"/>
      <c r="P97" s="1"/>
      <c r="Q97" s="1"/>
    </row>
    <row r="98" spans="1:27" ht="15" customHeight="1" x14ac:dyDescent="0.3">
      <c r="A98" s="1"/>
      <c r="B98" s="1"/>
      <c r="C98" s="1"/>
      <c r="D98" s="1"/>
      <c r="E98" s="1"/>
      <c r="F98" s="1"/>
      <c r="G98" s="1"/>
      <c r="H98" s="1"/>
      <c r="I98" s="143"/>
      <c r="J98" s="143"/>
      <c r="K98" s="1"/>
      <c r="L98" s="1"/>
      <c r="M98" s="1"/>
      <c r="N98" s="1"/>
      <c r="O98" s="1"/>
      <c r="P98" s="1"/>
      <c r="Q98" s="1"/>
    </row>
    <row r="99" spans="1:27" ht="15" customHeight="1" x14ac:dyDescent="0.3">
      <c r="A99" s="1"/>
      <c r="B99" s="1" t="s">
        <v>237</v>
      </c>
      <c r="C99" s="1"/>
      <c r="D99" s="1"/>
      <c r="E99" s="1"/>
      <c r="F99" s="1"/>
      <c r="G99" s="1"/>
      <c r="H99" s="1"/>
      <c r="I99" s="175">
        <f>-(-D65)*D4*D4/64*(8*D3+5*D5)/I40</f>
        <v>15.742699304869005</v>
      </c>
      <c r="J99" s="175"/>
      <c r="K99" s="1"/>
      <c r="L99" s="1"/>
      <c r="M99" s="1"/>
      <c r="N99" s="1"/>
      <c r="O99" s="1"/>
      <c r="P99" s="1"/>
      <c r="Q99" s="1"/>
    </row>
    <row r="100" spans="1:27" ht="4.9000000000000004" customHeight="1" x14ac:dyDescent="0.3">
      <c r="A100" s="1"/>
      <c r="B100" s="1"/>
      <c r="C100" s="1"/>
      <c r="D100" s="1"/>
      <c r="E100" s="1"/>
      <c r="F100" s="1"/>
      <c r="G100" s="1"/>
      <c r="H100" s="1"/>
      <c r="I100" s="175"/>
      <c r="J100" s="176"/>
      <c r="K100" s="1"/>
      <c r="L100" s="1"/>
      <c r="M100" s="1"/>
      <c r="N100" s="1"/>
      <c r="O100" s="1"/>
      <c r="P100" s="1"/>
      <c r="Q100" s="1"/>
    </row>
    <row r="101" spans="1:27" ht="15" customHeight="1" x14ac:dyDescent="0.3">
      <c r="A101" s="1"/>
      <c r="B101" s="1" t="s">
        <v>238</v>
      </c>
      <c r="C101" s="1"/>
      <c r="D101" s="1"/>
      <c r="E101" s="1"/>
      <c r="F101" s="1"/>
      <c r="G101" s="1"/>
      <c r="H101" s="1"/>
      <c r="I101" s="175">
        <f>-I99</f>
        <v>-15.742699304869005</v>
      </c>
      <c r="J101" s="175"/>
      <c r="K101" s="1"/>
      <c r="L101" s="1"/>
      <c r="M101" s="1"/>
      <c r="N101" s="1"/>
      <c r="O101" s="1"/>
      <c r="P101" s="1"/>
      <c r="Q101" s="1"/>
    </row>
    <row r="102" spans="1:27" ht="15" customHeight="1" x14ac:dyDescent="0.3">
      <c r="A102" s="1"/>
      <c r="B102" s="181" t="s">
        <v>239</v>
      </c>
      <c r="C102" s="15"/>
      <c r="D102" s="1"/>
      <c r="E102" s="1"/>
      <c r="F102" s="1"/>
      <c r="G102" s="1" t="s">
        <v>139</v>
      </c>
      <c r="H102" s="1"/>
      <c r="I102" s="182">
        <f>I71+I79+I87+I97</f>
        <v>-82.971321342358863</v>
      </c>
      <c r="J102" s="183"/>
      <c r="K102" s="1"/>
      <c r="L102" s="1"/>
      <c r="M102" s="1"/>
      <c r="N102" s="1"/>
      <c r="O102" s="1"/>
      <c r="P102" s="1"/>
      <c r="Q102" s="1"/>
      <c r="R102" s="1"/>
    </row>
    <row r="103" spans="1:27" ht="15" customHeight="1" x14ac:dyDescent="0.3">
      <c r="A103" s="1"/>
      <c r="B103" s="181" t="s">
        <v>240</v>
      </c>
      <c r="C103" s="15"/>
      <c r="D103" s="1"/>
      <c r="E103" s="1"/>
      <c r="F103" s="1"/>
      <c r="G103" s="1" t="s">
        <v>139</v>
      </c>
      <c r="H103" s="1"/>
      <c r="I103" s="182">
        <f>I73+I81+I89+I95</f>
        <v>-58.931074047200624</v>
      </c>
      <c r="J103" s="183"/>
      <c r="K103" s="1"/>
      <c r="L103" s="1"/>
      <c r="M103" s="1"/>
      <c r="N103" s="1"/>
      <c r="O103" s="1"/>
      <c r="P103" s="1"/>
      <c r="Q103" s="1"/>
      <c r="R103" s="1"/>
    </row>
    <row r="104" spans="1:27" ht="15" customHeight="1" x14ac:dyDescent="0.3">
      <c r="A104" s="1"/>
      <c r="B104" s="181" t="s">
        <v>241</v>
      </c>
      <c r="C104" s="15"/>
      <c r="D104" s="1"/>
      <c r="E104" s="1"/>
      <c r="F104" s="1"/>
      <c r="G104" s="1" t="s">
        <v>242</v>
      </c>
      <c r="H104" s="1"/>
      <c r="I104" s="182">
        <f>I75+I83+I91+I101</f>
        <v>-76.120907955499817</v>
      </c>
      <c r="J104" s="182"/>
      <c r="K104" s="1"/>
      <c r="L104" s="1"/>
      <c r="M104" s="1"/>
      <c r="N104" s="1"/>
      <c r="O104" s="1"/>
      <c r="P104" s="1"/>
      <c r="Q104" s="1"/>
      <c r="R104" s="1"/>
    </row>
    <row r="105" spans="1:27" ht="15" customHeight="1" x14ac:dyDescent="0.3">
      <c r="A105" s="1"/>
      <c r="B105" s="181" t="s">
        <v>243</v>
      </c>
      <c r="C105" s="15"/>
      <c r="D105" s="1"/>
      <c r="E105" s="1"/>
      <c r="F105" s="1"/>
      <c r="G105" s="1" t="s">
        <v>139</v>
      </c>
      <c r="H105" s="1"/>
      <c r="I105" s="182">
        <f>I77+I85+I93+I99</f>
        <v>-3.6807428168096639</v>
      </c>
      <c r="J105" s="182"/>
      <c r="K105" s="1"/>
      <c r="L105" s="1"/>
      <c r="M105" s="1"/>
      <c r="N105" s="1"/>
      <c r="O105" s="1"/>
      <c r="P105" s="1"/>
      <c r="Q105" s="1"/>
      <c r="R105" s="1"/>
    </row>
    <row r="106" spans="1:27" ht="15" customHeight="1" x14ac:dyDescent="0.3">
      <c r="A106" s="1"/>
      <c r="B106" s="1"/>
      <c r="C106" s="1"/>
      <c r="D106" s="1"/>
      <c r="E106" s="1"/>
      <c r="F106" s="1"/>
      <c r="G106" s="1"/>
      <c r="H106" s="1"/>
      <c r="I106" s="182"/>
      <c r="J106" s="183"/>
      <c r="K106" s="1"/>
      <c r="L106" s="1"/>
      <c r="M106" s="1"/>
      <c r="N106" s="1"/>
      <c r="O106" s="1"/>
      <c r="P106" s="1"/>
      <c r="Q106" s="1"/>
      <c r="R106" s="1"/>
    </row>
    <row r="107" spans="1:27" ht="15" customHeight="1" x14ac:dyDescent="0.3">
      <c r="A107" s="1"/>
      <c r="B107" s="1"/>
      <c r="C107" s="1"/>
      <c r="D107" s="1"/>
      <c r="E107" s="1"/>
      <c r="F107" s="1"/>
      <c r="G107" s="1" t="s">
        <v>139</v>
      </c>
      <c r="H107" s="1"/>
      <c r="I107" s="182">
        <f>-I104*D3-D63*D3^2/2</f>
        <v>310.6884870770665</v>
      </c>
      <c r="J107" s="183"/>
      <c r="K107" s="1" t="s">
        <v>200</v>
      </c>
      <c r="L107" s="1"/>
      <c r="M107" s="1"/>
      <c r="N107" s="1"/>
      <c r="O107" s="1"/>
      <c r="P107" s="1"/>
      <c r="Q107" s="1"/>
      <c r="R107" s="1"/>
    </row>
    <row r="108" spans="1:27" ht="1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27" ht="15" customHeight="1" x14ac:dyDescent="0.3">
      <c r="A109" s="1"/>
      <c r="B109" s="1"/>
      <c r="C109" s="1"/>
      <c r="D109" s="1"/>
      <c r="E109" s="1"/>
      <c r="F109" s="1"/>
      <c r="G109" s="1"/>
      <c r="H109" s="1" t="s">
        <v>244</v>
      </c>
      <c r="I109" s="184">
        <f>-I104*(D3+D5)+I102*D4/2-D63*D3*(D3/2+D5)+D64*D6^2/2</f>
        <v>-133.02541278485768</v>
      </c>
      <c r="J109" s="185"/>
      <c r="K109" s="1" t="s">
        <v>200</v>
      </c>
      <c r="L109" s="1"/>
      <c r="M109" s="1"/>
      <c r="N109" s="1"/>
      <c r="O109" s="1"/>
      <c r="P109" s="1"/>
      <c r="Q109" s="1"/>
      <c r="R109" s="1"/>
    </row>
    <row r="110" spans="1:27" ht="1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27" ht="15" customHeight="1" x14ac:dyDescent="0.3">
      <c r="A111" s="1"/>
      <c r="B111" s="1"/>
      <c r="C111" s="1"/>
      <c r="D111" s="1"/>
      <c r="E111" s="1"/>
      <c r="F111" s="1"/>
      <c r="G111" s="1" t="s">
        <v>139</v>
      </c>
      <c r="H111" s="1"/>
      <c r="I111" s="182">
        <f>I105*D3+D68*D3^2/2</f>
        <v>70.286014125484201</v>
      </c>
      <c r="J111" s="183"/>
      <c r="K111" s="1" t="s">
        <v>200</v>
      </c>
      <c r="L111" s="1"/>
      <c r="M111" s="1"/>
      <c r="N111" s="1"/>
      <c r="O111" s="1"/>
      <c r="P111" s="1"/>
      <c r="Q111" s="1"/>
      <c r="R111" s="1"/>
      <c r="T111" s="173" t="s">
        <v>245</v>
      </c>
      <c r="U111" s="173"/>
      <c r="V111" s="173"/>
      <c r="W111" s="173"/>
      <c r="X111" s="173"/>
      <c r="Y111" s="173"/>
      <c r="Z111" s="173"/>
      <c r="AA111" s="173"/>
    </row>
    <row r="112" spans="1:27" ht="15" customHeight="1" x14ac:dyDescent="0.3">
      <c r="A112" s="1"/>
      <c r="B112" s="1"/>
      <c r="C112" s="1"/>
      <c r="D112" s="1"/>
      <c r="E112" s="1"/>
      <c r="F112" s="1"/>
      <c r="G112" s="1"/>
      <c r="H112" s="1"/>
      <c r="I112" s="186"/>
      <c r="J112" s="44"/>
      <c r="K112" s="1"/>
      <c r="L112" s="1"/>
      <c r="M112" s="1"/>
      <c r="N112" s="1"/>
      <c r="O112" s="1"/>
      <c r="P112" s="1"/>
      <c r="Q112" s="1"/>
      <c r="R112" s="1"/>
      <c r="T112" s="187"/>
      <c r="U112" s="187"/>
      <c r="V112" s="187"/>
      <c r="W112" s="187"/>
      <c r="X112" s="187"/>
      <c r="Y112" s="187"/>
      <c r="Z112" s="187"/>
      <c r="AA112" s="187"/>
    </row>
    <row r="113" spans="1:18" ht="15" customHeight="1" x14ac:dyDescent="0.3">
      <c r="A113" s="1"/>
      <c r="B113" s="5" t="s">
        <v>246</v>
      </c>
      <c r="C113" s="1"/>
      <c r="D113" s="1"/>
      <c r="E113" s="1"/>
      <c r="F113" s="1"/>
      <c r="G113" s="1"/>
      <c r="H113" s="1"/>
      <c r="I113" s="182"/>
      <c r="J113" s="183"/>
      <c r="K113" s="1"/>
      <c r="L113" s="1"/>
      <c r="M113" s="1"/>
      <c r="N113" s="1"/>
      <c r="O113" s="188" t="s">
        <v>247</v>
      </c>
      <c r="P113" s="188"/>
      <c r="Q113" s="1"/>
      <c r="R113" s="1"/>
    </row>
    <row r="114" spans="1:18" s="1" customFormat="1" ht="15" customHeight="1" x14ac:dyDescent="0.3">
      <c r="B114" s="31" t="s">
        <v>248</v>
      </c>
      <c r="C114" s="31" t="s">
        <v>249</v>
      </c>
      <c r="D114" s="31"/>
      <c r="E114" s="31"/>
      <c r="F114" s="31"/>
      <c r="G114" s="31" t="s">
        <v>156</v>
      </c>
      <c r="H114" s="31"/>
      <c r="I114" s="189" t="s">
        <v>250</v>
      </c>
      <c r="J114" s="189"/>
      <c r="K114" s="31" t="s">
        <v>251</v>
      </c>
      <c r="L114" s="31"/>
      <c r="M114" s="31" t="s">
        <v>252</v>
      </c>
      <c r="N114" s="31"/>
      <c r="O114" s="31"/>
      <c r="P114" s="31"/>
    </row>
    <row r="115" spans="1:18" s="1" customFormat="1" ht="15" customHeight="1" x14ac:dyDescent="0.3">
      <c r="B115" s="31"/>
      <c r="C115" s="31" t="s">
        <v>253</v>
      </c>
      <c r="D115" s="31"/>
      <c r="E115" s="31" t="s">
        <v>254</v>
      </c>
      <c r="F115" s="31"/>
      <c r="G115" s="31" t="s">
        <v>254</v>
      </c>
      <c r="H115" s="31"/>
      <c r="I115" s="189" t="s">
        <v>254</v>
      </c>
      <c r="J115" s="31"/>
      <c r="K115" s="31" t="s">
        <v>254</v>
      </c>
      <c r="L115" s="31"/>
      <c r="M115" s="31" t="s">
        <v>253</v>
      </c>
      <c r="N115" s="31"/>
      <c r="O115" s="31" t="s">
        <v>255</v>
      </c>
      <c r="P115" s="31"/>
    </row>
    <row r="116" spans="1:18" s="1" customFormat="1" ht="15" customHeight="1" x14ac:dyDescent="0.3">
      <c r="B116" s="190" t="s">
        <v>256</v>
      </c>
      <c r="C116" s="105">
        <f>-I44</f>
        <v>-32</v>
      </c>
      <c r="D116" s="105"/>
      <c r="E116" s="105">
        <v>0</v>
      </c>
      <c r="F116" s="105"/>
      <c r="G116" s="105">
        <f>I47</f>
        <v>-85.557186477263926</v>
      </c>
      <c r="H116" s="105"/>
      <c r="I116" s="105">
        <f>I49</f>
        <v>59.958443363929575</v>
      </c>
      <c r="J116" s="105"/>
      <c r="K116" s="105">
        <f>I47</f>
        <v>-85.557186477263926</v>
      </c>
      <c r="L116" s="105"/>
      <c r="M116" s="105">
        <f>-I44</f>
        <v>-32</v>
      </c>
      <c r="N116" s="105"/>
      <c r="O116" s="105">
        <v>0</v>
      </c>
      <c r="P116" s="105"/>
    </row>
    <row r="117" spans="1:18" s="1" customFormat="1" ht="15" customHeight="1" x14ac:dyDescent="0.3">
      <c r="B117" s="190" t="s">
        <v>257</v>
      </c>
      <c r="C117" s="105">
        <f>-I54</f>
        <v>-48</v>
      </c>
      <c r="D117" s="105"/>
      <c r="E117" s="105">
        <v>0</v>
      </c>
      <c r="F117" s="105"/>
      <c r="G117" s="105">
        <f>I57</f>
        <v>-128.33577971589591</v>
      </c>
      <c r="H117" s="105"/>
      <c r="I117" s="105">
        <f>I59</f>
        <v>89.937665045894335</v>
      </c>
      <c r="J117" s="105"/>
      <c r="K117" s="105">
        <f>I57</f>
        <v>-128.33577971589591</v>
      </c>
      <c r="L117" s="105"/>
      <c r="M117" s="105">
        <f>-I54</f>
        <v>-48</v>
      </c>
      <c r="N117" s="105"/>
      <c r="O117" s="105">
        <v>0</v>
      </c>
      <c r="P117" s="105"/>
    </row>
    <row r="118" spans="1:18" s="1" customFormat="1" ht="15" customHeight="1" x14ac:dyDescent="0.3">
      <c r="B118" s="190" t="s">
        <v>258</v>
      </c>
      <c r="C118" s="105">
        <f>-I102</f>
        <v>82.971321342358863</v>
      </c>
      <c r="D118" s="105"/>
      <c r="E118" s="105">
        <v>0</v>
      </c>
      <c r="F118" s="105"/>
      <c r="G118" s="105">
        <f>I107</f>
        <v>310.6884870770665</v>
      </c>
      <c r="H118" s="105"/>
      <c r="I118" s="105">
        <f>I109</f>
        <v>-133.02541278485768</v>
      </c>
      <c r="J118" s="105"/>
      <c r="K118" s="105">
        <f>I111</f>
        <v>70.286014125484201</v>
      </c>
      <c r="L118" s="105"/>
      <c r="M118" s="105">
        <f>-I103</f>
        <v>58.931074047200624</v>
      </c>
      <c r="N118" s="105"/>
      <c r="O118" s="105">
        <v>0</v>
      </c>
      <c r="P118" s="105"/>
    </row>
    <row r="119" spans="1:18" s="1" customFormat="1" ht="15" customHeight="1" x14ac:dyDescent="0.3">
      <c r="B119" s="190" t="s">
        <v>259</v>
      </c>
      <c r="C119" s="105">
        <f>1.2*C116+1.6*C117</f>
        <v>-115.20000000000002</v>
      </c>
      <c r="D119" s="105"/>
      <c r="E119" s="105">
        <f>1.2*E116+1.6*E117</f>
        <v>0</v>
      </c>
      <c r="F119" s="105"/>
      <c r="G119" s="105">
        <f>1.2*G116+1.6*G117</f>
        <v>-308.00587131815018</v>
      </c>
      <c r="H119" s="105"/>
      <c r="I119" s="105">
        <f>1.2*I116+1.6*I117</f>
        <v>215.85039611014645</v>
      </c>
      <c r="J119" s="105"/>
      <c r="K119" s="105">
        <f>1.2*K116+1.6*K117</f>
        <v>-308.00587131815018</v>
      </c>
      <c r="L119" s="105"/>
      <c r="M119" s="105">
        <f>1.2*M116+1.6*M117</f>
        <v>-115.20000000000002</v>
      </c>
      <c r="N119" s="105"/>
      <c r="O119" s="105">
        <f>1.2*O116+1.6*O117</f>
        <v>0</v>
      </c>
      <c r="P119" s="105"/>
    </row>
    <row r="120" spans="1:18" s="1" customFormat="1" ht="15" customHeight="1" x14ac:dyDescent="0.3">
      <c r="B120" s="191" t="s">
        <v>260</v>
      </c>
      <c r="C120" s="105">
        <f>1.2*C116+1.6*C117+0.8*C118</f>
        <v>-48.82294292611293</v>
      </c>
      <c r="D120" s="105"/>
      <c r="E120" s="105">
        <f>1.2*E116+1.6*E117+0.8*E118</f>
        <v>0</v>
      </c>
      <c r="F120" s="105"/>
      <c r="G120" s="105">
        <f>1.2*G116+1.6*G117+0.8*G118</f>
        <v>-59.455081656496986</v>
      </c>
      <c r="H120" s="105"/>
      <c r="I120" s="105">
        <f>1.2*I116+1.6*I117+0.8*I118</f>
        <v>109.43006588226029</v>
      </c>
      <c r="J120" s="105"/>
      <c r="K120" s="105">
        <f>1.2*K116+1.6*K117+0.8*K118</f>
        <v>-251.77706001776284</v>
      </c>
      <c r="L120" s="105"/>
      <c r="M120" s="105">
        <f>1.2*M116+1.6*M117+0.8*M118</f>
        <v>-68.055140762239517</v>
      </c>
      <c r="N120" s="105"/>
      <c r="O120" s="105">
        <f>1.2*O116+1.6*O117+0.8*O118</f>
        <v>0</v>
      </c>
      <c r="P120" s="105"/>
    </row>
    <row r="121" spans="1:18" s="1" customFormat="1" ht="15" customHeight="1" x14ac:dyDescent="0.3">
      <c r="B121" s="190" t="s">
        <v>261</v>
      </c>
      <c r="C121" s="105">
        <f>0.9*C116+1.6*C118</f>
        <v>103.95411414777418</v>
      </c>
      <c r="D121" s="105"/>
      <c r="E121" s="105">
        <f>0.9*E116+1.6*E118</f>
        <v>0</v>
      </c>
      <c r="F121" s="105"/>
      <c r="G121" s="105">
        <f>0.9*G116+1.6*G118</f>
        <v>420.10011149376885</v>
      </c>
      <c r="H121" s="105"/>
      <c r="I121" s="105">
        <f>0.9*I116+1.6*I118</f>
        <v>-158.8780614282357</v>
      </c>
      <c r="J121" s="105"/>
      <c r="K121" s="105">
        <f>0.9*K116+1.6*K118</f>
        <v>35.456154771237195</v>
      </c>
      <c r="L121" s="105"/>
      <c r="M121" s="105">
        <f>0.9*M116+1.6*M118</f>
        <v>65.489718475521002</v>
      </c>
      <c r="N121" s="105"/>
      <c r="O121" s="105">
        <f>0.9*O116+1.6*O118</f>
        <v>0</v>
      </c>
      <c r="P121" s="105"/>
    </row>
    <row r="122" spans="1:18" s="1" customFormat="1" ht="15" customHeight="1" x14ac:dyDescent="0.3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1:18" s="1" customFormat="1" ht="15" customHeight="1" x14ac:dyDescent="0.3"/>
    <row r="124" spans="1:18" s="1" customFormat="1" ht="15" customHeight="1" x14ac:dyDescent="0.3">
      <c r="I124" s="182"/>
      <c r="J124" s="183"/>
    </row>
    <row r="125" spans="1:18" s="1" customFormat="1" ht="15" customHeight="1" x14ac:dyDescent="0.3"/>
    <row r="126" spans="1:18" s="1" customFormat="1" ht="15" customHeight="1" x14ac:dyDescent="0.3">
      <c r="I126" s="182"/>
      <c r="J126" s="183"/>
    </row>
    <row r="127" spans="1:18" s="1" customFormat="1" ht="15" customHeight="1" x14ac:dyDescent="0.3">
      <c r="I127" s="192"/>
      <c r="J127" s="183"/>
    </row>
    <row r="128" spans="1:18" s="1" customFormat="1" ht="15" customHeight="1" x14ac:dyDescent="0.3">
      <c r="I128" s="192"/>
      <c r="J128" s="183"/>
    </row>
    <row r="129" spans="9:10" s="1" customFormat="1" ht="15" customHeight="1" x14ac:dyDescent="0.3">
      <c r="I129" s="192"/>
      <c r="J129" s="183"/>
    </row>
    <row r="130" spans="9:10" s="1" customFormat="1" ht="15" customHeight="1" x14ac:dyDescent="0.3">
      <c r="I130" s="192"/>
      <c r="J130" s="183"/>
    </row>
    <row r="131" spans="9:10" s="1" customFormat="1" ht="15" customHeight="1" x14ac:dyDescent="0.3"/>
    <row r="132" spans="9:10" s="1" customFormat="1" ht="15" customHeight="1" x14ac:dyDescent="0.3"/>
    <row r="133" spans="9:10" s="1" customFormat="1" ht="15" customHeight="1" x14ac:dyDescent="0.3"/>
    <row r="134" spans="9:10" s="1" customFormat="1" ht="15" customHeight="1" x14ac:dyDescent="0.3"/>
    <row r="135" spans="9:10" s="1" customFormat="1" ht="15" customHeight="1" x14ac:dyDescent="0.3"/>
    <row r="136" spans="9:10" s="1" customFormat="1" ht="15" customHeight="1" x14ac:dyDescent="0.3"/>
    <row r="137" spans="9:10" s="1" customFormat="1" ht="15" customHeight="1" x14ac:dyDescent="0.3"/>
    <row r="138" spans="9:10" s="1" customFormat="1" ht="15" customHeight="1" x14ac:dyDescent="0.3"/>
    <row r="139" spans="9:10" s="1" customFormat="1" ht="15" customHeight="1" x14ac:dyDescent="0.3"/>
    <row r="140" spans="9:10" s="1" customFormat="1" ht="15" customHeight="1" x14ac:dyDescent="0.3"/>
    <row r="141" spans="9:10" s="1" customFormat="1" ht="15" customHeight="1" x14ac:dyDescent="0.3"/>
    <row r="142" spans="9:10" ht="11.25" customHeight="1" x14ac:dyDescent="0.3"/>
    <row r="143" spans="9:10" ht="11.25" customHeight="1" x14ac:dyDescent="0.3"/>
    <row r="144" spans="9:10" ht="11.25" customHeight="1" x14ac:dyDescent="0.3"/>
    <row r="145" ht="11.25" customHeight="1" x14ac:dyDescent="0.3"/>
    <row r="146" ht="11.25" customHeight="1" x14ac:dyDescent="0.3"/>
    <row r="147" ht="11.25" customHeight="1" x14ac:dyDescent="0.3"/>
    <row r="148" ht="11.25" customHeight="1" x14ac:dyDescent="0.3"/>
    <row r="149" ht="11.25" customHeight="1" x14ac:dyDescent="0.3"/>
    <row r="150" ht="11.25" customHeight="1" x14ac:dyDescent="0.3"/>
    <row r="151" ht="11.25" customHeight="1" x14ac:dyDescent="0.3"/>
    <row r="152" ht="11.25" customHeight="1" x14ac:dyDescent="0.3"/>
    <row r="153" ht="11.25" customHeight="1" x14ac:dyDescent="0.3"/>
    <row r="154" ht="11.25" customHeight="1" x14ac:dyDescent="0.3"/>
    <row r="155" ht="11.25" customHeight="1" x14ac:dyDescent="0.3"/>
    <row r="156" ht="11.25" customHeight="1" x14ac:dyDescent="0.3"/>
    <row r="157" ht="11.25" customHeight="1" x14ac:dyDescent="0.3"/>
    <row r="158" ht="11.25" customHeight="1" x14ac:dyDescent="0.3"/>
    <row r="159" ht="11.25" customHeight="1" x14ac:dyDescent="0.3"/>
    <row r="160" ht="11.25" customHeight="1" x14ac:dyDescent="0.3"/>
    <row r="161" ht="11.25" customHeight="1" x14ac:dyDescent="0.3"/>
    <row r="162" ht="11.25" customHeight="1" x14ac:dyDescent="0.3"/>
    <row r="163" ht="11.25" customHeight="1" x14ac:dyDescent="0.3"/>
    <row r="164" ht="11.25" customHeight="1" x14ac:dyDescent="0.3"/>
    <row r="165" ht="11.25" customHeight="1" x14ac:dyDescent="0.3"/>
    <row r="166" ht="11.25" customHeight="1" x14ac:dyDescent="0.3"/>
    <row r="167" ht="11.25" customHeight="1" x14ac:dyDescent="0.3"/>
    <row r="168" ht="11.25" customHeight="1" x14ac:dyDescent="0.3"/>
    <row r="169" ht="11.25" customHeight="1" x14ac:dyDescent="0.3"/>
    <row r="170" ht="11.25" customHeight="1" x14ac:dyDescent="0.3"/>
    <row r="171" ht="11.25" customHeight="1" x14ac:dyDescent="0.3"/>
    <row r="172" ht="11.25" customHeight="1" x14ac:dyDescent="0.3"/>
    <row r="173" ht="11.25" customHeight="1" x14ac:dyDescent="0.3"/>
    <row r="174" ht="11.25" customHeight="1" x14ac:dyDescent="0.3"/>
    <row r="175" ht="11.25" customHeight="1" x14ac:dyDescent="0.3"/>
    <row r="176" ht="11.25" customHeight="1" x14ac:dyDescent="0.3"/>
    <row r="177" ht="11.25" customHeight="1" x14ac:dyDescent="0.3"/>
    <row r="178" ht="11.25" customHeight="1" x14ac:dyDescent="0.3"/>
    <row r="179" ht="11.25" customHeight="1" x14ac:dyDescent="0.3"/>
    <row r="180" ht="11.25" customHeight="1" x14ac:dyDescent="0.3"/>
    <row r="181" ht="11.25" customHeight="1" x14ac:dyDescent="0.3"/>
    <row r="182" ht="11.25" customHeight="1" x14ac:dyDescent="0.3"/>
    <row r="183" ht="11.25" customHeight="1" x14ac:dyDescent="0.3"/>
    <row r="184" ht="11.25" customHeight="1" x14ac:dyDescent="0.3"/>
    <row r="185" ht="11.25" customHeight="1" x14ac:dyDescent="0.3"/>
    <row r="186" ht="11.25" customHeight="1" x14ac:dyDescent="0.3"/>
    <row r="187" ht="11.25" customHeight="1" x14ac:dyDescent="0.3"/>
    <row r="188" ht="11.25" customHeight="1" x14ac:dyDescent="0.3"/>
    <row r="189" ht="11.25" customHeight="1" x14ac:dyDescent="0.3"/>
    <row r="190" ht="11.25" customHeight="1" x14ac:dyDescent="0.3"/>
    <row r="191" ht="11.25" customHeight="1" x14ac:dyDescent="0.3"/>
    <row r="192" ht="11.25" customHeight="1" x14ac:dyDescent="0.3"/>
    <row r="193" ht="11.25" customHeight="1" x14ac:dyDescent="0.3"/>
    <row r="194" ht="11.25" customHeight="1" x14ac:dyDescent="0.3"/>
    <row r="195" ht="11.25" customHeight="1" x14ac:dyDescent="0.3"/>
    <row r="196" ht="11.25" customHeight="1" x14ac:dyDescent="0.3"/>
    <row r="197" ht="11.25" customHeight="1" x14ac:dyDescent="0.3"/>
    <row r="198" ht="11.25" customHeight="1" x14ac:dyDescent="0.3"/>
    <row r="199" ht="11.25" customHeight="1" x14ac:dyDescent="0.3"/>
    <row r="200" ht="11.25" customHeight="1" x14ac:dyDescent="0.3"/>
    <row r="201" ht="11.25" customHeight="1" x14ac:dyDescent="0.3"/>
    <row r="202" ht="11.25" customHeight="1" x14ac:dyDescent="0.3"/>
    <row r="203" ht="11.25" customHeight="1" x14ac:dyDescent="0.3"/>
    <row r="204" ht="11.25" customHeight="1" x14ac:dyDescent="0.3"/>
    <row r="205" ht="11.25" customHeight="1" x14ac:dyDescent="0.3"/>
    <row r="206" ht="11.25" customHeight="1" x14ac:dyDescent="0.3"/>
    <row r="207" ht="11.25" customHeight="1" x14ac:dyDescent="0.3"/>
    <row r="208" ht="11.25" customHeight="1" x14ac:dyDescent="0.3"/>
    <row r="209" ht="11.25" customHeight="1" x14ac:dyDescent="0.3"/>
    <row r="210" ht="11.25" customHeight="1" x14ac:dyDescent="0.3"/>
    <row r="211" ht="11.25" customHeight="1" x14ac:dyDescent="0.3"/>
    <row r="212" ht="11.25" customHeight="1" x14ac:dyDescent="0.3"/>
    <row r="213" ht="11.25" customHeight="1" x14ac:dyDescent="0.3"/>
    <row r="214" ht="11.25" customHeight="1" x14ac:dyDescent="0.3"/>
    <row r="215" ht="11.25" customHeight="1" x14ac:dyDescent="0.3"/>
    <row r="216" ht="11.25" customHeight="1" x14ac:dyDescent="0.3"/>
    <row r="217" ht="11.25" customHeight="1" x14ac:dyDescent="0.3"/>
    <row r="218" ht="11.25" customHeight="1" x14ac:dyDescent="0.3"/>
    <row r="219" ht="11.25" customHeight="1" x14ac:dyDescent="0.3"/>
    <row r="220" ht="11.25" customHeight="1" x14ac:dyDescent="0.3"/>
    <row r="221" ht="11.25" customHeight="1" x14ac:dyDescent="0.3"/>
    <row r="222" ht="11.25" customHeight="1" x14ac:dyDescent="0.3"/>
    <row r="223" ht="11.25" customHeight="1" x14ac:dyDescent="0.3"/>
    <row r="224" ht="11.25" customHeight="1" x14ac:dyDescent="0.3"/>
    <row r="225" ht="11.25" customHeight="1" x14ac:dyDescent="0.3"/>
    <row r="226" ht="11.25" customHeight="1" x14ac:dyDescent="0.3"/>
    <row r="227" ht="11.25" customHeight="1" x14ac:dyDescent="0.3"/>
    <row r="228" ht="11.25" customHeight="1" x14ac:dyDescent="0.3"/>
    <row r="229" ht="11.25" customHeight="1" x14ac:dyDescent="0.3"/>
    <row r="230" ht="11.25" customHeight="1" x14ac:dyDescent="0.3"/>
    <row r="231" ht="11.25" customHeight="1" x14ac:dyDescent="0.3"/>
    <row r="232" ht="11.25" customHeight="1" x14ac:dyDescent="0.3"/>
    <row r="233" ht="11.25" customHeight="1" x14ac:dyDescent="0.3"/>
    <row r="234" ht="11.25" customHeight="1" x14ac:dyDescent="0.3"/>
    <row r="235" ht="11.25" customHeight="1" x14ac:dyDescent="0.3"/>
    <row r="236" ht="11.25" customHeight="1" x14ac:dyDescent="0.3"/>
    <row r="237" ht="11.25" customHeight="1" x14ac:dyDescent="0.3"/>
    <row r="238" ht="11.25" customHeight="1" x14ac:dyDescent="0.3"/>
    <row r="239" ht="11.25" customHeight="1" x14ac:dyDescent="0.3"/>
    <row r="240" ht="11.25" customHeight="1" x14ac:dyDescent="0.3"/>
    <row r="241" ht="11.25" customHeight="1" x14ac:dyDescent="0.3"/>
    <row r="242" ht="11.25" customHeight="1" x14ac:dyDescent="0.3"/>
    <row r="243" ht="11.25" customHeight="1" x14ac:dyDescent="0.3"/>
    <row r="244" ht="11.25" customHeight="1" x14ac:dyDescent="0.3"/>
    <row r="245" ht="11.25" customHeight="1" x14ac:dyDescent="0.3"/>
    <row r="246" ht="11.25" customHeight="1" x14ac:dyDescent="0.3"/>
    <row r="247" ht="11.25" customHeight="1" x14ac:dyDescent="0.3"/>
    <row r="248" ht="11.25" customHeight="1" x14ac:dyDescent="0.3"/>
    <row r="249" ht="11.25" customHeight="1" x14ac:dyDescent="0.3"/>
    <row r="250" ht="11.25" customHeight="1" x14ac:dyDescent="0.3"/>
    <row r="251" ht="11.25" customHeight="1" x14ac:dyDescent="0.3"/>
    <row r="252" ht="11.25" customHeight="1" x14ac:dyDescent="0.3"/>
    <row r="253" ht="11.25" customHeight="1" x14ac:dyDescent="0.3"/>
    <row r="254" ht="11.25" customHeight="1" x14ac:dyDescent="0.3"/>
    <row r="255" ht="11.25" customHeight="1" x14ac:dyDescent="0.3"/>
    <row r="256" ht="11.25" customHeight="1" x14ac:dyDescent="0.3"/>
    <row r="257" ht="11.25" customHeight="1" x14ac:dyDescent="0.3"/>
    <row r="258" ht="11.25" customHeight="1" x14ac:dyDescent="0.3"/>
    <row r="259" ht="11.25" customHeight="1" x14ac:dyDescent="0.3"/>
    <row r="260" ht="11.25" customHeight="1" x14ac:dyDescent="0.3"/>
    <row r="261" ht="11.25" customHeight="1" x14ac:dyDescent="0.3"/>
    <row r="262" ht="11.25" customHeight="1" x14ac:dyDescent="0.3"/>
    <row r="263" ht="11.25" customHeight="1" x14ac:dyDescent="0.3"/>
    <row r="264" ht="11.25" customHeight="1" x14ac:dyDescent="0.3"/>
    <row r="265" ht="11.25" customHeight="1" x14ac:dyDescent="0.3"/>
    <row r="266" ht="11.25" customHeight="1" x14ac:dyDescent="0.3"/>
    <row r="267" ht="11.25" customHeight="1" x14ac:dyDescent="0.3"/>
    <row r="268" ht="11.25" customHeight="1" x14ac:dyDescent="0.3"/>
    <row r="269" ht="11.25" customHeight="1" x14ac:dyDescent="0.3"/>
    <row r="270" ht="11.25" customHeight="1" x14ac:dyDescent="0.3"/>
    <row r="271" ht="11.25" customHeight="1" x14ac:dyDescent="0.3"/>
    <row r="272" ht="11.25" customHeight="1" x14ac:dyDescent="0.3"/>
    <row r="273" ht="11.25" customHeight="1" x14ac:dyDescent="0.3"/>
    <row r="274" ht="11.25" customHeight="1" x14ac:dyDescent="0.3"/>
    <row r="275" ht="11.25" customHeight="1" x14ac:dyDescent="0.3"/>
    <row r="276" ht="11.25" customHeight="1" x14ac:dyDescent="0.3"/>
    <row r="277" ht="11.25" customHeight="1" x14ac:dyDescent="0.3"/>
    <row r="278" ht="11.25" customHeight="1" x14ac:dyDescent="0.3"/>
    <row r="279" ht="11.25" customHeight="1" x14ac:dyDescent="0.3"/>
    <row r="280" ht="11.25" customHeight="1" x14ac:dyDescent="0.3"/>
    <row r="281" ht="11.25" customHeight="1" x14ac:dyDescent="0.3"/>
    <row r="282" ht="11.25" customHeight="1" x14ac:dyDescent="0.3"/>
    <row r="283" ht="11.25" customHeight="1" x14ac:dyDescent="0.3"/>
    <row r="284" ht="11.25" customHeight="1" x14ac:dyDescent="0.3"/>
    <row r="285" ht="11.25" customHeight="1" x14ac:dyDescent="0.3"/>
    <row r="286" ht="11.25" customHeight="1" x14ac:dyDescent="0.3"/>
    <row r="287" ht="11.25" customHeight="1" x14ac:dyDescent="0.3"/>
    <row r="288" ht="11.25" customHeight="1" x14ac:dyDescent="0.3"/>
    <row r="289" ht="11.25" customHeight="1" x14ac:dyDescent="0.3"/>
    <row r="290" ht="11.25" customHeight="1" x14ac:dyDescent="0.3"/>
    <row r="291" ht="11.25" customHeight="1" x14ac:dyDescent="0.3"/>
    <row r="292" ht="11.25" customHeight="1" x14ac:dyDescent="0.3"/>
    <row r="293" ht="11.25" customHeight="1" x14ac:dyDescent="0.3"/>
    <row r="294" ht="11.25" customHeight="1" x14ac:dyDescent="0.3"/>
    <row r="295" ht="11.25" customHeight="1" x14ac:dyDescent="0.3"/>
    <row r="296" ht="11.25" customHeight="1" x14ac:dyDescent="0.3"/>
    <row r="297" ht="11.25" customHeight="1" x14ac:dyDescent="0.3"/>
    <row r="298" ht="11.25" customHeight="1" x14ac:dyDescent="0.3"/>
    <row r="299" ht="11.25" customHeight="1" x14ac:dyDescent="0.3"/>
    <row r="300" ht="11.25" customHeight="1" x14ac:dyDescent="0.3"/>
    <row r="301" ht="11.25" customHeight="1" x14ac:dyDescent="0.3"/>
    <row r="302" ht="11.25" customHeight="1" x14ac:dyDescent="0.3"/>
    <row r="303" ht="11.25" customHeight="1" x14ac:dyDescent="0.3"/>
    <row r="304" ht="11.25" customHeight="1" x14ac:dyDescent="0.3"/>
    <row r="305" ht="11.25" customHeight="1" x14ac:dyDescent="0.3"/>
    <row r="306" ht="11.25" customHeight="1" x14ac:dyDescent="0.3"/>
    <row r="307" ht="11.25" customHeight="1" x14ac:dyDescent="0.3"/>
    <row r="308" ht="11.25" customHeight="1" x14ac:dyDescent="0.3"/>
    <row r="309" ht="11.25" customHeight="1" x14ac:dyDescent="0.3"/>
    <row r="310" ht="11.25" customHeight="1" x14ac:dyDescent="0.3"/>
    <row r="311" ht="11.25" customHeight="1" x14ac:dyDescent="0.3"/>
    <row r="312" ht="11.25" customHeight="1" x14ac:dyDescent="0.3"/>
    <row r="313" ht="11.25" customHeight="1" x14ac:dyDescent="0.3"/>
    <row r="314" ht="11.25" customHeight="1" x14ac:dyDescent="0.3"/>
    <row r="315" ht="11.25" customHeight="1" x14ac:dyDescent="0.3"/>
    <row r="316" ht="11.25" customHeight="1" x14ac:dyDescent="0.3"/>
    <row r="317" ht="11.25" customHeight="1" x14ac:dyDescent="0.3"/>
    <row r="318" ht="11.25" customHeight="1" x14ac:dyDescent="0.3"/>
    <row r="319" ht="11.25" customHeight="1" x14ac:dyDescent="0.3"/>
    <row r="320" ht="11.25" customHeight="1" x14ac:dyDescent="0.3"/>
    <row r="321" ht="11.25" customHeight="1" x14ac:dyDescent="0.3"/>
    <row r="322" ht="11.25" customHeight="1" x14ac:dyDescent="0.3"/>
    <row r="323" ht="11.25" customHeight="1" x14ac:dyDescent="0.3"/>
    <row r="324" ht="11.25" customHeight="1" x14ac:dyDescent="0.3"/>
    <row r="325" ht="11.25" customHeight="1" x14ac:dyDescent="0.3"/>
    <row r="326" ht="11.25" customHeight="1" x14ac:dyDescent="0.3"/>
    <row r="327" ht="11.25" customHeight="1" x14ac:dyDescent="0.3"/>
    <row r="328" ht="11.25" customHeight="1" x14ac:dyDescent="0.3"/>
    <row r="329" ht="11.25" customHeight="1" x14ac:dyDescent="0.3"/>
    <row r="330" ht="11.25" customHeight="1" x14ac:dyDescent="0.3"/>
    <row r="331" ht="11.25" customHeight="1" x14ac:dyDescent="0.3"/>
    <row r="332" ht="11.25" customHeight="1" x14ac:dyDescent="0.3"/>
    <row r="333" ht="11.25" customHeight="1" x14ac:dyDescent="0.3"/>
    <row r="334" ht="11.25" customHeight="1" x14ac:dyDescent="0.3"/>
    <row r="335" ht="11.25" customHeight="1" x14ac:dyDescent="0.3"/>
  </sheetData>
  <mergeCells count="198">
    <mergeCell ref="I130:J130"/>
    <mergeCell ref="O121:P121"/>
    <mergeCell ref="I124:J124"/>
    <mergeCell ref="I126:J126"/>
    <mergeCell ref="I127:J127"/>
    <mergeCell ref="I128:J128"/>
    <mergeCell ref="I129:J129"/>
    <mergeCell ref="C121:D121"/>
    <mergeCell ref="E121:F121"/>
    <mergeCell ref="G121:H121"/>
    <mergeCell ref="I121:J121"/>
    <mergeCell ref="K121:L121"/>
    <mergeCell ref="M121:N121"/>
    <mergeCell ref="O119:P119"/>
    <mergeCell ref="C120:D120"/>
    <mergeCell ref="E120:F120"/>
    <mergeCell ref="G120:H120"/>
    <mergeCell ref="I120:J120"/>
    <mergeCell ref="K120:L120"/>
    <mergeCell ref="M120:N120"/>
    <mergeCell ref="O120:P120"/>
    <mergeCell ref="C119:D119"/>
    <mergeCell ref="E119:F119"/>
    <mergeCell ref="G119:H119"/>
    <mergeCell ref="I119:J119"/>
    <mergeCell ref="K119:L119"/>
    <mergeCell ref="M119:N119"/>
    <mergeCell ref="O117:P117"/>
    <mergeCell ref="C118:D118"/>
    <mergeCell ref="E118:F118"/>
    <mergeCell ref="G118:H118"/>
    <mergeCell ref="I118:J118"/>
    <mergeCell ref="K118:L118"/>
    <mergeCell ref="M118:N118"/>
    <mergeCell ref="O118:P118"/>
    <mergeCell ref="C117:D117"/>
    <mergeCell ref="E117:F117"/>
    <mergeCell ref="G117:H117"/>
    <mergeCell ref="I117:J117"/>
    <mergeCell ref="K117:L117"/>
    <mergeCell ref="M117:N117"/>
    <mergeCell ref="K115:L115"/>
    <mergeCell ref="M115:N115"/>
    <mergeCell ref="O115:P115"/>
    <mergeCell ref="C116:D116"/>
    <mergeCell ref="E116:F116"/>
    <mergeCell ref="G116:H116"/>
    <mergeCell ref="I116:J116"/>
    <mergeCell ref="K116:L116"/>
    <mergeCell ref="M116:N116"/>
    <mergeCell ref="O116:P116"/>
    <mergeCell ref="B114:B115"/>
    <mergeCell ref="C114:F114"/>
    <mergeCell ref="G114:H114"/>
    <mergeCell ref="I114:J114"/>
    <mergeCell ref="K114:L114"/>
    <mergeCell ref="M114:P114"/>
    <mergeCell ref="C115:D115"/>
    <mergeCell ref="E115:F115"/>
    <mergeCell ref="G115:H115"/>
    <mergeCell ref="I115:J115"/>
    <mergeCell ref="I107:J107"/>
    <mergeCell ref="I109:J109"/>
    <mergeCell ref="I111:J111"/>
    <mergeCell ref="T111:AA111"/>
    <mergeCell ref="I113:J113"/>
    <mergeCell ref="O113:P113"/>
    <mergeCell ref="I101:J101"/>
    <mergeCell ref="I102:J102"/>
    <mergeCell ref="I103:J103"/>
    <mergeCell ref="I104:J104"/>
    <mergeCell ref="I105:J105"/>
    <mergeCell ref="I106:J106"/>
    <mergeCell ref="I95:J95"/>
    <mergeCell ref="P95:Q95"/>
    <mergeCell ref="I96:J96"/>
    <mergeCell ref="I97:J97"/>
    <mergeCell ref="I99:J99"/>
    <mergeCell ref="I100:J100"/>
    <mergeCell ref="I91:J91"/>
    <mergeCell ref="M91:N91"/>
    <mergeCell ref="I92:J92"/>
    <mergeCell ref="I93:J93"/>
    <mergeCell ref="M93:N93"/>
    <mergeCell ref="I94:J94"/>
    <mergeCell ref="I87:J87"/>
    <mergeCell ref="M87:N87"/>
    <mergeCell ref="P87:Q87"/>
    <mergeCell ref="I88:J88"/>
    <mergeCell ref="I89:J89"/>
    <mergeCell ref="M89:N89"/>
    <mergeCell ref="I83:J83"/>
    <mergeCell ref="M83:N83"/>
    <mergeCell ref="M84:N84"/>
    <mergeCell ref="I85:J85"/>
    <mergeCell ref="M85:N85"/>
    <mergeCell ref="M86:N86"/>
    <mergeCell ref="I79:J79"/>
    <mergeCell ref="P79:Q79"/>
    <mergeCell ref="I80:J80"/>
    <mergeCell ref="I81:J81"/>
    <mergeCell ref="M81:N81"/>
    <mergeCell ref="I82:J82"/>
    <mergeCell ref="M82:N82"/>
    <mergeCell ref="I73:J73"/>
    <mergeCell ref="I74:J74"/>
    <mergeCell ref="I75:J75"/>
    <mergeCell ref="I76:J76"/>
    <mergeCell ref="I77:J77"/>
    <mergeCell ref="I78:J78"/>
    <mergeCell ref="I59:J59"/>
    <mergeCell ref="I61:J61"/>
    <mergeCell ref="S64:Z64"/>
    <mergeCell ref="I71:J71"/>
    <mergeCell ref="P71:Q71"/>
    <mergeCell ref="I72:J72"/>
    <mergeCell ref="I51:J51"/>
    <mergeCell ref="I54:J54"/>
    <mergeCell ref="P54:Q54"/>
    <mergeCell ref="I55:J55"/>
    <mergeCell ref="I57:J57"/>
    <mergeCell ref="I58:J58"/>
    <mergeCell ref="I44:J44"/>
    <mergeCell ref="P44:Q44"/>
    <mergeCell ref="I45:J45"/>
    <mergeCell ref="I47:J47"/>
    <mergeCell ref="I48:J48"/>
    <mergeCell ref="I49:J49"/>
    <mergeCell ref="N33:O33"/>
    <mergeCell ref="I35:J35"/>
    <mergeCell ref="I36:J36"/>
    <mergeCell ref="I38:J38"/>
    <mergeCell ref="I40:J40"/>
    <mergeCell ref="I43:J43"/>
    <mergeCell ref="L31:M31"/>
    <mergeCell ref="N31:O31"/>
    <mergeCell ref="B32:C33"/>
    <mergeCell ref="D32:E32"/>
    <mergeCell ref="J32:K32"/>
    <mergeCell ref="L32:M32"/>
    <mergeCell ref="N32:O32"/>
    <mergeCell ref="D33:E33"/>
    <mergeCell ref="J33:K33"/>
    <mergeCell ref="L33:M33"/>
    <mergeCell ref="N29:O29"/>
    <mergeCell ref="B30:C31"/>
    <mergeCell ref="D30:E30"/>
    <mergeCell ref="F30:G33"/>
    <mergeCell ref="H30:I33"/>
    <mergeCell ref="J30:K30"/>
    <mergeCell ref="L30:M30"/>
    <mergeCell ref="N30:O30"/>
    <mergeCell ref="D31:E31"/>
    <mergeCell ref="J31:K31"/>
    <mergeCell ref="B29:C29"/>
    <mergeCell ref="D29:E29"/>
    <mergeCell ref="F29:G29"/>
    <mergeCell ref="H29:I29"/>
    <mergeCell ref="J29:K29"/>
    <mergeCell ref="L29:M29"/>
    <mergeCell ref="B21:C21"/>
    <mergeCell ref="D21:E21"/>
    <mergeCell ref="D24:E24"/>
    <mergeCell ref="D25:E25"/>
    <mergeCell ref="D26:E26"/>
    <mergeCell ref="D27:E27"/>
    <mergeCell ref="M16:O16"/>
    <mergeCell ref="B17:C17"/>
    <mergeCell ref="D17:E17"/>
    <mergeCell ref="F17:G17"/>
    <mergeCell ref="B20:C20"/>
    <mergeCell ref="D20:E20"/>
    <mergeCell ref="B15:C15"/>
    <mergeCell ref="D15:E15"/>
    <mergeCell ref="F15:G15"/>
    <mergeCell ref="B16:C16"/>
    <mergeCell ref="D16:E16"/>
    <mergeCell ref="F16:G16"/>
    <mergeCell ref="B13:C13"/>
    <mergeCell ref="D13:E13"/>
    <mergeCell ref="F13:G13"/>
    <mergeCell ref="B14:C14"/>
    <mergeCell ref="D14:E14"/>
    <mergeCell ref="F14:G14"/>
    <mergeCell ref="D8:E8"/>
    <mergeCell ref="M8:O8"/>
    <mergeCell ref="B11:C11"/>
    <mergeCell ref="D11:E11"/>
    <mergeCell ref="F11:G11"/>
    <mergeCell ref="B12:C12"/>
    <mergeCell ref="D12:E12"/>
    <mergeCell ref="F12:G12"/>
    <mergeCell ref="B1:R1"/>
    <mergeCell ref="D3:E3"/>
    <mergeCell ref="D4:E4"/>
    <mergeCell ref="D5:E5"/>
    <mergeCell ref="D6:E6"/>
    <mergeCell ref="D7:E7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94" orientation="portrait" horizontalDpi="1200" verticalDpi="1200" r:id="rId1"/>
  <rowBreaks count="2" manualBreakCount="2">
    <brk id="41" max="16" man="1"/>
    <brk id="93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:E15"/>
    </sheetView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Chapter E Compression</vt:lpstr>
      <vt:lpstr>세장비(응력)</vt:lpstr>
      <vt:lpstr>Hinged Required Strength</vt:lpstr>
      <vt:lpstr>Sheet1</vt:lpstr>
      <vt:lpstr>'Chapter E Compression'!Print_Area</vt:lpstr>
      <vt:lpstr>'Hinged Required Strength'!Print_Area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2023-04-03T08:28:32Z</dcterms:created>
  <dcterms:modified xsi:type="dcterms:W3CDTF">2023-04-03T08:29:00Z</dcterms:modified>
</cp:coreProperties>
</file>