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rac\OneDrive\Desktop\Cornell\Individual New Venture\"/>
    </mc:Choice>
  </mc:AlternateContent>
  <xr:revisionPtr revIDLastSave="0" documentId="13_ncr:1_{29437140-992F-46A2-AD86-0033CEA26581}" xr6:coauthVersionLast="47" xr6:coauthVersionMax="47" xr10:uidLastSave="{00000000-0000-0000-0000-000000000000}"/>
  <bookViews>
    <workbookView xWindow="-120" yWindow="-120" windowWidth="20730" windowHeight="11040" tabRatio="760" activeTab="6" xr2:uid="{1FD7A7F7-56C9-44E5-BF81-87FB6447E19C}"/>
  </bookViews>
  <sheets>
    <sheet name="Projected Cost" sheetId="1" r:id="rId1"/>
    <sheet name="Revenue Stream" sheetId="2" r:id="rId2"/>
    <sheet name="Cost per Unit" sheetId="6" r:id="rId3"/>
    <sheet name="Financial Forecast" sheetId="7" r:id="rId4"/>
    <sheet name="ROI_BreakEven" sheetId="4" r:id="rId5"/>
    <sheet name="Monte Carlo" sheetId="5" r:id="rId6"/>
    <sheet name="Projection" sheetId="3" r:id="rId7"/>
  </sheets>
  <definedNames>
    <definedName name="_xlnm.Print_Area" localSheetId="0">'Projected Cost'!$A$1:$A$16</definedName>
    <definedName name="_xlnm.Print_Area" localSheetId="1">'Revenue Stream'!#REF!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I40" i="1"/>
  <c r="H40" i="1"/>
  <c r="I42" i="1"/>
  <c r="H42" i="1"/>
  <c r="B3" i="5"/>
  <c r="C2" i="7"/>
  <c r="C3" i="5" s="1"/>
  <c r="C10" i="7"/>
  <c r="B11" i="4" s="1"/>
  <c r="B2" i="7"/>
  <c r="C7" i="7"/>
  <c r="B7" i="7"/>
  <c r="G14" i="6"/>
  <c r="E14" i="6"/>
  <c r="E17" i="6" s="1"/>
  <c r="C14" i="6"/>
  <c r="G15" i="6"/>
  <c r="G17" i="6" s="1"/>
  <c r="G6" i="6"/>
  <c r="E8" i="6"/>
  <c r="G5" i="6"/>
  <c r="E5" i="6"/>
  <c r="B11" i="7" s="1"/>
  <c r="D10" i="4" s="1"/>
  <c r="B5" i="5" s="1"/>
  <c r="C5" i="6"/>
  <c r="C8" i="6" s="1"/>
  <c r="E20" i="2"/>
  <c r="D20" i="2"/>
  <c r="E29" i="1"/>
  <c r="D29" i="1"/>
  <c r="C4" i="5" l="1"/>
  <c r="C11" i="7"/>
  <c r="D11" i="4" s="1"/>
  <c r="C5" i="5" s="1"/>
  <c r="B10" i="7"/>
  <c r="B12" i="7"/>
  <c r="I14" i="6"/>
  <c r="C8" i="7"/>
  <c r="B8" i="7"/>
  <c r="C17" i="6"/>
  <c r="I17" i="6" s="1"/>
  <c r="C3" i="7" s="1"/>
  <c r="G8" i="6"/>
  <c r="I8" i="6" s="1"/>
  <c r="B3" i="7" s="1"/>
  <c r="I5" i="6"/>
  <c r="B13" i="7" l="1"/>
  <c r="B3" i="4" s="1"/>
  <c r="C12" i="7"/>
  <c r="C13" i="7" s="1"/>
  <c r="C3" i="4" s="1"/>
  <c r="B4" i="5"/>
  <c r="B10" i="4"/>
  <c r="B6" i="7"/>
  <c r="C10" i="4"/>
  <c r="B2" i="5" s="1"/>
  <c r="C6" i="7"/>
  <c r="C4" i="7" s="1"/>
  <c r="C11" i="4"/>
  <c r="C5" i="7" l="1"/>
  <c r="B5" i="7"/>
  <c r="B4" i="7"/>
  <c r="B9" i="7"/>
  <c r="B14" i="7" s="1"/>
  <c r="B2" i="4" s="1"/>
  <c r="B4" i="4" s="1"/>
  <c r="B15" i="4" s="1"/>
  <c r="E10" i="4"/>
  <c r="B16" i="4" s="1"/>
  <c r="C9" i="7"/>
  <c r="C14" i="7" s="1"/>
  <c r="C2" i="4" s="1"/>
  <c r="C4" i="4" s="1"/>
  <c r="C15" i="4" s="1"/>
  <c r="E11" i="4"/>
  <c r="C16" i="4" s="1"/>
  <c r="C2" i="5"/>
</calcChain>
</file>

<file path=xl/sharedStrings.xml><?xml version="1.0" encoding="utf-8"?>
<sst xmlns="http://schemas.openxmlformats.org/spreadsheetml/2006/main" count="329" uniqueCount="244">
  <si>
    <t>Category</t>
  </si>
  <si>
    <t>Details</t>
  </si>
  <si>
    <t>Fixed Costs</t>
  </si>
  <si>
    <t>Payroll</t>
  </si>
  <si>
    <t>Commercial lease for industrial space</t>
  </si>
  <si>
    <t>Marketing and Advertising</t>
  </si>
  <si>
    <t>Variable Costs</t>
  </si>
  <si>
    <t>Logistics</t>
  </si>
  <si>
    <t>Non-Recurring Costs</t>
  </si>
  <si>
    <t>IoT App Development</t>
  </si>
  <si>
    <t>Facility Setup</t>
  </si>
  <si>
    <t>Initial tools and equipment for production</t>
  </si>
  <si>
    <t>Product Development</t>
  </si>
  <si>
    <t>Revenue Stream</t>
  </si>
  <si>
    <t>Description</t>
  </si>
  <si>
    <t>Revenue Estimate ($)</t>
  </si>
  <si>
    <t>Out of the Box</t>
  </si>
  <si>
    <t>Sales of 20' hydroponic containers with essential features included.</t>
  </si>
  <si>
    <t>Core Structural Features</t>
  </si>
  <si>
    <t>Revenue from foundational elements such as container, doors, and airflow.</t>
  </si>
  <si>
    <t>Water Management</t>
  </si>
  <si>
    <t>Revenue from advanced water systems for sustainability.</t>
  </si>
  <si>
    <t>Planting and Growth Features</t>
  </si>
  <si>
    <t>Revenue from hydroponic racks and accessories for planting scalability.</t>
  </si>
  <si>
    <t>Energy Backup and Climate Control</t>
  </si>
  <si>
    <t>Revenue from solar panels, battery systems, and climate control systems.</t>
  </si>
  <si>
    <t>Fire Safety and Security</t>
  </si>
  <si>
    <t>Revenue from integrated fire detection, suppression, and security systems.</t>
  </si>
  <si>
    <t>Subscription Revenue</t>
  </si>
  <si>
    <t>Outdoor Customizable Packages</t>
  </si>
  <si>
    <t>Seasonal or Event-Based Offers</t>
  </si>
  <si>
    <t>Core Structural OTB</t>
  </si>
  <si>
    <t>Total Revenue</t>
  </si>
  <si>
    <t>Net Profit / Loss</t>
  </si>
  <si>
    <t>ROI</t>
  </si>
  <si>
    <t>Recurring revenue from IoT monitoring, enhanced user experience, and automation features. Insights, analytics, subscription upgrades, and integrated e-commerce.</t>
  </si>
  <si>
    <t>Cost Estimate ($)</t>
  </si>
  <si>
    <t>Salaries for production, support, and executive positions</t>
  </si>
  <si>
    <t>1,350,000–1,500,000 annually</t>
  </si>
  <si>
    <t>Facility Rent</t>
  </si>
  <si>
    <t>120,000 annually</t>
  </si>
  <si>
    <t>Facility Utilities</t>
  </si>
  <si>
    <t>Electricity, water, internet</t>
  </si>
  <si>
    <t>36,000–48,000 annually</t>
  </si>
  <si>
    <t>Digital campaigns and branding efforts</t>
  </si>
  <si>
    <t>60,000 annually</t>
  </si>
  <si>
    <t>Insurance</t>
  </si>
  <si>
    <t>Liability and operational insurance</t>
  </si>
  <si>
    <t>24,000 annually</t>
  </si>
  <si>
    <t>IoT Maintenance</t>
  </si>
  <si>
    <t>Annual maintenance for in-house IoT systems</t>
  </si>
  <si>
    <t>20,000 annually</t>
  </si>
  <si>
    <t>Total Fixed Costs</t>
  </si>
  <si>
    <t>$1,610,000–$1,752,000/year</t>
  </si>
  <si>
    <t>Container Costs</t>
  </si>
  <si>
    <t>Cost of refurbished 20' containers</t>
  </si>
  <si>
    <t>3,500–6,000 per unit</t>
  </si>
  <si>
    <t>Solar Panels</t>
  </si>
  <si>
    <t>Solar systems for energy efficiency</t>
  </si>
  <si>
    <t>3,000–4,500 per unit</t>
  </si>
  <si>
    <t>Delivery and freight for finished containers</t>
  </si>
  <si>
    <t>1,500–3,000 per unit</t>
  </si>
  <si>
    <t>Structural Enhancements</t>
  </si>
  <si>
    <t>Insulation, weatherproofing, and doors</t>
  </si>
  <si>
    <t>3,000–5,000 per unit</t>
  </si>
  <si>
    <t>Hydroponic System &amp; Plumbing</t>
  </si>
  <si>
    <t>Water reservoirs, pumps, plumbing, grow trays</t>
  </si>
  <si>
    <t>2,800–4,000 per unit</t>
  </si>
  <si>
    <t>Climate Control</t>
  </si>
  <si>
    <t>Mini-split system, humidifiers, and thermostats</t>
  </si>
  <si>
    <t>Lights and Electrical</t>
  </si>
  <si>
    <t>LED grow lights, wiring, and fixtures</t>
  </si>
  <si>
    <t>IoT &amp; Security</t>
  </si>
  <si>
    <t>Cameras, smart locks, and sensors</t>
  </si>
  <si>
    <t>1,700–3,000 per unit</t>
  </si>
  <si>
    <t>Finishing &amp; Interior</t>
  </si>
  <si>
    <t>Flooring, paint, and storage racks</t>
  </si>
  <si>
    <t>2,200–3,500 per unit</t>
  </si>
  <si>
    <t>Total Variable Costs</t>
  </si>
  <si>
    <t>$22,200–$36,000 per unit</t>
  </si>
  <si>
    <t>One-time software development</t>
  </si>
  <si>
    <t>150,000–250,000</t>
  </si>
  <si>
    <t>60,000–90,000</t>
  </si>
  <si>
    <t>Prototyping and R&amp;D</t>
  </si>
  <si>
    <t>Licensing &amp; Certifications</t>
  </si>
  <si>
    <t>Business permits and safety certifications</t>
  </si>
  <si>
    <t>2,000–5,000 annually</t>
  </si>
  <si>
    <t>Tooling &amp; Equipment</t>
  </si>
  <si>
    <t>Welding tools, specialized equipment</t>
  </si>
  <si>
    <t>20,000–35,000</t>
  </si>
  <si>
    <t>Total Non-Recurring Costs</t>
  </si>
  <si>
    <t>$262,000–$410,000</t>
  </si>
  <si>
    <t>Total</t>
  </si>
  <si>
    <t>$100,000–$120,000</t>
  </si>
  <si>
    <t>$2200-$2400</t>
  </si>
  <si>
    <t>$3000-$6000</t>
  </si>
  <si>
    <t>$1000-$1500</t>
  </si>
  <si>
    <t>Total out of the box</t>
  </si>
  <si>
    <t>Starter Kits; Holiday Promotions; Seasonal Crops; Workshops/Courses</t>
  </si>
  <si>
    <t>Customization options like vinyl wraps, siding, and brick/masonry cladding</t>
  </si>
  <si>
    <t>Total Subscription</t>
  </si>
  <si>
    <t>Total Outdoor</t>
  </si>
  <si>
    <t>Total Event Offers</t>
  </si>
  <si>
    <t>fixed cost</t>
  </si>
  <si>
    <t>+</t>
  </si>
  <si>
    <t>non-recurring cost</t>
  </si>
  <si>
    <t>=</t>
  </si>
  <si>
    <t xml:space="preserve">cost per unit (x units) </t>
  </si>
  <si>
    <t>Toal units (X)</t>
  </si>
  <si>
    <t>Variable costs per unit</t>
  </si>
  <si>
    <t>Years (Y)</t>
  </si>
  <si>
    <t>*</t>
  </si>
  <si>
    <t>LOW</t>
  </si>
  <si>
    <t>HIGH</t>
  </si>
  <si>
    <t xml:space="preserve">LOW </t>
  </si>
  <si>
    <t>Low Estimate ($)</t>
  </si>
  <si>
    <t>High Estimate ($)</t>
  </si>
  <si>
    <t>Units Produced Annually</t>
  </si>
  <si>
    <t>Unit Price</t>
  </si>
  <si>
    <t>Total Unit Sales Revenue</t>
  </si>
  <si>
    <t>Total Expenses</t>
  </si>
  <si>
    <t>Projected Profit</t>
  </si>
  <si>
    <t>Annual Total per Unit</t>
  </si>
  <si>
    <t>Annual Total Variable per Unit</t>
  </si>
  <si>
    <t>Deposit Collected 70% (6-8 wks)</t>
  </si>
  <si>
    <t>Deposit Collected 30% (upfront)</t>
  </si>
  <si>
    <t>Low</t>
  </si>
  <si>
    <t>High</t>
  </si>
  <si>
    <t>Total Investment (cost)</t>
  </si>
  <si>
    <t xml:space="preserve">Break Even = </t>
  </si>
  <si>
    <t>Sell Price per Unit - Variable Cost per Unit</t>
  </si>
  <si>
    <t>Metric</t>
  </si>
  <si>
    <t>Low Estimate</t>
  </si>
  <si>
    <t>High Estimate</t>
  </si>
  <si>
    <t>ROI (%)</t>
  </si>
  <si>
    <t>Break-Even Point (Units)</t>
  </si>
  <si>
    <t>Unit Price ($)</t>
  </si>
  <si>
    <t>Annual Production Capacity (Units)</t>
  </si>
  <si>
    <t>Fixed Costs ($)</t>
  </si>
  <si>
    <t>Variable Costs per Unit ($)</t>
  </si>
  <si>
    <t>Market Growth Rate (TAM) (%)</t>
  </si>
  <si>
    <t>U.S. Market Growth Rate (SAM) (%)</t>
  </si>
  <si>
    <t>Projected Market Share (SOM, %) (by 2030)</t>
  </si>
  <si>
    <t>Revenue ($)</t>
  </si>
  <si>
    <t>Profit ($)</t>
  </si>
  <si>
    <t>Count</t>
  </si>
  <si>
    <t>Mean</t>
  </si>
  <si>
    <t>Std Dev</t>
  </si>
  <si>
    <t>Min</t>
  </si>
  <si>
    <t>Max</t>
  </si>
  <si>
    <t>Count (iterations)</t>
  </si>
  <si>
    <t>Mean (Average)</t>
  </si>
  <si>
    <t>Min (low revenue)</t>
  </si>
  <si>
    <t>25% (below revenue)</t>
  </si>
  <si>
    <t>50% (half point)</t>
  </si>
  <si>
    <t>75% (below revenue)</t>
  </si>
  <si>
    <t>Max (highest revenue)</t>
  </si>
  <si>
    <t>Std Dev (Variability from Mean)</t>
  </si>
  <si>
    <t>Units Produced</t>
  </si>
  <si>
    <t>Total Costs ($)</t>
  </si>
  <si>
    <t>Year 1 - Units Sold</t>
  </si>
  <si>
    <t>Year 1 - Total Revenue ($)</t>
  </si>
  <si>
    <t>Year 1 - Profit ($)</t>
  </si>
  <si>
    <t>Year 1 - ROI (%)</t>
  </si>
  <si>
    <t>Year 3 - Units Sold</t>
  </si>
  <si>
    <t>Year 3 - Total Revenue ($)</t>
  </si>
  <si>
    <t>Year 3 - Profit ($)</t>
  </si>
  <si>
    <t>Year 3 - ROI (%)</t>
  </si>
  <si>
    <t>Year 5 - Units Sold</t>
  </si>
  <si>
    <t>Year 5 - Total Revenue ($)</t>
  </si>
  <si>
    <t>Year 5 - Profit ($)</t>
  </si>
  <si>
    <t>Year 5 - ROI (%)</t>
  </si>
  <si>
    <t>Year 7 - Units Sold</t>
  </si>
  <si>
    <t>Year 7 - Total Revenue ($)</t>
  </si>
  <si>
    <t>Year 7 - Profit ($)</t>
  </si>
  <si>
    <t>Year 7 - ROI (%)</t>
  </si>
  <si>
    <t>Critical Factors for the Monte Carlo Forecast</t>
  </si>
  <si>
    <t>Revenue Drivers</t>
  </si>
  <si>
    <r>
      <t>1. Sales Volume (Units Sold)</t>
    </r>
    <r>
      <rPr>
        <sz val="11"/>
        <color theme="1"/>
        <rFont val="Aptos Narrow"/>
        <family val="2"/>
        <scheme val="minor"/>
      </rPr>
      <t>:</t>
    </r>
  </si>
  <si>
    <t>Base projections for unit sales growth, considering:</t>
  </si>
  <si>
    <t>Historical growth trends.</t>
  </si>
  <si>
    <t>Market demand (TAM, SAM, SOM).</t>
  </si>
  <si>
    <t>Seasonal patterns.</t>
  </si>
  <si>
    <r>
      <t>2. Product Pricing</t>
    </r>
    <r>
      <rPr>
        <sz val="11"/>
        <color theme="1"/>
        <rFont val="Aptos Narrow"/>
        <family val="2"/>
        <scheme val="minor"/>
      </rPr>
      <t>:</t>
    </r>
  </si>
  <si>
    <t>Annual adjustments for inflation or added value.</t>
  </si>
  <si>
    <t>Differentiated pricing for standard vs. premium/customizable products.</t>
  </si>
  <si>
    <r>
      <t>3. Recurring Revenue</t>
    </r>
    <r>
      <rPr>
        <sz val="11"/>
        <color theme="1"/>
        <rFont val="Aptos Narrow"/>
        <family val="2"/>
        <scheme val="minor"/>
      </rPr>
      <t>:</t>
    </r>
  </si>
  <si>
    <t>Subscription and add-on services, with:</t>
  </si>
  <si>
    <t>Retention rates for existing customers.</t>
  </si>
  <si>
    <t>Adoption rates for new customers.</t>
  </si>
  <si>
    <r>
      <t>4. Additional Revenue Streams</t>
    </r>
    <r>
      <rPr>
        <sz val="11"/>
        <color theme="1"/>
        <rFont val="Aptos Narrow"/>
        <family val="2"/>
        <scheme val="minor"/>
      </rPr>
      <t>:</t>
    </r>
  </si>
  <si>
    <t>Customizable packages or event-based offerings.</t>
  </si>
  <si>
    <t>Partnerships or licensing agreements (if applicable).</t>
  </si>
  <si>
    <t>Cost Factors</t>
  </si>
  <si>
    <r>
      <t>1. Fixed Costs</t>
    </r>
    <r>
      <rPr>
        <sz val="11"/>
        <color theme="1"/>
        <rFont val="Aptos Narrow"/>
        <family val="2"/>
        <scheme val="minor"/>
      </rPr>
      <t>:</t>
    </r>
  </si>
  <si>
    <t>Salaries for employees, including:</t>
  </si>
  <si>
    <t>Planned hires for scaling (e.g., engineers, sales, or marketing staff).</t>
  </si>
  <si>
    <t>Facility costs, accounting for:</t>
  </si>
  <si>
    <t>Rent, utilities, and maintenance.</t>
  </si>
  <si>
    <t>Expansion or relocation (if planned).</t>
  </si>
  <si>
    <r>
      <t>2. Variable Costs</t>
    </r>
    <r>
      <rPr>
        <sz val="11"/>
        <color theme="1"/>
        <rFont val="Aptos Narrow"/>
        <family val="2"/>
        <scheme val="minor"/>
      </rPr>
      <t>:</t>
    </r>
  </si>
  <si>
    <t>Material costs with growth rates or potential price volatility.</t>
  </si>
  <si>
    <t>Production costs, including direct labor and utilities tied to output.</t>
  </si>
  <si>
    <t>Logistics/shipping costs with fuel price adjustments.</t>
  </si>
  <si>
    <r>
      <t>3. Non-Repeatable Costs</t>
    </r>
    <r>
      <rPr>
        <sz val="11"/>
        <color theme="1"/>
        <rFont val="Aptos Narrow"/>
        <family val="2"/>
        <scheme val="minor"/>
      </rPr>
      <t>:</t>
    </r>
  </si>
  <si>
    <t>Year 1 setup costs (machinery, technology, etc.).</t>
  </si>
  <si>
    <t>Consider no additional non-recurring costs in Year 3, 5, or 7 unless explicitly planned.</t>
  </si>
  <si>
    <t>Market &amp; External Factors</t>
  </si>
  <si>
    <r>
      <t>1. Market Growth</t>
    </r>
    <r>
      <rPr>
        <sz val="11"/>
        <color theme="1"/>
        <rFont val="Aptos Narrow"/>
        <family val="2"/>
        <scheme val="minor"/>
      </rPr>
      <t>:</t>
    </r>
  </si>
  <si>
    <t>TAM, SAM, and SOM projections for hydroponic farming.</t>
  </si>
  <si>
    <t>Regional adoption rates to refine sales projections.</t>
  </si>
  <si>
    <r>
      <t>2. Economic Variables</t>
    </r>
    <r>
      <rPr>
        <sz val="11"/>
        <color theme="1"/>
        <rFont val="Aptos Narrow"/>
        <family val="2"/>
        <scheme val="minor"/>
      </rPr>
      <t>:</t>
    </r>
  </si>
  <si>
    <t>Inflation and interest rates affecting pricing and costs.</t>
  </si>
  <si>
    <t>Potential recession risks or economic booms.</t>
  </si>
  <si>
    <r>
      <t>3. Competitive Landscape</t>
    </r>
    <r>
      <rPr>
        <sz val="11"/>
        <color theme="1"/>
        <rFont val="Aptos Narrow"/>
        <family val="2"/>
        <scheme val="minor"/>
      </rPr>
      <t>:</t>
    </r>
  </si>
  <si>
    <t>Adjustments based on competitor pricing or market share erosion.</t>
  </si>
  <si>
    <r>
      <t>4. Regulatory Changes</t>
    </r>
    <r>
      <rPr>
        <sz val="11"/>
        <color theme="1"/>
        <rFont val="Aptos Narrow"/>
        <family val="2"/>
        <scheme val="minor"/>
      </rPr>
      <t>:</t>
    </r>
  </si>
  <si>
    <t>Environmental standards or subsidies that could influence costs or revenues.</t>
  </si>
  <si>
    <t>Financial Factors</t>
  </si>
  <si>
    <r>
      <t>1. ROI Expectations</t>
    </r>
    <r>
      <rPr>
        <sz val="11"/>
        <color theme="1"/>
        <rFont val="Aptos Narrow"/>
        <family val="2"/>
        <scheme val="minor"/>
      </rPr>
      <t>:</t>
    </r>
  </si>
  <si>
    <t>Set clear ROI targets for each forecast year to measure success.</t>
  </si>
  <si>
    <t>Ensure profitability despite scaling efforts (e.g., new hires, facility expansions).</t>
  </si>
  <si>
    <r>
      <t>2. Cash Flow Considerations</t>
    </r>
    <r>
      <rPr>
        <sz val="11"/>
        <color theme="1"/>
        <rFont val="Aptos Narrow"/>
        <family val="2"/>
        <scheme val="minor"/>
      </rPr>
      <t>:</t>
    </r>
  </si>
  <si>
    <t>Adequate liquidity to handle scaling or unexpected costs.</t>
  </si>
  <si>
    <r>
      <t>3. Contingency Buffers</t>
    </r>
    <r>
      <rPr>
        <sz val="11"/>
        <color theme="1"/>
        <rFont val="Aptos Narrow"/>
        <family val="2"/>
        <scheme val="minor"/>
      </rPr>
      <t>:</t>
    </r>
  </si>
  <si>
    <t>Budget for unexpected events (e.g., supply chain disruptions).</t>
  </si>
  <si>
    <t>Year 1</t>
  </si>
  <si>
    <t>Year 3</t>
  </si>
  <si>
    <t>Year 5</t>
  </si>
  <si>
    <t>Year 7</t>
  </si>
  <si>
    <t>Units Sold</t>
  </si>
  <si>
    <t>Total Revenue ($)</t>
  </si>
  <si>
    <t>20'</t>
  </si>
  <si>
    <t>Container Size</t>
  </si>
  <si>
    <t>Fixed Costs (Low)</t>
  </si>
  <si>
    <t>Fixed Costs (High)</t>
  </si>
  <si>
    <t>Variable Costs (Low)</t>
  </si>
  <si>
    <t>Variable Costs (High)</t>
  </si>
  <si>
    <t>Non-Recurring Costs (Low)</t>
  </si>
  <si>
    <t>Non-Recurring Costs (High)</t>
  </si>
  <si>
    <t>Total Cost (Low)</t>
  </si>
  <si>
    <t>Total Cost (High)</t>
  </si>
  <si>
    <t>10'</t>
  </si>
  <si>
    <t>40'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</si>
</sst>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6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rgb="FF000000"/>
      <name val="Courier New"/>
      <family val="3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164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3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44" fontId="0" fillId="0" borderId="0" xfId="1" applyFont="1" applyAlignment="1"/>
    <xf numFmtId="44" fontId="2" fillId="0" borderId="0" xfId="1" applyFont="1" applyAlignment="1"/>
    <xf numFmtId="0" fontId="2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44" fontId="2" fillId="2" borderId="0" xfId="1" applyFont="1" applyFill="1" applyAlignment="1"/>
    <xf numFmtId="4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4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4" fontId="0" fillId="4" borderId="8" xfId="0" applyNumberFormat="1" applyFill="1" applyBorder="1" applyAlignment="1">
      <alignment horizontal="center"/>
    </xf>
    <xf numFmtId="44" fontId="0" fillId="4" borderId="1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4" borderId="0" xfId="0" applyFill="1"/>
    <xf numFmtId="3" fontId="0" fillId="4" borderId="0" xfId="0" applyNumberFormat="1" applyFill="1"/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3" fontId="2" fillId="0" borderId="0" xfId="0" applyNumberFormat="1" applyFont="1"/>
    <xf numFmtId="3" fontId="0" fillId="0" borderId="2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3" fontId="0" fillId="0" borderId="16" xfId="0" applyNumberFormat="1" applyBorder="1"/>
    <xf numFmtId="0" fontId="0" fillId="0" borderId="17" xfId="0" applyBorder="1"/>
    <xf numFmtId="3" fontId="0" fillId="0" borderId="18" xfId="0" applyNumberFormat="1" applyBorder="1"/>
    <xf numFmtId="164" fontId="0" fillId="0" borderId="2" xfId="2" applyNumberFormat="1" applyFont="1" applyBorder="1" applyAlignment="1">
      <alignment horizontal="center"/>
    </xf>
    <xf numFmtId="164" fontId="0" fillId="0" borderId="18" xfId="2" applyNumberFormat="1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0" fillId="0" borderId="13" xfId="0" applyBorder="1"/>
    <xf numFmtId="0" fontId="0" fillId="0" borderId="15" xfId="0" applyBorder="1" applyAlignment="1">
      <alignment vertical="center"/>
    </xf>
    <xf numFmtId="3" fontId="0" fillId="0" borderId="0" xfId="0" applyNumberFormat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16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9" fontId="0" fillId="0" borderId="16" xfId="2" applyFont="1" applyBorder="1" applyAlignment="1">
      <alignment horizontal="right" vertical="center"/>
    </xf>
    <xf numFmtId="9" fontId="0" fillId="0" borderId="0" xfId="2" applyFont="1" applyBorder="1" applyAlignment="1">
      <alignment horizontal="right" vertical="center"/>
    </xf>
    <xf numFmtId="0" fontId="0" fillId="0" borderId="17" xfId="0" applyBorder="1" applyAlignment="1">
      <alignment vertical="center"/>
    </xf>
    <xf numFmtId="10" fontId="0" fillId="0" borderId="2" xfId="2" applyNumberFormat="1" applyFont="1" applyBorder="1" applyAlignment="1">
      <alignment horizontal="right" vertical="center"/>
    </xf>
    <xf numFmtId="10" fontId="0" fillId="0" borderId="18" xfId="2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9" fontId="0" fillId="0" borderId="15" xfId="0" applyNumberForma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0" fontId="0" fillId="0" borderId="16" xfId="0" applyNumberFormat="1" applyBorder="1"/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3" fontId="0" fillId="0" borderId="15" xfId="0" applyNumberFormat="1" applyBorder="1"/>
    <xf numFmtId="0" fontId="2" fillId="3" borderId="22" xfId="0" applyFont="1" applyFill="1" applyBorder="1" applyAlignment="1">
      <alignment horizontal="left"/>
    </xf>
    <xf numFmtId="0" fontId="2" fillId="3" borderId="15" xfId="0" applyFont="1" applyFill="1" applyBorder="1"/>
    <xf numFmtId="3" fontId="2" fillId="3" borderId="0" xfId="0" applyNumberFormat="1" applyFont="1" applyFill="1"/>
    <xf numFmtId="0" fontId="2" fillId="3" borderId="16" xfId="0" applyFont="1" applyFill="1" applyBorder="1"/>
    <xf numFmtId="9" fontId="0" fillId="0" borderId="22" xfId="0" applyNumberFormat="1" applyBorder="1" applyAlignment="1">
      <alignment horizontal="left"/>
    </xf>
    <xf numFmtId="0" fontId="2" fillId="3" borderId="23" xfId="0" applyFont="1" applyFill="1" applyBorder="1" applyAlignment="1">
      <alignment horizontal="left"/>
    </xf>
    <xf numFmtId="0" fontId="2" fillId="3" borderId="17" xfId="0" applyFont="1" applyFill="1" applyBorder="1"/>
    <xf numFmtId="3" fontId="2" fillId="3" borderId="2" xfId="0" applyNumberFormat="1" applyFont="1" applyFill="1" applyBorder="1"/>
    <xf numFmtId="0" fontId="2" fillId="3" borderId="18" xfId="0" applyFont="1" applyFill="1" applyBorder="1"/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3" borderId="15" xfId="0" applyFill="1" applyBorder="1" applyAlignment="1">
      <alignment horizontal="left" vertical="center"/>
    </xf>
    <xf numFmtId="0" fontId="0" fillId="3" borderId="0" xfId="0" applyFill="1"/>
    <xf numFmtId="3" fontId="0" fillId="3" borderId="0" xfId="0" applyNumberFormat="1" applyFill="1"/>
    <xf numFmtId="10" fontId="0" fillId="3" borderId="16" xfId="0" applyNumberFormat="1" applyFill="1" applyBorder="1"/>
    <xf numFmtId="0" fontId="0" fillId="3" borderId="17" xfId="0" applyFill="1" applyBorder="1" applyAlignment="1">
      <alignment horizontal="left" vertical="center"/>
    </xf>
    <xf numFmtId="0" fontId="0" fillId="3" borderId="2" xfId="0" applyFill="1" applyBorder="1"/>
    <xf numFmtId="3" fontId="0" fillId="3" borderId="2" xfId="0" applyNumberFormat="1" applyFill="1" applyBorder="1"/>
    <xf numFmtId="10" fontId="0" fillId="3" borderId="18" xfId="0" applyNumberFormat="1" applyFill="1" applyBorder="1"/>
    <xf numFmtId="0" fontId="0" fillId="6" borderId="0" xfId="0" applyFill="1"/>
    <xf numFmtId="3" fontId="0" fillId="6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24" xfId="0" applyBorder="1" applyAlignment="1">
      <alignment horizontal="left"/>
    </xf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0" fontId="0" fillId="0" borderId="23" xfId="0" applyBorder="1" applyAlignment="1">
      <alignment horizontal="left"/>
    </xf>
    <xf numFmtId="0" fontId="0" fillId="0" borderId="18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20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166" fontId="0" fillId="0" borderId="24" xfId="1" applyNumberFormat="1" applyFont="1" applyBorder="1" applyAlignment="1">
      <alignment horizontal="center"/>
    </xf>
    <xf numFmtId="166" fontId="0" fillId="0" borderId="12" xfId="1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4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44</xdr:row>
      <xdr:rowOff>123824</xdr:rowOff>
    </xdr:from>
    <xdr:to>
      <xdr:col>4</xdr:col>
      <xdr:colOff>1431925</xdr:colOff>
      <xdr:row>68</xdr:row>
      <xdr:rowOff>47624</xdr:rowOff>
    </xdr:to>
    <xdr:pic>
      <xdr:nvPicPr>
        <xdr:cNvPr id="2" name="Picture 1" descr="Plot">
          <a:extLst>
            <a:ext uri="{FF2B5EF4-FFF2-40B4-BE49-F238E27FC236}">
              <a16:creationId xmlns:a16="http://schemas.microsoft.com/office/drawing/2014/main" id="{595CD53F-6C42-F68F-C571-56072CBE5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8572499"/>
          <a:ext cx="7508875" cy="450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0621C-1954-4A42-8B88-D07B12492C01}" name="Table1" displayName="Table1" ref="A39:I42" totalsRowShown="0" headerRowDxfId="0" dataDxfId="1" headerRowBorderDxfId="12" tableBorderDxfId="13" totalsRowBorderDxfId="11" dataCellStyle="Currency">
  <tableColumns count="9">
    <tableColumn id="1" xr3:uid="{F185FD89-1D2B-4FEF-B8F7-F739741CA4B5}" name="Container Size" dataDxfId="10"/>
    <tableColumn id="2" xr3:uid="{15E04F05-63CF-4A47-8685-5E11E5FA81C9}" name="Fixed Costs (Low)" dataDxfId="9" dataCellStyle="Currency"/>
    <tableColumn id="3" xr3:uid="{7D94B708-146F-456D-ABDC-96AB52641BC0}" name="Fixed Costs (High)" dataDxfId="8" dataCellStyle="Currency"/>
    <tableColumn id="4" xr3:uid="{52CDD00A-72A4-4A1A-8009-FB58563EA9B2}" name="Variable Costs (Low)" dataDxfId="7" dataCellStyle="Currency"/>
    <tableColumn id="5" xr3:uid="{3FEF1C1E-3600-42EE-BE07-46AF96AC0E26}" name="Variable Costs (High)" dataDxfId="6" dataCellStyle="Currency"/>
    <tableColumn id="6" xr3:uid="{1D44E269-7918-4009-88EC-E14C2AB1B3CB}" name="Non-Recurring Costs (Low)" dataDxfId="5" dataCellStyle="Currency"/>
    <tableColumn id="7" xr3:uid="{B6EA77A3-C69F-4F5C-8EE3-DD7A484E9B20}" name="Non-Recurring Costs (High)" dataDxfId="4" dataCellStyle="Currency"/>
    <tableColumn id="8" xr3:uid="{4FC9D40E-E12B-4F5C-A7BB-5FC9DFC476FF}" name="Total Cost (Low)" dataDxfId="3" dataCellStyle="Currency">
      <calculatedColumnFormula>SUM(B40+D40+F40)</calculatedColumnFormula>
    </tableColumn>
    <tableColumn id="9" xr3:uid="{48AC140C-EC7A-4397-94E2-8BFCC1035F36}" name="Total Cost (High)" dataDxfId="2" dataCellStyle="Currency">
      <calculatedColumnFormula>SUM(C40+E40+G40)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9657-605C-42DE-997E-FA7AFA4CD6D7}">
  <dimension ref="A1:I42"/>
  <sheetViews>
    <sheetView topLeftCell="A31" zoomScaleNormal="100" workbookViewId="0">
      <selection activeCell="B46" sqref="B46"/>
    </sheetView>
  </sheetViews>
  <sheetFormatPr defaultRowHeight="15" x14ac:dyDescent="0.25"/>
  <cols>
    <col min="1" max="1" width="39.28515625" customWidth="1"/>
    <col min="2" max="2" width="52.140625" style="18" customWidth="1"/>
    <col min="3" max="3" width="28.140625" customWidth="1"/>
    <col min="4" max="4" width="21.140625" customWidth="1"/>
    <col min="5" max="5" width="21.7109375" customWidth="1"/>
    <col min="6" max="6" width="26.5703125" customWidth="1"/>
    <col min="7" max="7" width="27.140625" customWidth="1"/>
    <col min="8" max="8" width="17.140625" customWidth="1"/>
    <col min="9" max="9" width="17.7109375" customWidth="1"/>
  </cols>
  <sheetData>
    <row r="1" spans="1:5" x14ac:dyDescent="0.25">
      <c r="A1" s="11" t="s">
        <v>0</v>
      </c>
      <c r="B1" s="1" t="s">
        <v>1</v>
      </c>
      <c r="C1" s="11" t="s">
        <v>36</v>
      </c>
      <c r="D1" s="138" t="s">
        <v>36</v>
      </c>
      <c r="E1" s="138"/>
    </row>
    <row r="2" spans="1:5" x14ac:dyDescent="0.25">
      <c r="A2" s="14" t="s">
        <v>2</v>
      </c>
      <c r="B2" s="17"/>
      <c r="C2" s="15"/>
      <c r="D2" s="40" t="s">
        <v>114</v>
      </c>
      <c r="E2" s="40" t="s">
        <v>113</v>
      </c>
    </row>
    <row r="3" spans="1:5" x14ac:dyDescent="0.25">
      <c r="A3" s="13" t="s">
        <v>3</v>
      </c>
      <c r="B3" s="2" t="s">
        <v>37</v>
      </c>
      <c r="C3" s="13" t="s">
        <v>38</v>
      </c>
    </row>
    <row r="4" spans="1:5" x14ac:dyDescent="0.25">
      <c r="A4" s="13" t="s">
        <v>39</v>
      </c>
      <c r="B4" s="2" t="s">
        <v>4</v>
      </c>
      <c r="C4" s="13" t="s">
        <v>40</v>
      </c>
    </row>
    <row r="5" spans="1:5" x14ac:dyDescent="0.25">
      <c r="A5" s="13" t="s">
        <v>41</v>
      </c>
      <c r="B5" s="2" t="s">
        <v>42</v>
      </c>
      <c r="C5" s="13" t="s">
        <v>43</v>
      </c>
    </row>
    <row r="6" spans="1:5" x14ac:dyDescent="0.25">
      <c r="A6" s="13" t="s">
        <v>5</v>
      </c>
      <c r="B6" s="2" t="s">
        <v>44</v>
      </c>
      <c r="C6" s="13" t="s">
        <v>45</v>
      </c>
    </row>
    <row r="7" spans="1:5" x14ac:dyDescent="0.25">
      <c r="A7" s="13" t="s">
        <v>46</v>
      </c>
      <c r="B7" s="2" t="s">
        <v>47</v>
      </c>
      <c r="C7" s="13" t="s">
        <v>48</v>
      </c>
    </row>
    <row r="8" spans="1:5" x14ac:dyDescent="0.25">
      <c r="A8" s="13" t="s">
        <v>49</v>
      </c>
      <c r="B8" s="2" t="s">
        <v>50</v>
      </c>
      <c r="C8" s="13" t="s">
        <v>51</v>
      </c>
    </row>
    <row r="9" spans="1:5" x14ac:dyDescent="0.25">
      <c r="A9" s="12" t="s">
        <v>52</v>
      </c>
      <c r="B9" s="2"/>
      <c r="C9" s="12" t="s">
        <v>53</v>
      </c>
      <c r="D9" s="20">
        <v>1610000</v>
      </c>
      <c r="E9" s="20">
        <v>1752000</v>
      </c>
    </row>
    <row r="10" spans="1:5" x14ac:dyDescent="0.25">
      <c r="A10" s="14" t="s">
        <v>6</v>
      </c>
      <c r="B10" s="17"/>
      <c r="C10" s="15"/>
      <c r="D10" s="19"/>
      <c r="E10" s="19"/>
    </row>
    <row r="11" spans="1:5" x14ac:dyDescent="0.25">
      <c r="A11" s="13" t="s">
        <v>54</v>
      </c>
      <c r="B11" s="2" t="s">
        <v>55</v>
      </c>
      <c r="C11" s="13" t="s">
        <v>56</v>
      </c>
      <c r="D11" s="19"/>
      <c r="E11" s="19"/>
    </row>
    <row r="12" spans="1:5" x14ac:dyDescent="0.25">
      <c r="A12" s="13" t="s">
        <v>57</v>
      </c>
      <c r="B12" s="2" t="s">
        <v>58</v>
      </c>
      <c r="C12" s="13" t="s">
        <v>59</v>
      </c>
      <c r="D12" s="19"/>
      <c r="E12" s="19"/>
    </row>
    <row r="13" spans="1:5" x14ac:dyDescent="0.25">
      <c r="A13" s="13" t="s">
        <v>7</v>
      </c>
      <c r="B13" s="2" t="s">
        <v>60</v>
      </c>
      <c r="C13" s="13" t="s">
        <v>61</v>
      </c>
      <c r="D13" s="19"/>
      <c r="E13" s="19"/>
    </row>
    <row r="14" spans="1:5" x14ac:dyDescent="0.25">
      <c r="A14" s="13" t="s">
        <v>62</v>
      </c>
      <c r="B14" s="2" t="s">
        <v>63</v>
      </c>
      <c r="C14" s="13" t="s">
        <v>64</v>
      </c>
      <c r="D14" s="19"/>
      <c r="E14" s="19"/>
    </row>
    <row r="15" spans="1:5" x14ac:dyDescent="0.25">
      <c r="A15" s="13" t="s">
        <v>65</v>
      </c>
      <c r="B15" s="2" t="s">
        <v>66</v>
      </c>
      <c r="C15" s="13" t="s">
        <v>67</v>
      </c>
      <c r="D15" s="19"/>
      <c r="E15" s="19"/>
    </row>
    <row r="16" spans="1:5" x14ac:dyDescent="0.25">
      <c r="A16" s="13" t="s">
        <v>68</v>
      </c>
      <c r="B16" s="2" t="s">
        <v>69</v>
      </c>
      <c r="C16" s="13" t="s">
        <v>64</v>
      </c>
      <c r="D16" s="19"/>
      <c r="E16" s="19"/>
    </row>
    <row r="17" spans="1:5" x14ac:dyDescent="0.25">
      <c r="A17" s="13" t="s">
        <v>70</v>
      </c>
      <c r="B17" s="2" t="s">
        <v>71</v>
      </c>
      <c r="C17" s="13" t="s">
        <v>61</v>
      </c>
      <c r="D17" s="19"/>
      <c r="E17" s="19"/>
    </row>
    <row r="18" spans="1:5" x14ac:dyDescent="0.25">
      <c r="A18" s="13" t="s">
        <v>72</v>
      </c>
      <c r="B18" s="2" t="s">
        <v>73</v>
      </c>
      <c r="C18" s="13" t="s">
        <v>74</v>
      </c>
      <c r="D18" s="19"/>
      <c r="E18" s="19"/>
    </row>
    <row r="19" spans="1:5" x14ac:dyDescent="0.25">
      <c r="A19" s="13" t="s">
        <v>75</v>
      </c>
      <c r="B19" s="2" t="s">
        <v>76</v>
      </c>
      <c r="C19" s="13" t="s">
        <v>77</v>
      </c>
      <c r="D19" s="19"/>
      <c r="E19" s="19"/>
    </row>
    <row r="20" spans="1:5" x14ac:dyDescent="0.25">
      <c r="A20" s="12" t="s">
        <v>78</v>
      </c>
      <c r="B20" s="2"/>
      <c r="C20" s="12" t="s">
        <v>79</v>
      </c>
      <c r="D20" s="20">
        <v>22200</v>
      </c>
      <c r="E20" s="20">
        <v>36000</v>
      </c>
    </row>
    <row r="21" spans="1:5" x14ac:dyDescent="0.25">
      <c r="A21" s="14" t="s">
        <v>8</v>
      </c>
      <c r="B21" s="17"/>
      <c r="C21" s="15"/>
      <c r="D21" s="19"/>
      <c r="E21" s="19"/>
    </row>
    <row r="22" spans="1:5" x14ac:dyDescent="0.25">
      <c r="A22" s="13" t="s">
        <v>9</v>
      </c>
      <c r="B22" s="2" t="s">
        <v>80</v>
      </c>
      <c r="C22" s="13" t="s">
        <v>81</v>
      </c>
      <c r="D22" s="19"/>
      <c r="E22" s="19"/>
    </row>
    <row r="23" spans="1:5" x14ac:dyDescent="0.25">
      <c r="A23" s="13" t="s">
        <v>10</v>
      </c>
      <c r="B23" s="2" t="s">
        <v>11</v>
      </c>
      <c r="C23" s="13" t="s">
        <v>82</v>
      </c>
      <c r="D23" s="19"/>
      <c r="E23" s="19"/>
    </row>
    <row r="24" spans="1:5" x14ac:dyDescent="0.25">
      <c r="A24" s="13" t="s">
        <v>12</v>
      </c>
      <c r="B24" s="2" t="s">
        <v>83</v>
      </c>
      <c r="C24" s="16">
        <v>30000</v>
      </c>
      <c r="D24" s="19"/>
      <c r="E24" s="19"/>
    </row>
    <row r="25" spans="1:5" x14ac:dyDescent="0.25">
      <c r="A25" s="13" t="s">
        <v>84</v>
      </c>
      <c r="B25" s="2" t="s">
        <v>85</v>
      </c>
      <c r="C25" s="13" t="s">
        <v>86</v>
      </c>
      <c r="D25" s="19"/>
      <c r="E25" s="19"/>
    </row>
    <row r="26" spans="1:5" x14ac:dyDescent="0.25">
      <c r="A26" s="13" t="s">
        <v>87</v>
      </c>
      <c r="B26" s="2" t="s">
        <v>88</v>
      </c>
      <c r="C26" s="13" t="s">
        <v>89</v>
      </c>
      <c r="D26" s="19"/>
      <c r="E26" s="19"/>
    </row>
    <row r="27" spans="1:5" x14ac:dyDescent="0.25">
      <c r="A27" s="12" t="s">
        <v>90</v>
      </c>
      <c r="B27" s="2"/>
      <c r="C27" s="12" t="s">
        <v>91</v>
      </c>
      <c r="D27" s="20">
        <v>262000</v>
      </c>
      <c r="E27" s="20">
        <v>410000</v>
      </c>
    </row>
    <row r="29" spans="1:5" x14ac:dyDescent="0.25">
      <c r="A29" s="21" t="s">
        <v>92</v>
      </c>
      <c r="B29" s="22"/>
      <c r="C29" s="23"/>
      <c r="D29" s="25">
        <f>SUM(D2:D28)</f>
        <v>1894200</v>
      </c>
      <c r="E29" s="25">
        <f>SUM(E2:E28)</f>
        <v>2198000</v>
      </c>
    </row>
    <row r="32" spans="1:5" x14ac:dyDescent="0.25">
      <c r="A32" s="130" t="s">
        <v>0</v>
      </c>
      <c r="B32" s="107" t="s">
        <v>36</v>
      </c>
      <c r="C32" s="107" t="s">
        <v>126</v>
      </c>
      <c r="D32" s="131" t="s">
        <v>127</v>
      </c>
      <c r="E32" s="141" t="s">
        <v>232</v>
      </c>
    </row>
    <row r="33" spans="1:9" x14ac:dyDescent="0.25">
      <c r="A33" s="132" t="s">
        <v>52</v>
      </c>
      <c r="B33" s="133" t="s">
        <v>53</v>
      </c>
      <c r="C33" s="133">
        <v>1610000</v>
      </c>
      <c r="D33" s="134">
        <v>1752000</v>
      </c>
    </row>
    <row r="34" spans="1:9" x14ac:dyDescent="0.25">
      <c r="A34" s="132" t="s">
        <v>78</v>
      </c>
      <c r="B34" s="133" t="s">
        <v>79</v>
      </c>
      <c r="C34" s="133">
        <v>22200</v>
      </c>
      <c r="D34" s="134">
        <v>36000</v>
      </c>
    </row>
    <row r="35" spans="1:9" x14ac:dyDescent="0.25">
      <c r="A35" s="132" t="s">
        <v>90</v>
      </c>
      <c r="B35" s="133" t="s">
        <v>91</v>
      </c>
      <c r="C35" s="133">
        <v>262000</v>
      </c>
      <c r="D35" s="134">
        <v>410000</v>
      </c>
    </row>
    <row r="36" spans="1:9" x14ac:dyDescent="0.25">
      <c r="A36" s="135" t="s">
        <v>92</v>
      </c>
      <c r="B36" s="136"/>
      <c r="C36" s="136">
        <v>1894200</v>
      </c>
      <c r="D36" s="137">
        <v>2198000</v>
      </c>
    </row>
    <row r="39" spans="1:9" x14ac:dyDescent="0.25">
      <c r="A39" s="144" t="s">
        <v>233</v>
      </c>
      <c r="B39" s="145" t="s">
        <v>234</v>
      </c>
      <c r="C39" s="145" t="s">
        <v>235</v>
      </c>
      <c r="D39" s="145" t="s">
        <v>236</v>
      </c>
      <c r="E39" s="145" t="s">
        <v>237</v>
      </c>
      <c r="F39" s="145" t="s">
        <v>238</v>
      </c>
      <c r="G39" s="145" t="s">
        <v>239</v>
      </c>
      <c r="H39" s="145" t="s">
        <v>240</v>
      </c>
      <c r="I39" s="54" t="s">
        <v>241</v>
      </c>
    </row>
    <row r="40" spans="1:9" x14ac:dyDescent="0.25">
      <c r="A40" s="131" t="s">
        <v>242</v>
      </c>
      <c r="B40" s="142">
        <v>1610000</v>
      </c>
      <c r="C40" s="142">
        <v>1752000</v>
      </c>
      <c r="D40" s="142">
        <v>11100</v>
      </c>
      <c r="E40" s="142">
        <v>18000</v>
      </c>
      <c r="F40" s="142">
        <v>262000</v>
      </c>
      <c r="G40" s="142">
        <v>410000</v>
      </c>
      <c r="H40" s="142">
        <f t="shared" ref="H40:H41" si="0">SUM(B40+D40+F40)</f>
        <v>1883100</v>
      </c>
      <c r="I40" s="143">
        <f t="shared" ref="I40:I41" si="1">SUM(C40+E40+G40)</f>
        <v>2180000</v>
      </c>
    </row>
    <row r="41" spans="1:9" x14ac:dyDescent="0.25">
      <c r="A41" s="131" t="s">
        <v>243</v>
      </c>
      <c r="B41" s="142">
        <v>1610000</v>
      </c>
      <c r="C41" s="142">
        <v>1752000</v>
      </c>
      <c r="D41" s="142">
        <v>44400</v>
      </c>
      <c r="E41" s="142">
        <v>72000</v>
      </c>
      <c r="F41" s="142">
        <v>262000</v>
      </c>
      <c r="G41" s="142">
        <v>410000</v>
      </c>
      <c r="H41" s="142">
        <f t="shared" si="0"/>
        <v>1916400</v>
      </c>
      <c r="I41" s="143">
        <f t="shared" si="1"/>
        <v>2234000</v>
      </c>
    </row>
    <row r="42" spans="1:9" x14ac:dyDescent="0.25">
      <c r="A42" s="58" t="s">
        <v>232</v>
      </c>
      <c r="B42" s="146">
        <v>1610000</v>
      </c>
      <c r="C42" s="146">
        <v>1752000</v>
      </c>
      <c r="D42" s="146">
        <v>22200</v>
      </c>
      <c r="E42" s="146">
        <v>36000</v>
      </c>
      <c r="F42" s="146">
        <v>262000</v>
      </c>
      <c r="G42" s="146">
        <v>410000</v>
      </c>
      <c r="H42" s="146">
        <f>SUM(B42+D42+F42)</f>
        <v>1894200</v>
      </c>
      <c r="I42" s="147">
        <f>SUM(C42+E42+G42)</f>
        <v>2198000</v>
      </c>
    </row>
  </sheetData>
  <mergeCells count="1">
    <mergeCell ref="D1:E1"/>
  </mergeCells>
  <pageMargins left="0.7" right="0.7" top="0.75" bottom="0.75" header="0.3" footer="0.3"/>
  <pageSetup scale="9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CD6F-9CEF-4A43-B46E-7FEB5305D474}">
  <dimension ref="A1:F20"/>
  <sheetViews>
    <sheetView topLeftCell="A7" zoomScaleNormal="100" workbookViewId="0"/>
  </sheetViews>
  <sheetFormatPr defaultRowHeight="15" x14ac:dyDescent="0.25"/>
  <cols>
    <col min="1" max="1" width="32.28515625" bestFit="1" customWidth="1"/>
    <col min="2" max="2" width="68.140625" style="2" customWidth="1"/>
    <col min="3" max="3" width="20.5703125" style="5" bestFit="1" customWidth="1"/>
    <col min="4" max="5" width="13.7109375" bestFit="1" customWidth="1"/>
    <col min="7" max="7" width="12.5703125" bestFit="1" customWidth="1"/>
    <col min="8" max="8" width="10.7109375" bestFit="1" customWidth="1"/>
    <col min="9" max="9" width="10.140625" bestFit="1" customWidth="1"/>
    <col min="10" max="10" width="11.28515625" customWidth="1"/>
  </cols>
  <sheetData>
    <row r="1" spans="1:6" x14ac:dyDescent="0.25">
      <c r="A1" s="11" t="s">
        <v>13</v>
      </c>
      <c r="B1" s="11" t="s">
        <v>14</v>
      </c>
      <c r="C1" s="1" t="s">
        <v>15</v>
      </c>
      <c r="D1" s="138" t="s">
        <v>15</v>
      </c>
      <c r="E1" s="138"/>
    </row>
    <row r="2" spans="1:6" x14ac:dyDescent="0.25">
      <c r="A2" s="14" t="s">
        <v>16</v>
      </c>
      <c r="B2" s="14"/>
      <c r="C2" s="14"/>
      <c r="D2" s="40" t="s">
        <v>114</v>
      </c>
      <c r="E2" s="40" t="s">
        <v>113</v>
      </c>
    </row>
    <row r="3" spans="1:6" x14ac:dyDescent="0.25">
      <c r="A3" t="s">
        <v>31</v>
      </c>
      <c r="B3" s="2" t="s">
        <v>17</v>
      </c>
      <c r="C3" s="5" t="s">
        <v>93</v>
      </c>
    </row>
    <row r="4" spans="1:6" x14ac:dyDescent="0.25">
      <c r="A4" t="s">
        <v>18</v>
      </c>
      <c r="B4" s="2" t="s">
        <v>19</v>
      </c>
    </row>
    <row r="5" spans="1:6" x14ac:dyDescent="0.25">
      <c r="A5" t="s">
        <v>20</v>
      </c>
      <c r="B5" s="2" t="s">
        <v>21</v>
      </c>
    </row>
    <row r="6" spans="1:6" x14ac:dyDescent="0.25">
      <c r="A6" t="s">
        <v>22</v>
      </c>
      <c r="B6" s="2" t="s">
        <v>23</v>
      </c>
    </row>
    <row r="7" spans="1:6" x14ac:dyDescent="0.25">
      <c r="A7" t="s">
        <v>24</v>
      </c>
      <c r="B7" s="2" t="s">
        <v>25</v>
      </c>
    </row>
    <row r="8" spans="1:6" x14ac:dyDescent="0.25">
      <c r="A8" t="s">
        <v>26</v>
      </c>
      <c r="B8" s="2" t="s">
        <v>27</v>
      </c>
    </row>
    <row r="9" spans="1:6" x14ac:dyDescent="0.25">
      <c r="A9" s="3" t="s">
        <v>97</v>
      </c>
      <c r="B9"/>
      <c r="C9" s="12"/>
      <c r="D9" s="20">
        <v>100000</v>
      </c>
      <c r="E9" s="20">
        <v>200000</v>
      </c>
    </row>
    <row r="10" spans="1:6" x14ac:dyDescent="0.25">
      <c r="A10" s="14" t="s">
        <v>28</v>
      </c>
      <c r="B10" s="14"/>
      <c r="C10" s="14"/>
    </row>
    <row r="11" spans="1:6" ht="45" x14ac:dyDescent="0.25">
      <c r="A11" t="s">
        <v>28</v>
      </c>
      <c r="B11" s="2" t="s">
        <v>35</v>
      </c>
      <c r="C11" s="5" t="s">
        <v>94</v>
      </c>
      <c r="F11" s="20"/>
    </row>
    <row r="12" spans="1:6" x14ac:dyDescent="0.25">
      <c r="A12" s="3" t="s">
        <v>100</v>
      </c>
      <c r="B12"/>
      <c r="C12" s="12"/>
      <c r="D12" s="20">
        <v>2200</v>
      </c>
      <c r="E12" s="20">
        <v>2400</v>
      </c>
    </row>
    <row r="13" spans="1:6" x14ac:dyDescent="0.25">
      <c r="A13" s="14" t="s">
        <v>29</v>
      </c>
      <c r="B13" s="14"/>
      <c r="C13" s="14"/>
    </row>
    <row r="14" spans="1:6" x14ac:dyDescent="0.25">
      <c r="B14" s="13" t="s">
        <v>99</v>
      </c>
      <c r="C14" s="5" t="s">
        <v>95</v>
      </c>
    </row>
    <row r="15" spans="1:6" x14ac:dyDescent="0.25">
      <c r="A15" s="3" t="s">
        <v>101</v>
      </c>
      <c r="B15"/>
      <c r="C15" s="12"/>
      <c r="D15" s="20">
        <v>3000</v>
      </c>
      <c r="E15" s="20">
        <v>6000</v>
      </c>
    </row>
    <row r="16" spans="1:6" x14ac:dyDescent="0.25">
      <c r="A16" s="14" t="s">
        <v>30</v>
      </c>
      <c r="B16" s="14"/>
      <c r="C16" s="14"/>
    </row>
    <row r="17" spans="1:5" x14ac:dyDescent="0.25">
      <c r="A17" t="s">
        <v>30</v>
      </c>
      <c r="B17" s="2" t="s">
        <v>98</v>
      </c>
      <c r="C17" s="5" t="s">
        <v>96</v>
      </c>
    </row>
    <row r="18" spans="1:5" x14ac:dyDescent="0.25">
      <c r="A18" s="3" t="s">
        <v>102</v>
      </c>
      <c r="B18"/>
      <c r="C18" s="12"/>
      <c r="D18" s="20">
        <v>1000</v>
      </c>
      <c r="E18" s="20">
        <v>1500</v>
      </c>
    </row>
    <row r="19" spans="1:5" x14ac:dyDescent="0.25">
      <c r="A19" s="3"/>
      <c r="B19"/>
      <c r="C19" s="12"/>
      <c r="D19" s="20"/>
      <c r="E19" s="20"/>
    </row>
    <row r="20" spans="1:5" x14ac:dyDescent="0.25">
      <c r="A20" s="21" t="s">
        <v>92</v>
      </c>
      <c r="B20" s="24"/>
      <c r="C20" s="21"/>
      <c r="D20" s="20">
        <f>SUM(D2:D18)</f>
        <v>106200</v>
      </c>
      <c r="E20" s="20">
        <f>SUM(E2:E18)</f>
        <v>209900</v>
      </c>
    </row>
  </sheetData>
  <mergeCells count="1">
    <mergeCell ref="D1:E1"/>
  </mergeCells>
  <pageMargins left="0.7" right="0.7" top="0.75" bottom="0.75" header="0.3" footer="0.3"/>
  <pageSetup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C9C0-79FE-4797-B498-96CC0E5EADE4}">
  <dimension ref="A1:K17"/>
  <sheetViews>
    <sheetView workbookViewId="0">
      <selection activeCell="I8" sqref="I8"/>
    </sheetView>
  </sheetViews>
  <sheetFormatPr defaultRowHeight="15" x14ac:dyDescent="0.25"/>
  <cols>
    <col min="3" max="3" width="14.28515625" style="5" bestFit="1" customWidth="1"/>
    <col min="4" max="4" width="9.140625" style="5"/>
    <col min="5" max="5" width="21" style="5" bestFit="1" customWidth="1"/>
    <col min="6" max="6" width="9.140625" style="5"/>
    <col min="7" max="7" width="26" style="5" customWidth="1"/>
    <col min="8" max="8" width="9.140625" style="5"/>
    <col min="9" max="9" width="21.140625" style="5" bestFit="1" customWidth="1"/>
  </cols>
  <sheetData>
    <row r="1" spans="1:11" ht="15.75" thickBot="1" x14ac:dyDescent="0.3"/>
    <row r="2" spans="1:11" x14ac:dyDescent="0.25">
      <c r="A2" s="27" t="s">
        <v>110</v>
      </c>
      <c r="B2" s="28" t="s">
        <v>111</v>
      </c>
      <c r="C2" s="29" t="s">
        <v>103</v>
      </c>
      <c r="D2" s="28" t="s">
        <v>104</v>
      </c>
      <c r="E2" s="28" t="s">
        <v>109</v>
      </c>
      <c r="F2" s="28" t="s">
        <v>104</v>
      </c>
      <c r="G2" s="29" t="s">
        <v>105</v>
      </c>
      <c r="H2" s="28" t="s">
        <v>106</v>
      </c>
      <c r="I2" s="30" t="s">
        <v>107</v>
      </c>
    </row>
    <row r="3" spans="1:11" x14ac:dyDescent="0.25">
      <c r="A3" s="31"/>
      <c r="C3" s="5" t="s">
        <v>108</v>
      </c>
      <c r="G3" s="5" t="s">
        <v>108</v>
      </c>
      <c r="I3" s="32"/>
    </row>
    <row r="4" spans="1:11" x14ac:dyDescent="0.25">
      <c r="A4" s="31"/>
      <c r="I4" s="32"/>
    </row>
    <row r="5" spans="1:11" x14ac:dyDescent="0.25">
      <c r="A5" s="45">
        <v>1</v>
      </c>
      <c r="B5" s="5" t="s">
        <v>111</v>
      </c>
      <c r="C5" s="26">
        <f>'Projected Cost'!D9</f>
        <v>1610000</v>
      </c>
      <c r="D5" s="5" t="s">
        <v>104</v>
      </c>
      <c r="E5" s="33">
        <f>'Projected Cost'!D20</f>
        <v>22200</v>
      </c>
      <c r="F5" s="5" t="s">
        <v>104</v>
      </c>
      <c r="G5" s="26">
        <f>'Projected Cost'!D27</f>
        <v>262000</v>
      </c>
      <c r="H5" s="5" t="s">
        <v>106</v>
      </c>
      <c r="I5" s="38">
        <f>(A5*C5)/C6+E5+(G5/G6)</f>
        <v>147000</v>
      </c>
    </row>
    <row r="6" spans="1:11" x14ac:dyDescent="0.25">
      <c r="A6" s="31"/>
      <c r="C6" s="44">
        <v>15</v>
      </c>
      <c r="G6" s="5">
        <f>C6</f>
        <v>15</v>
      </c>
      <c r="I6" s="32"/>
    </row>
    <row r="7" spans="1:11" x14ac:dyDescent="0.25">
      <c r="A7" s="31"/>
      <c r="I7" s="32"/>
    </row>
    <row r="8" spans="1:11" ht="15.75" thickBot="1" x14ac:dyDescent="0.3">
      <c r="A8" s="34"/>
      <c r="B8" s="35"/>
      <c r="C8" s="36">
        <f>(A5*C5)/C6</f>
        <v>107333.33333333333</v>
      </c>
      <c r="D8" s="37" t="s">
        <v>104</v>
      </c>
      <c r="E8" s="36">
        <f>E5</f>
        <v>22200</v>
      </c>
      <c r="F8" s="37" t="s">
        <v>104</v>
      </c>
      <c r="G8" s="36">
        <f>G5/G6</f>
        <v>17466.666666666668</v>
      </c>
      <c r="H8" s="37" t="s">
        <v>106</v>
      </c>
      <c r="I8" s="39">
        <f>(C8+E8+G8)</f>
        <v>147000</v>
      </c>
      <c r="J8" s="5" t="s">
        <v>112</v>
      </c>
      <c r="K8" s="141" t="s">
        <v>232</v>
      </c>
    </row>
    <row r="10" spans="1:11" ht="15.75" thickBot="1" x14ac:dyDescent="0.3"/>
    <row r="11" spans="1:11" x14ac:dyDescent="0.25">
      <c r="A11" s="27" t="s">
        <v>110</v>
      </c>
      <c r="B11" s="28" t="s">
        <v>111</v>
      </c>
      <c r="C11" s="29" t="s">
        <v>103</v>
      </c>
      <c r="D11" s="28" t="s">
        <v>104</v>
      </c>
      <c r="E11" s="28" t="s">
        <v>109</v>
      </c>
      <c r="F11" s="28" t="s">
        <v>104</v>
      </c>
      <c r="G11" s="29" t="s">
        <v>105</v>
      </c>
      <c r="H11" s="28" t="s">
        <v>106</v>
      </c>
      <c r="I11" s="30" t="s">
        <v>107</v>
      </c>
    </row>
    <row r="12" spans="1:11" x14ac:dyDescent="0.25">
      <c r="A12" s="31"/>
      <c r="C12" s="5" t="s">
        <v>108</v>
      </c>
      <c r="G12" s="5" t="s">
        <v>108</v>
      </c>
      <c r="I12" s="32"/>
    </row>
    <row r="13" spans="1:11" x14ac:dyDescent="0.25">
      <c r="A13" s="31"/>
      <c r="I13" s="32"/>
    </row>
    <row r="14" spans="1:11" x14ac:dyDescent="0.25">
      <c r="A14" s="45">
        <v>1</v>
      </c>
      <c r="B14" s="5" t="s">
        <v>111</v>
      </c>
      <c r="C14" s="26">
        <f>'Projected Cost'!E9</f>
        <v>1752000</v>
      </c>
      <c r="D14" s="5" t="s">
        <v>104</v>
      </c>
      <c r="E14" s="33">
        <f>'Projected Cost'!E20</f>
        <v>36000</v>
      </c>
      <c r="F14" s="5" t="s">
        <v>104</v>
      </c>
      <c r="G14" s="26">
        <f>'Projected Cost'!E27</f>
        <v>410000</v>
      </c>
      <c r="H14" s="5" t="s">
        <v>106</v>
      </c>
      <c r="I14" s="38">
        <f>(A14*C14)/C15+E14+(G14/G15)</f>
        <v>180133.33333333334</v>
      </c>
    </row>
    <row r="15" spans="1:11" x14ac:dyDescent="0.25">
      <c r="A15" s="31"/>
      <c r="C15" s="44">
        <v>15</v>
      </c>
      <c r="G15" s="5">
        <f>C15</f>
        <v>15</v>
      </c>
      <c r="I15" s="32"/>
    </row>
    <row r="16" spans="1:11" x14ac:dyDescent="0.25">
      <c r="A16" s="31"/>
      <c r="I16" s="32"/>
    </row>
    <row r="17" spans="1:10" ht="15.75" thickBot="1" x14ac:dyDescent="0.3">
      <c r="A17" s="34"/>
      <c r="B17" s="35"/>
      <c r="C17" s="36">
        <f>(A14*C14)/C15</f>
        <v>116800</v>
      </c>
      <c r="D17" s="37" t="s">
        <v>104</v>
      </c>
      <c r="E17" s="36">
        <f>E14</f>
        <v>36000</v>
      </c>
      <c r="F17" s="37" t="s">
        <v>104</v>
      </c>
      <c r="G17" s="36">
        <f>G14/G15</f>
        <v>27333.333333333332</v>
      </c>
      <c r="H17" s="37" t="s">
        <v>106</v>
      </c>
      <c r="I17" s="39">
        <f>(C17+E17+G17)</f>
        <v>180133.33333333334</v>
      </c>
      <c r="J17" s="5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A202-6C31-488F-A37D-B907C8D12F27}">
  <dimension ref="A1:C14"/>
  <sheetViews>
    <sheetView workbookViewId="0">
      <selection activeCell="B3" sqref="B3"/>
    </sheetView>
  </sheetViews>
  <sheetFormatPr defaultRowHeight="15" x14ac:dyDescent="0.25"/>
  <cols>
    <col min="1" max="3" width="32.140625" customWidth="1"/>
  </cols>
  <sheetData>
    <row r="1" spans="1:3" x14ac:dyDescent="0.25">
      <c r="A1" s="40" t="s">
        <v>0</v>
      </c>
      <c r="B1" s="40" t="s">
        <v>115</v>
      </c>
      <c r="C1" s="40" t="s">
        <v>116</v>
      </c>
    </row>
    <row r="2" spans="1:3" x14ac:dyDescent="0.25">
      <c r="A2" t="s">
        <v>117</v>
      </c>
      <c r="B2">
        <f>'Cost per Unit'!C6</f>
        <v>15</v>
      </c>
      <c r="C2">
        <f>'Cost per Unit'!C15</f>
        <v>15</v>
      </c>
    </row>
    <row r="3" spans="1:3" x14ac:dyDescent="0.25">
      <c r="A3" t="s">
        <v>118</v>
      </c>
      <c r="B3" s="4">
        <f>'Cost per Unit'!I8</f>
        <v>147000</v>
      </c>
      <c r="C3" s="4">
        <f>'Cost per Unit'!I17</f>
        <v>180133.33333333334</v>
      </c>
    </row>
    <row r="4" spans="1:3" x14ac:dyDescent="0.25">
      <c r="A4" s="119" t="s">
        <v>125</v>
      </c>
      <c r="B4" s="120">
        <f>B6*0.3</f>
        <v>661500</v>
      </c>
      <c r="C4" s="120">
        <f>C6*0.3</f>
        <v>810600</v>
      </c>
    </row>
    <row r="5" spans="1:3" x14ac:dyDescent="0.25">
      <c r="A5" t="s">
        <v>124</v>
      </c>
      <c r="B5" s="4">
        <f>B6*0.7</f>
        <v>1543500</v>
      </c>
      <c r="C5" s="4">
        <f>C6*0.7</f>
        <v>1891399.9999999998</v>
      </c>
    </row>
    <row r="6" spans="1:3" x14ac:dyDescent="0.25">
      <c r="A6" s="42" t="s">
        <v>119</v>
      </c>
      <c r="B6" s="43">
        <f>B3*B2</f>
        <v>2205000</v>
      </c>
      <c r="C6" s="43">
        <f>C3*C2</f>
        <v>2702000</v>
      </c>
    </row>
    <row r="7" spans="1:3" x14ac:dyDescent="0.25">
      <c r="A7" t="s">
        <v>28</v>
      </c>
      <c r="B7" s="4">
        <f>'Revenue Stream'!D12</f>
        <v>2200</v>
      </c>
      <c r="C7" s="4">
        <f>'Revenue Stream'!E12</f>
        <v>2400</v>
      </c>
    </row>
    <row r="8" spans="1:3" x14ac:dyDescent="0.25">
      <c r="A8" t="s">
        <v>122</v>
      </c>
      <c r="B8" s="4">
        <f>B7*B2</f>
        <v>33000</v>
      </c>
      <c r="C8" s="4">
        <f>C7*C2</f>
        <v>36000</v>
      </c>
    </row>
    <row r="9" spans="1:3" x14ac:dyDescent="0.25">
      <c r="A9" s="42" t="s">
        <v>32</v>
      </c>
      <c r="B9" s="43">
        <f>B6+B8</f>
        <v>2238000</v>
      </c>
      <c r="C9" s="43">
        <f>C6+C8</f>
        <v>2738000</v>
      </c>
    </row>
    <row r="10" spans="1:3" x14ac:dyDescent="0.25">
      <c r="A10" t="s">
        <v>2</v>
      </c>
      <c r="B10" s="4">
        <f>'Cost per Unit'!C5</f>
        <v>1610000</v>
      </c>
      <c r="C10" s="4">
        <f>'Cost per Unit'!C14</f>
        <v>1752000</v>
      </c>
    </row>
    <row r="11" spans="1:3" x14ac:dyDescent="0.25">
      <c r="A11" t="s">
        <v>6</v>
      </c>
      <c r="B11" s="4">
        <f>'Cost per Unit'!E5</f>
        <v>22200</v>
      </c>
      <c r="C11" s="4">
        <f>'Cost per Unit'!E14</f>
        <v>36000</v>
      </c>
    </row>
    <row r="12" spans="1:3" x14ac:dyDescent="0.25">
      <c r="A12" t="s">
        <v>123</v>
      </c>
      <c r="B12" s="4">
        <f>B11*B2</f>
        <v>333000</v>
      </c>
      <c r="C12" s="4">
        <f>C11*C2</f>
        <v>540000</v>
      </c>
    </row>
    <row r="13" spans="1:3" x14ac:dyDescent="0.25">
      <c r="A13" s="42" t="s">
        <v>120</v>
      </c>
      <c r="B13" s="43">
        <f>B10+B12</f>
        <v>1943000</v>
      </c>
      <c r="C13" s="43">
        <f>C10+C12</f>
        <v>2292000</v>
      </c>
    </row>
    <row r="14" spans="1:3" x14ac:dyDescent="0.25">
      <c r="A14" s="41" t="s">
        <v>121</v>
      </c>
      <c r="B14" s="46">
        <f>B9-B13</f>
        <v>295000</v>
      </c>
      <c r="C14" s="46">
        <f>C9-C13</f>
        <v>446000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0819-DFEE-4D74-A5D1-209AD1D84FD2}">
  <dimension ref="A1:E16"/>
  <sheetViews>
    <sheetView workbookViewId="0">
      <selection activeCell="A18" sqref="A18"/>
    </sheetView>
  </sheetViews>
  <sheetFormatPr defaultRowHeight="15" x14ac:dyDescent="0.25"/>
  <cols>
    <col min="1" max="1" width="21.42578125" bestFit="1" customWidth="1"/>
    <col min="2" max="2" width="17.7109375" customWidth="1"/>
    <col min="3" max="3" width="21.140625" customWidth="1"/>
    <col min="4" max="4" width="13.140625" customWidth="1"/>
    <col min="5" max="5" width="11.42578125" customWidth="1"/>
  </cols>
  <sheetData>
    <row r="1" spans="1:5" x14ac:dyDescent="0.25">
      <c r="A1" s="56"/>
      <c r="B1" s="57" t="s">
        <v>126</v>
      </c>
      <c r="C1" s="58" t="s">
        <v>127</v>
      </c>
      <c r="D1" s="5"/>
      <c r="E1" s="5"/>
    </row>
    <row r="2" spans="1:5" x14ac:dyDescent="0.25">
      <c r="A2" s="50" t="s">
        <v>33</v>
      </c>
      <c r="B2" s="4">
        <f>'Financial Forecast'!B14</f>
        <v>295000</v>
      </c>
      <c r="C2" s="59">
        <f>'Financial Forecast'!C14</f>
        <v>446000</v>
      </c>
      <c r="D2" s="4"/>
      <c r="E2" s="4"/>
    </row>
    <row r="3" spans="1:5" x14ac:dyDescent="0.25">
      <c r="A3" s="60" t="s">
        <v>128</v>
      </c>
      <c r="B3" s="47">
        <f>'Financial Forecast'!B13</f>
        <v>1943000</v>
      </c>
      <c r="C3" s="61">
        <f>'Financial Forecast'!C13</f>
        <v>2292000</v>
      </c>
      <c r="D3" s="4"/>
      <c r="E3" s="4"/>
    </row>
    <row r="4" spans="1:5" x14ac:dyDescent="0.25">
      <c r="A4" s="54" t="s">
        <v>34</v>
      </c>
      <c r="B4" s="62">
        <f>B2/B3</f>
        <v>0.15182707153885744</v>
      </c>
      <c r="C4" s="63">
        <f>C2/C3</f>
        <v>0.19458987783595114</v>
      </c>
      <c r="D4" s="10"/>
      <c r="E4" s="10"/>
    </row>
    <row r="7" spans="1:5" x14ac:dyDescent="0.25">
      <c r="A7" s="48" t="s">
        <v>129</v>
      </c>
      <c r="B7" s="139" t="s">
        <v>2</v>
      </c>
      <c r="C7" s="139"/>
      <c r="D7" s="70"/>
      <c r="E7" s="49"/>
    </row>
    <row r="8" spans="1:5" x14ac:dyDescent="0.25">
      <c r="A8" s="50"/>
      <c r="B8" s="140" t="s">
        <v>130</v>
      </c>
      <c r="C8" s="140"/>
      <c r="E8" s="51"/>
    </row>
    <row r="9" spans="1:5" x14ac:dyDescent="0.25">
      <c r="A9" s="50"/>
      <c r="E9" s="51"/>
    </row>
    <row r="10" spans="1:5" x14ac:dyDescent="0.25">
      <c r="A10" s="52" t="s">
        <v>126</v>
      </c>
      <c r="B10" s="4">
        <f>'Financial Forecast'!B10</f>
        <v>1610000</v>
      </c>
      <c r="C10" s="4">
        <f>'Financial Forecast'!B3</f>
        <v>147000</v>
      </c>
      <c r="D10" s="4">
        <f>'Financial Forecast'!B11</f>
        <v>22200</v>
      </c>
      <c r="E10" s="53">
        <f>B10/(C10-D10)</f>
        <v>12.900641025641026</v>
      </c>
    </row>
    <row r="11" spans="1:5" x14ac:dyDescent="0.25">
      <c r="A11" s="54" t="s">
        <v>127</v>
      </c>
      <c r="B11" s="47">
        <f>'Financial Forecast'!C10</f>
        <v>1752000</v>
      </c>
      <c r="C11" s="47">
        <f>'Financial Forecast'!C3</f>
        <v>180133.33333333334</v>
      </c>
      <c r="D11" s="47">
        <f>'Financial Forecast'!C11</f>
        <v>36000</v>
      </c>
      <c r="E11" s="55">
        <f>B11/(C11-D11)</f>
        <v>12.15541165587419</v>
      </c>
    </row>
    <row r="14" spans="1:5" x14ac:dyDescent="0.25">
      <c r="A14" s="108" t="s">
        <v>131</v>
      </c>
      <c r="B14" s="109" t="s">
        <v>132</v>
      </c>
      <c r="C14" s="110" t="s">
        <v>133</v>
      </c>
    </row>
    <row r="15" spans="1:5" x14ac:dyDescent="0.25">
      <c r="A15" s="64" t="s">
        <v>134</v>
      </c>
      <c r="B15" s="65">
        <f>B4</f>
        <v>0.15182707153885744</v>
      </c>
      <c r="C15" s="66">
        <f>C4</f>
        <v>0.19458987783595114</v>
      </c>
    </row>
    <row r="16" spans="1:5" ht="30" x14ac:dyDescent="0.25">
      <c r="A16" s="67" t="s">
        <v>135</v>
      </c>
      <c r="B16" s="68">
        <f>E10</f>
        <v>12.900641025641026</v>
      </c>
      <c r="C16" s="69">
        <f>E11</f>
        <v>12.15541165587419</v>
      </c>
    </row>
  </sheetData>
  <mergeCells count="2">
    <mergeCell ref="B7:C7"/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49CF-88CA-4D8A-94AD-21CDB18DAAC0}">
  <dimension ref="A1:F19"/>
  <sheetViews>
    <sheetView workbookViewId="0">
      <selection activeCell="A20" sqref="A20"/>
    </sheetView>
  </sheetViews>
  <sheetFormatPr defaultRowHeight="15" x14ac:dyDescent="0.25"/>
  <cols>
    <col min="1" max="1" width="39.140625" style="13" customWidth="1"/>
    <col min="2" max="3" width="16.28515625" style="82" customWidth="1"/>
    <col min="4" max="4" width="16.28515625" style="13" customWidth="1"/>
    <col min="5" max="5" width="16.28515625" style="87" customWidth="1"/>
    <col min="6" max="6" width="16.28515625" style="13" customWidth="1"/>
    <col min="7" max="10" width="15.42578125" style="13" customWidth="1"/>
    <col min="11" max="16384" width="9.140625" style="13"/>
  </cols>
  <sheetData>
    <row r="1" spans="1:6" x14ac:dyDescent="0.25">
      <c r="A1" s="89" t="s">
        <v>0</v>
      </c>
      <c r="B1" s="92" t="s">
        <v>132</v>
      </c>
      <c r="C1" s="93" t="s">
        <v>133</v>
      </c>
    </row>
    <row r="2" spans="1:6" x14ac:dyDescent="0.25">
      <c r="A2" s="71" t="s">
        <v>136</v>
      </c>
      <c r="B2" s="72">
        <f>ROI_BreakEven!C10</f>
        <v>147000</v>
      </c>
      <c r="C2" s="73">
        <f>ROI_BreakEven!C11</f>
        <v>180133.33333333334</v>
      </c>
    </row>
    <row r="3" spans="1:6" x14ac:dyDescent="0.25">
      <c r="A3" s="71" t="s">
        <v>137</v>
      </c>
      <c r="B3" s="74">
        <f>'Financial Forecast'!B2</f>
        <v>15</v>
      </c>
      <c r="C3" s="75">
        <f>'Financial Forecast'!C2</f>
        <v>15</v>
      </c>
    </row>
    <row r="4" spans="1:6" x14ac:dyDescent="0.25">
      <c r="A4" s="71" t="s">
        <v>138</v>
      </c>
      <c r="B4" s="72">
        <f>'Financial Forecast'!B10</f>
        <v>1610000</v>
      </c>
      <c r="C4" s="73">
        <f>'Financial Forecast'!C10</f>
        <v>1752000</v>
      </c>
    </row>
    <row r="5" spans="1:6" x14ac:dyDescent="0.25">
      <c r="A5" s="71" t="s">
        <v>139</v>
      </c>
      <c r="B5" s="72">
        <f>ROI_BreakEven!D10</f>
        <v>22200</v>
      </c>
      <c r="C5" s="73">
        <f>ROI_BreakEven!D11</f>
        <v>36000</v>
      </c>
    </row>
    <row r="6" spans="1:6" x14ac:dyDescent="0.25">
      <c r="A6" s="71" t="s">
        <v>140</v>
      </c>
      <c r="B6" s="76">
        <v>0.125</v>
      </c>
      <c r="C6" s="77">
        <v>0.15</v>
      </c>
    </row>
    <row r="7" spans="1:6" x14ac:dyDescent="0.25">
      <c r="A7" s="71" t="s">
        <v>141</v>
      </c>
      <c r="B7" s="78">
        <v>0.06</v>
      </c>
      <c r="C7" s="77">
        <v>0.08</v>
      </c>
    </row>
    <row r="8" spans="1:6" x14ac:dyDescent="0.25">
      <c r="A8" s="79" t="s">
        <v>142</v>
      </c>
      <c r="B8" s="80">
        <v>5.0000000000000001E-3</v>
      </c>
      <c r="C8" s="81">
        <v>0.01</v>
      </c>
    </row>
    <row r="10" spans="1:6" x14ac:dyDescent="0.25">
      <c r="A10" s="89" t="s">
        <v>131</v>
      </c>
      <c r="B10" s="90" t="s">
        <v>158</v>
      </c>
      <c r="C10" s="90" t="s">
        <v>143</v>
      </c>
      <c r="D10" s="90" t="s">
        <v>159</v>
      </c>
      <c r="E10" s="90" t="s">
        <v>144</v>
      </c>
      <c r="F10" s="91" t="s">
        <v>134</v>
      </c>
    </row>
    <row r="11" spans="1:6" x14ac:dyDescent="0.25">
      <c r="A11" s="83" t="s">
        <v>150</v>
      </c>
      <c r="B11" s="4">
        <v>10000</v>
      </c>
      <c r="C11" s="4">
        <v>10000</v>
      </c>
      <c r="D11" s="4">
        <v>10000</v>
      </c>
      <c r="E11" s="4">
        <v>10000</v>
      </c>
      <c r="F11" s="59">
        <v>10000</v>
      </c>
    </row>
    <row r="12" spans="1:6" x14ac:dyDescent="0.25">
      <c r="A12" s="83" t="s">
        <v>151</v>
      </c>
      <c r="B12">
        <v>17.510000000000002</v>
      </c>
      <c r="C12" s="4">
        <v>2548374</v>
      </c>
      <c r="D12" s="4">
        <v>2189297</v>
      </c>
      <c r="E12" s="4">
        <v>359078</v>
      </c>
      <c r="F12" s="88">
        <v>0.16420000000000001</v>
      </c>
    </row>
    <row r="13" spans="1:6" x14ac:dyDescent="0.25">
      <c r="A13" s="84" t="s">
        <v>157</v>
      </c>
      <c r="B13">
        <v>1.45</v>
      </c>
      <c r="C13" s="4">
        <v>211196</v>
      </c>
      <c r="D13" s="4">
        <v>91305</v>
      </c>
      <c r="E13" s="4">
        <v>188199</v>
      </c>
      <c r="F13" s="88">
        <v>8.6499999999999994E-2</v>
      </c>
    </row>
    <row r="14" spans="1:6" x14ac:dyDescent="0.25">
      <c r="A14" s="111" t="s">
        <v>152</v>
      </c>
      <c r="B14" s="112">
        <v>15</v>
      </c>
      <c r="C14" s="113">
        <v>2166624</v>
      </c>
      <c r="D14" s="113">
        <v>1950015</v>
      </c>
      <c r="E14" s="113">
        <v>-112799</v>
      </c>
      <c r="F14" s="114">
        <v>-4.9299999999999997E-2</v>
      </c>
    </row>
    <row r="15" spans="1:6" x14ac:dyDescent="0.25">
      <c r="A15" s="85" t="s">
        <v>153</v>
      </c>
      <c r="B15">
        <v>16.25</v>
      </c>
      <c r="C15" s="4">
        <v>2364433</v>
      </c>
      <c r="D15" s="4">
        <v>2121164</v>
      </c>
      <c r="E15" s="4">
        <v>211299</v>
      </c>
      <c r="F15" s="88">
        <v>9.7799999999999998E-2</v>
      </c>
    </row>
    <row r="16" spans="1:6" x14ac:dyDescent="0.25">
      <c r="A16" s="85" t="s">
        <v>154</v>
      </c>
      <c r="B16">
        <v>17.510000000000002</v>
      </c>
      <c r="C16" s="4">
        <v>2548079</v>
      </c>
      <c r="D16" s="4">
        <v>2186116</v>
      </c>
      <c r="E16" s="4">
        <v>356875</v>
      </c>
      <c r="F16" s="88">
        <v>0.1623</v>
      </c>
    </row>
    <row r="17" spans="1:6" x14ac:dyDescent="0.25">
      <c r="A17" s="85" t="s">
        <v>155</v>
      </c>
      <c r="B17">
        <v>18.760000000000002</v>
      </c>
      <c r="C17" s="4">
        <v>2731748</v>
      </c>
      <c r="D17" s="4">
        <v>2254143</v>
      </c>
      <c r="E17" s="4">
        <v>502401</v>
      </c>
      <c r="F17" s="88">
        <v>0.22720000000000001</v>
      </c>
    </row>
    <row r="18" spans="1:6" x14ac:dyDescent="0.25">
      <c r="A18" s="115" t="s">
        <v>156</v>
      </c>
      <c r="B18" s="116">
        <v>20</v>
      </c>
      <c r="C18" s="117">
        <v>2934707</v>
      </c>
      <c r="D18" s="117">
        <v>2458357</v>
      </c>
      <c r="E18" s="117">
        <v>848180</v>
      </c>
      <c r="F18" s="118">
        <v>0.40820000000000001</v>
      </c>
    </row>
    <row r="19" spans="1:6" x14ac:dyDescent="0.25">
      <c r="A19" s="86"/>
      <c r="B19" s="13"/>
      <c r="C19" s="13"/>
      <c r="E1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4E40-8573-4F09-8FC7-7062C56FDD79}">
  <dimension ref="A1:G68"/>
  <sheetViews>
    <sheetView tabSelected="1" topLeftCell="C48" workbookViewId="0">
      <selection activeCell="G70" sqref="G1:G70"/>
    </sheetView>
  </sheetViews>
  <sheetFormatPr defaultRowHeight="15" x14ac:dyDescent="0.25"/>
  <cols>
    <col min="1" max="1" width="20.5703125" customWidth="1"/>
    <col min="2" max="5" width="24.7109375" customWidth="1"/>
  </cols>
  <sheetData>
    <row r="1" spans="1:7" s="40" customFormat="1" ht="18" x14ac:dyDescent="0.25">
      <c r="A1" s="105" t="s">
        <v>131</v>
      </c>
      <c r="B1" s="106" t="s">
        <v>160</v>
      </c>
      <c r="C1" s="90" t="s">
        <v>161</v>
      </c>
      <c r="D1" s="90" t="s">
        <v>162</v>
      </c>
      <c r="E1" s="91" t="s">
        <v>163</v>
      </c>
      <c r="G1" s="7" t="s">
        <v>176</v>
      </c>
    </row>
    <row r="2" spans="1:7" x14ac:dyDescent="0.25">
      <c r="A2" s="94" t="s">
        <v>145</v>
      </c>
      <c r="B2" s="95">
        <v>10000</v>
      </c>
      <c r="C2" s="4">
        <v>10000</v>
      </c>
      <c r="D2" s="4">
        <v>10000</v>
      </c>
      <c r="E2" s="59">
        <v>10000</v>
      </c>
    </row>
    <row r="3" spans="1:7" ht="15.75" x14ac:dyDescent="0.25">
      <c r="A3" s="94" t="s">
        <v>146</v>
      </c>
      <c r="B3" s="50">
        <v>16.5</v>
      </c>
      <c r="C3" s="4">
        <v>2566419</v>
      </c>
      <c r="D3" s="4">
        <v>718516</v>
      </c>
      <c r="E3" s="51">
        <v>38.94</v>
      </c>
      <c r="G3" s="121" t="s">
        <v>177</v>
      </c>
    </row>
    <row r="4" spans="1:7" x14ac:dyDescent="0.25">
      <c r="A4" s="94" t="s">
        <v>147</v>
      </c>
      <c r="B4" s="50">
        <v>0.48</v>
      </c>
      <c r="C4" s="4">
        <v>79912</v>
      </c>
      <c r="D4" s="4">
        <v>82826</v>
      </c>
      <c r="E4" s="51">
        <v>4.8899999999999997</v>
      </c>
      <c r="G4" s="8"/>
    </row>
    <row r="5" spans="1:7" x14ac:dyDescent="0.25">
      <c r="A5" s="96" t="s">
        <v>148</v>
      </c>
      <c r="B5" s="97">
        <v>15.68</v>
      </c>
      <c r="C5" s="98">
        <v>2388309</v>
      </c>
      <c r="D5" s="98">
        <v>483891</v>
      </c>
      <c r="E5" s="99">
        <v>25.24</v>
      </c>
      <c r="G5" s="9" t="s">
        <v>178</v>
      </c>
    </row>
    <row r="6" spans="1:7" x14ac:dyDescent="0.25">
      <c r="A6" s="100">
        <v>0.25</v>
      </c>
      <c r="B6" s="50">
        <v>16.079999999999998</v>
      </c>
      <c r="C6" s="4">
        <v>2500406</v>
      </c>
      <c r="D6" s="4">
        <v>657965</v>
      </c>
      <c r="E6" s="51">
        <v>35.42</v>
      </c>
      <c r="G6" s="122" t="s">
        <v>179</v>
      </c>
    </row>
    <row r="7" spans="1:7" x14ac:dyDescent="0.25">
      <c r="A7" s="100">
        <v>0.5</v>
      </c>
      <c r="B7" s="50">
        <v>16.5</v>
      </c>
      <c r="C7" s="4">
        <v>2566971</v>
      </c>
      <c r="D7" s="4">
        <v>718914</v>
      </c>
      <c r="E7" s="51">
        <v>38.9</v>
      </c>
      <c r="G7" s="123" t="s">
        <v>180</v>
      </c>
    </row>
    <row r="8" spans="1:7" x14ac:dyDescent="0.25">
      <c r="A8" s="100">
        <v>0.75</v>
      </c>
      <c r="B8" s="50">
        <v>16.91</v>
      </c>
      <c r="C8" s="4">
        <v>2631106</v>
      </c>
      <c r="D8" s="4">
        <v>778749</v>
      </c>
      <c r="E8" s="51">
        <v>42.4</v>
      </c>
      <c r="G8" s="123" t="s">
        <v>181</v>
      </c>
    </row>
    <row r="9" spans="1:7" x14ac:dyDescent="0.25">
      <c r="A9" s="101" t="s">
        <v>149</v>
      </c>
      <c r="B9" s="102">
        <v>17.32</v>
      </c>
      <c r="C9" s="103">
        <v>2750821</v>
      </c>
      <c r="D9" s="103">
        <v>944976</v>
      </c>
      <c r="E9" s="104">
        <v>52.82</v>
      </c>
      <c r="G9" s="123" t="s">
        <v>182</v>
      </c>
    </row>
    <row r="10" spans="1:7" s="40" customFormat="1" x14ac:dyDescent="0.25">
      <c r="A10" s="105" t="s">
        <v>131</v>
      </c>
      <c r="B10" s="106" t="s">
        <v>164</v>
      </c>
      <c r="C10" s="90" t="s">
        <v>165</v>
      </c>
      <c r="D10" s="90" t="s">
        <v>166</v>
      </c>
      <c r="E10" s="91" t="s">
        <v>167</v>
      </c>
      <c r="G10" s="8"/>
    </row>
    <row r="11" spans="1:7" x14ac:dyDescent="0.25">
      <c r="A11" s="94" t="s">
        <v>145</v>
      </c>
      <c r="B11" s="95">
        <v>10000</v>
      </c>
      <c r="C11" s="4">
        <v>10000</v>
      </c>
      <c r="D11" s="4">
        <v>10000</v>
      </c>
      <c r="E11" s="59">
        <v>10000</v>
      </c>
      <c r="G11" s="9" t="s">
        <v>183</v>
      </c>
    </row>
    <row r="12" spans="1:7" x14ac:dyDescent="0.25">
      <c r="A12" s="94" t="s">
        <v>146</v>
      </c>
      <c r="B12" s="50">
        <v>19.97</v>
      </c>
      <c r="C12" s="4">
        <v>3243384</v>
      </c>
      <c r="D12" s="4">
        <v>1255750</v>
      </c>
      <c r="E12" s="51">
        <v>63.25</v>
      </c>
      <c r="G12" s="122" t="s">
        <v>184</v>
      </c>
    </row>
    <row r="13" spans="1:7" x14ac:dyDescent="0.25">
      <c r="A13" s="94" t="s">
        <v>147</v>
      </c>
      <c r="B13" s="50">
        <v>0.57999999999999996</v>
      </c>
      <c r="C13" s="4">
        <v>100558</v>
      </c>
      <c r="D13" s="4">
        <v>101588</v>
      </c>
      <c r="E13" s="51">
        <v>5.71</v>
      </c>
      <c r="G13" s="122" t="s">
        <v>185</v>
      </c>
    </row>
    <row r="14" spans="1:7" x14ac:dyDescent="0.25">
      <c r="A14" s="96" t="s">
        <v>148</v>
      </c>
      <c r="B14" s="97">
        <v>18.97</v>
      </c>
      <c r="C14" s="98">
        <v>3018493</v>
      </c>
      <c r="D14" s="98">
        <v>968089</v>
      </c>
      <c r="E14" s="99">
        <v>47.03</v>
      </c>
      <c r="G14" s="8"/>
    </row>
    <row r="15" spans="1:7" x14ac:dyDescent="0.25">
      <c r="A15" s="100">
        <v>0.25</v>
      </c>
      <c r="B15" s="50">
        <v>19.47</v>
      </c>
      <c r="C15" s="4">
        <v>3160963</v>
      </c>
      <c r="D15" s="4">
        <v>1179217</v>
      </c>
      <c r="E15" s="51">
        <v>59.12</v>
      </c>
      <c r="G15" s="9" t="s">
        <v>186</v>
      </c>
    </row>
    <row r="16" spans="1:7" x14ac:dyDescent="0.25">
      <c r="A16" s="100">
        <v>0.5</v>
      </c>
      <c r="B16" s="50">
        <v>19.97</v>
      </c>
      <c r="C16" s="4">
        <v>3244909</v>
      </c>
      <c r="D16" s="4">
        <v>1255679</v>
      </c>
      <c r="E16" s="51">
        <v>63.12</v>
      </c>
      <c r="G16" s="122" t="s">
        <v>187</v>
      </c>
    </row>
    <row r="17" spans="1:7" x14ac:dyDescent="0.25">
      <c r="A17" s="100">
        <v>0.75</v>
      </c>
      <c r="B17" s="50">
        <v>20.48</v>
      </c>
      <c r="C17" s="4">
        <v>3324805</v>
      </c>
      <c r="D17" s="4">
        <v>1330304</v>
      </c>
      <c r="E17" s="51">
        <v>67.260000000000005</v>
      </c>
      <c r="G17" s="123" t="s">
        <v>188</v>
      </c>
    </row>
    <row r="18" spans="1:7" x14ac:dyDescent="0.25">
      <c r="A18" s="101" t="s">
        <v>149</v>
      </c>
      <c r="B18" s="102">
        <v>20.96</v>
      </c>
      <c r="C18" s="103">
        <v>3471502</v>
      </c>
      <c r="D18" s="103">
        <v>1559446</v>
      </c>
      <c r="E18" s="104">
        <v>81.56</v>
      </c>
      <c r="G18" s="123" t="s">
        <v>189</v>
      </c>
    </row>
    <row r="19" spans="1:7" s="40" customFormat="1" x14ac:dyDescent="0.25">
      <c r="A19" s="105" t="s">
        <v>131</v>
      </c>
      <c r="B19" s="106" t="s">
        <v>168</v>
      </c>
      <c r="C19" s="90" t="s">
        <v>169</v>
      </c>
      <c r="D19" s="90" t="s">
        <v>170</v>
      </c>
      <c r="E19" s="91" t="s">
        <v>171</v>
      </c>
      <c r="G19" s="8"/>
    </row>
    <row r="20" spans="1:7" x14ac:dyDescent="0.25">
      <c r="A20" s="94" t="s">
        <v>145</v>
      </c>
      <c r="B20" s="95">
        <v>10000</v>
      </c>
      <c r="C20" s="4">
        <v>10000</v>
      </c>
      <c r="D20" s="4">
        <v>10000</v>
      </c>
      <c r="E20" s="59">
        <v>10000</v>
      </c>
      <c r="G20" s="9" t="s">
        <v>190</v>
      </c>
    </row>
    <row r="21" spans="1:7" x14ac:dyDescent="0.25">
      <c r="A21" s="94" t="s">
        <v>146</v>
      </c>
      <c r="B21" s="50">
        <v>24.17</v>
      </c>
      <c r="C21" s="4">
        <v>4100763</v>
      </c>
      <c r="D21" s="4">
        <v>1958447</v>
      </c>
      <c r="E21" s="51">
        <v>91.49</v>
      </c>
      <c r="G21" s="122" t="s">
        <v>191</v>
      </c>
    </row>
    <row r="22" spans="1:7" x14ac:dyDescent="0.25">
      <c r="A22" s="94" t="s">
        <v>147</v>
      </c>
      <c r="B22" s="50">
        <v>0.69</v>
      </c>
      <c r="C22" s="4">
        <v>126050</v>
      </c>
      <c r="D22" s="4">
        <v>122708</v>
      </c>
      <c r="E22" s="51">
        <v>6.43</v>
      </c>
      <c r="G22" s="122" t="s">
        <v>192</v>
      </c>
    </row>
    <row r="23" spans="1:7" x14ac:dyDescent="0.25">
      <c r="A23" s="96" t="s">
        <v>148</v>
      </c>
      <c r="B23" s="97">
        <v>22.95</v>
      </c>
      <c r="C23" s="98">
        <v>3813704</v>
      </c>
      <c r="D23" s="98">
        <v>1620844</v>
      </c>
      <c r="E23" s="99">
        <v>73.52</v>
      </c>
    </row>
    <row r="24" spans="1:7" ht="15.75" x14ac:dyDescent="0.25">
      <c r="A24" s="100">
        <v>0.25</v>
      </c>
      <c r="B24" s="50">
        <v>23.58</v>
      </c>
      <c r="C24" s="4">
        <v>4000061</v>
      </c>
      <c r="D24" s="4">
        <v>1868079</v>
      </c>
      <c r="E24" s="51">
        <v>86.9</v>
      </c>
      <c r="G24" s="121" t="s">
        <v>193</v>
      </c>
    </row>
    <row r="25" spans="1:7" x14ac:dyDescent="0.25">
      <c r="A25" s="100">
        <v>0.5</v>
      </c>
      <c r="B25" s="50">
        <v>24.17</v>
      </c>
      <c r="C25" s="4">
        <v>4099867</v>
      </c>
      <c r="D25" s="4">
        <v>1958248</v>
      </c>
      <c r="E25" s="51">
        <v>91.42</v>
      </c>
      <c r="G25" s="8"/>
    </row>
    <row r="26" spans="1:7" x14ac:dyDescent="0.25">
      <c r="A26" s="100">
        <v>0.75</v>
      </c>
      <c r="B26" s="50">
        <v>24.78</v>
      </c>
      <c r="C26" s="4">
        <v>4201374</v>
      </c>
      <c r="D26" s="4">
        <v>2051056</v>
      </c>
      <c r="E26" s="51">
        <v>95.98</v>
      </c>
      <c r="G26" s="9" t="s">
        <v>194</v>
      </c>
    </row>
    <row r="27" spans="1:7" x14ac:dyDescent="0.25">
      <c r="A27" s="101" t="s">
        <v>149</v>
      </c>
      <c r="B27" s="102">
        <v>25.37</v>
      </c>
      <c r="C27" s="103">
        <v>4386995</v>
      </c>
      <c r="D27" s="103">
        <v>2297122</v>
      </c>
      <c r="E27" s="104">
        <v>110.29</v>
      </c>
      <c r="G27" s="122" t="s">
        <v>195</v>
      </c>
    </row>
    <row r="28" spans="1:7" s="40" customFormat="1" x14ac:dyDescent="0.25">
      <c r="A28" s="105" t="s">
        <v>131</v>
      </c>
      <c r="B28" s="106" t="s">
        <v>172</v>
      </c>
      <c r="C28" s="90" t="s">
        <v>173</v>
      </c>
      <c r="D28" s="90" t="s">
        <v>174</v>
      </c>
      <c r="E28" s="91" t="s">
        <v>175</v>
      </c>
      <c r="G28" s="123" t="s">
        <v>196</v>
      </c>
    </row>
    <row r="29" spans="1:7" x14ac:dyDescent="0.25">
      <c r="A29" s="94" t="s">
        <v>145</v>
      </c>
      <c r="B29" s="95">
        <v>10000</v>
      </c>
      <c r="C29" s="4">
        <v>10000</v>
      </c>
      <c r="D29" s="4">
        <v>10000</v>
      </c>
      <c r="E29" s="59">
        <v>10000</v>
      </c>
      <c r="G29" s="122" t="s">
        <v>197</v>
      </c>
    </row>
    <row r="30" spans="1:7" x14ac:dyDescent="0.25">
      <c r="A30" s="94" t="s">
        <v>146</v>
      </c>
      <c r="B30" s="50">
        <v>29.22</v>
      </c>
      <c r="C30" s="4">
        <v>5182888</v>
      </c>
      <c r="D30" s="4">
        <v>2871330</v>
      </c>
      <c r="E30" s="51">
        <v>124.3</v>
      </c>
      <c r="G30" s="123" t="s">
        <v>198</v>
      </c>
    </row>
    <row r="31" spans="1:7" x14ac:dyDescent="0.25">
      <c r="A31" s="94" t="s">
        <v>147</v>
      </c>
      <c r="B31" s="50">
        <v>0.84</v>
      </c>
      <c r="C31" s="4">
        <v>160607</v>
      </c>
      <c r="D31" s="4">
        <v>155115</v>
      </c>
      <c r="E31" s="51">
        <v>7.56</v>
      </c>
      <c r="G31" s="123" t="s">
        <v>199</v>
      </c>
    </row>
    <row r="32" spans="1:7" x14ac:dyDescent="0.25">
      <c r="A32" s="96" t="s">
        <v>148</v>
      </c>
      <c r="B32" s="97">
        <v>27.77</v>
      </c>
      <c r="C32" s="98">
        <v>4828704</v>
      </c>
      <c r="D32" s="98">
        <v>2457190</v>
      </c>
      <c r="E32" s="99">
        <v>102.64</v>
      </c>
      <c r="G32" s="8"/>
    </row>
    <row r="33" spans="1:7" x14ac:dyDescent="0.25">
      <c r="A33" s="100">
        <v>0.25</v>
      </c>
      <c r="B33" s="50">
        <v>28.5</v>
      </c>
      <c r="C33" s="4">
        <v>5051512</v>
      </c>
      <c r="D33" s="4">
        <v>2754358</v>
      </c>
      <c r="E33" s="51">
        <v>118.88</v>
      </c>
      <c r="G33" s="9" t="s">
        <v>200</v>
      </c>
    </row>
    <row r="34" spans="1:7" x14ac:dyDescent="0.25">
      <c r="A34" s="100">
        <v>0.5</v>
      </c>
      <c r="B34" s="50">
        <v>29.21</v>
      </c>
      <c r="C34" s="4">
        <v>5182028</v>
      </c>
      <c r="D34" s="4">
        <v>2871079</v>
      </c>
      <c r="E34" s="51">
        <v>124.11</v>
      </c>
      <c r="G34" s="122" t="s">
        <v>201</v>
      </c>
    </row>
    <row r="35" spans="1:7" x14ac:dyDescent="0.25">
      <c r="A35" s="100">
        <v>0.75</v>
      </c>
      <c r="B35" s="50">
        <v>29.94</v>
      </c>
      <c r="C35" s="4">
        <v>5307930</v>
      </c>
      <c r="D35" s="4">
        <v>2987046</v>
      </c>
      <c r="E35" s="51">
        <v>129.59</v>
      </c>
      <c r="G35" s="122" t="s">
        <v>202</v>
      </c>
    </row>
    <row r="36" spans="1:7" x14ac:dyDescent="0.25">
      <c r="A36" s="101" t="s">
        <v>149</v>
      </c>
      <c r="B36" s="102">
        <v>30.69</v>
      </c>
      <c r="C36" s="103">
        <v>5551486</v>
      </c>
      <c r="D36" s="103">
        <v>3288250</v>
      </c>
      <c r="E36" s="104">
        <v>146.34</v>
      </c>
      <c r="G36" s="122" t="s">
        <v>203</v>
      </c>
    </row>
    <row r="37" spans="1:7" x14ac:dyDescent="0.25">
      <c r="C37" s="6"/>
      <c r="D37" s="6"/>
      <c r="E37" s="4"/>
      <c r="G37" s="8"/>
    </row>
    <row r="38" spans="1:7" x14ac:dyDescent="0.25">
      <c r="A38" s="105" t="s">
        <v>131</v>
      </c>
      <c r="B38" s="106" t="s">
        <v>226</v>
      </c>
      <c r="C38" s="90" t="s">
        <v>227</v>
      </c>
      <c r="D38" s="90" t="s">
        <v>228</v>
      </c>
      <c r="E38" s="91" t="s">
        <v>229</v>
      </c>
      <c r="G38" s="9" t="s">
        <v>204</v>
      </c>
    </row>
    <row r="39" spans="1:7" x14ac:dyDescent="0.25">
      <c r="A39" s="124" t="s">
        <v>230</v>
      </c>
      <c r="B39" s="125">
        <v>16.5</v>
      </c>
      <c r="C39" s="126">
        <v>19.97</v>
      </c>
      <c r="D39" s="126">
        <v>24.17</v>
      </c>
      <c r="E39" s="127">
        <v>29.22</v>
      </c>
      <c r="G39" s="122" t="s">
        <v>205</v>
      </c>
    </row>
    <row r="40" spans="1:7" x14ac:dyDescent="0.25">
      <c r="A40" s="94" t="s">
        <v>231</v>
      </c>
      <c r="B40" s="4">
        <v>2566419</v>
      </c>
      <c r="C40" s="4">
        <v>3243384</v>
      </c>
      <c r="D40" s="4">
        <v>4100763</v>
      </c>
      <c r="E40" s="59">
        <v>5182888</v>
      </c>
      <c r="G40" s="122" t="s">
        <v>206</v>
      </c>
    </row>
    <row r="41" spans="1:7" x14ac:dyDescent="0.25">
      <c r="A41" s="94" t="s">
        <v>159</v>
      </c>
      <c r="B41" s="4">
        <v>1845255</v>
      </c>
      <c r="C41" s="4">
        <v>2018414</v>
      </c>
      <c r="D41" s="4">
        <v>2426488</v>
      </c>
      <c r="E41" s="59">
        <v>2886529</v>
      </c>
      <c r="G41" s="122"/>
    </row>
    <row r="42" spans="1:7" ht="15.75" x14ac:dyDescent="0.25">
      <c r="A42" s="94" t="s">
        <v>144</v>
      </c>
      <c r="B42" s="95">
        <v>718516</v>
      </c>
      <c r="C42" s="4">
        <v>1255750</v>
      </c>
      <c r="D42" s="4">
        <v>1958447</v>
      </c>
      <c r="E42" s="59">
        <v>2871330</v>
      </c>
      <c r="G42" s="121" t="s">
        <v>207</v>
      </c>
    </row>
    <row r="43" spans="1:7" x14ac:dyDescent="0.25">
      <c r="A43" s="128" t="s">
        <v>134</v>
      </c>
      <c r="B43" s="60">
        <v>38.94</v>
      </c>
      <c r="C43" s="47">
        <v>63.25</v>
      </c>
      <c r="D43" s="47">
        <v>91.49</v>
      </c>
      <c r="E43" s="129">
        <v>124.3</v>
      </c>
      <c r="G43" s="8"/>
    </row>
    <row r="44" spans="1:7" x14ac:dyDescent="0.25">
      <c r="G44" s="9" t="s">
        <v>208</v>
      </c>
    </row>
    <row r="45" spans="1:7" x14ac:dyDescent="0.25">
      <c r="G45" s="122" t="s">
        <v>209</v>
      </c>
    </row>
    <row r="46" spans="1:7" x14ac:dyDescent="0.25">
      <c r="G46" s="122" t="s">
        <v>210</v>
      </c>
    </row>
    <row r="47" spans="1:7" x14ac:dyDescent="0.25">
      <c r="G47" s="8"/>
    </row>
    <row r="48" spans="1:7" x14ac:dyDescent="0.25">
      <c r="G48" s="9" t="s">
        <v>211</v>
      </c>
    </row>
    <row r="49" spans="7:7" x14ac:dyDescent="0.25">
      <c r="G49" s="122" t="s">
        <v>212</v>
      </c>
    </row>
    <row r="50" spans="7:7" x14ac:dyDescent="0.25">
      <c r="G50" s="122" t="s">
        <v>213</v>
      </c>
    </row>
    <row r="51" spans="7:7" x14ac:dyDescent="0.25">
      <c r="G51" s="8"/>
    </row>
    <row r="52" spans="7:7" x14ac:dyDescent="0.25">
      <c r="G52" s="9" t="s">
        <v>214</v>
      </c>
    </row>
    <row r="53" spans="7:7" x14ac:dyDescent="0.25">
      <c r="G53" s="122" t="s">
        <v>215</v>
      </c>
    </row>
    <row r="54" spans="7:7" x14ac:dyDescent="0.25">
      <c r="G54" s="8"/>
    </row>
    <row r="55" spans="7:7" x14ac:dyDescent="0.25">
      <c r="G55" s="9" t="s">
        <v>216</v>
      </c>
    </row>
    <row r="56" spans="7:7" x14ac:dyDescent="0.25">
      <c r="G56" s="122" t="s">
        <v>217</v>
      </c>
    </row>
    <row r="58" spans="7:7" ht="15.75" x14ac:dyDescent="0.25">
      <c r="G58" s="121" t="s">
        <v>218</v>
      </c>
    </row>
    <row r="59" spans="7:7" x14ac:dyDescent="0.25">
      <c r="G59" s="8"/>
    </row>
    <row r="60" spans="7:7" x14ac:dyDescent="0.25">
      <c r="G60" s="9" t="s">
        <v>219</v>
      </c>
    </row>
    <row r="61" spans="7:7" x14ac:dyDescent="0.25">
      <c r="G61" s="122" t="s">
        <v>220</v>
      </c>
    </row>
    <row r="62" spans="7:7" x14ac:dyDescent="0.25">
      <c r="G62" s="122" t="s">
        <v>221</v>
      </c>
    </row>
    <row r="63" spans="7:7" x14ac:dyDescent="0.25">
      <c r="G63" s="8"/>
    </row>
    <row r="64" spans="7:7" x14ac:dyDescent="0.25">
      <c r="G64" s="9" t="s">
        <v>222</v>
      </c>
    </row>
    <row r="65" spans="7:7" x14ac:dyDescent="0.25">
      <c r="G65" s="122" t="s">
        <v>223</v>
      </c>
    </row>
    <row r="66" spans="7:7" x14ac:dyDescent="0.25">
      <c r="G66" s="8"/>
    </row>
    <row r="67" spans="7:7" x14ac:dyDescent="0.25">
      <c r="G67" s="9" t="s">
        <v>224</v>
      </c>
    </row>
    <row r="68" spans="7:7" x14ac:dyDescent="0.25">
      <c r="G68" s="122" t="s"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Projected Cost</vt:lpstr>
      <vt:lpstr>Revenue Stream</vt:lpstr>
      <vt:lpstr>Cost per Unit</vt:lpstr>
      <vt:lpstr>Financial Forecast</vt:lpstr>
      <vt:lpstr>ROI_BreakEven</vt:lpstr>
      <vt:lpstr>Monte Carlo</vt:lpstr>
      <vt:lpstr>Projection</vt:lpstr>
      <vt:lpstr>'Projected Cost'!Print_Area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Nehemias Carpio</dc:creator>
  <cp:lastModifiedBy>Horacio Nehemias Carpio</cp:lastModifiedBy>
  <dcterms:created xsi:type="dcterms:W3CDTF">2024-12-25T21:49:02Z</dcterms:created>
  <dcterms:modified xsi:type="dcterms:W3CDTF">2025-01-02T16:10:37Z</dcterms:modified>
</cp:coreProperties>
</file>