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rold\Documents\GitHub\eysterthesis\"/>
    </mc:Choice>
  </mc:AlternateContent>
  <bookViews>
    <workbookView xWindow="0" yWindow="0" windowWidth="10215" windowHeight="7680" activeTab="7"/>
  </bookViews>
  <sheets>
    <sheet name="Sheet1" sheetId="1" r:id="rId1"/>
    <sheet name="PLALAN" sheetId="6" r:id="rId2"/>
    <sheet name="PLAMAJ" sheetId="7" r:id="rId3"/>
    <sheet name="CHEMAJ" sheetId="8" r:id="rId4"/>
    <sheet name="DACGLO" sheetId="9" r:id="rId5"/>
    <sheet name="RUMCRI" sheetId="10" r:id="rId6"/>
    <sheet name="CAPBUR" sheetId="11" r:id="rId7"/>
    <sheet name="TAROFF" sheetId="12" r:id="rId8"/>
    <sheet name="GermDate_sp-fixed" sheetId="2" r:id="rId9"/>
    <sheet name="GermRate_sp-fixed" sheetId="4" r:id="rId10"/>
    <sheet name="Growth_sp-fixed" sheetId="5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7" i="12" l="1"/>
  <c r="U16" i="12"/>
  <c r="U15" i="12"/>
  <c r="U16" i="11"/>
  <c r="U15" i="11"/>
  <c r="U14" i="11"/>
  <c r="U15" i="10"/>
  <c r="U16" i="10"/>
  <c r="U14" i="10"/>
  <c r="U15" i="9"/>
  <c r="U16" i="9"/>
  <c r="U14" i="9"/>
  <c r="U14" i="8"/>
  <c r="U16" i="8"/>
  <c r="U15" i="8"/>
  <c r="U15" i="7"/>
  <c r="U17" i="7"/>
  <c r="U16" i="7"/>
  <c r="U17" i="6"/>
  <c r="U15" i="6"/>
  <c r="U16" i="6"/>
  <c r="N15" i="8"/>
  <c r="N16" i="8"/>
  <c r="N14" i="8"/>
  <c r="N15" i="11"/>
  <c r="N16" i="11"/>
  <c r="N14" i="11"/>
  <c r="N15" i="12"/>
  <c r="N17" i="12"/>
  <c r="N16" i="12"/>
  <c r="N16" i="10"/>
  <c r="N15" i="10"/>
  <c r="N14" i="10"/>
  <c r="N15" i="7"/>
  <c r="N17" i="7"/>
  <c r="N16" i="7"/>
  <c r="N15" i="9"/>
  <c r="N16" i="9"/>
  <c r="N14" i="9"/>
  <c r="G17" i="12"/>
  <c r="G16" i="12"/>
  <c r="G15" i="12"/>
  <c r="G15" i="11"/>
  <c r="G14" i="11"/>
  <c r="G16" i="11"/>
  <c r="G14" i="9"/>
  <c r="G15" i="9"/>
  <c r="G16" i="9"/>
  <c r="G16" i="10"/>
  <c r="G15" i="10"/>
  <c r="G14" i="10"/>
  <c r="G14" i="8"/>
  <c r="G16" i="8"/>
  <c r="G15" i="8"/>
  <c r="G17" i="7"/>
  <c r="G16" i="7"/>
  <c r="G15" i="7"/>
  <c r="K5" i="5" l="1"/>
  <c r="K4" i="5"/>
  <c r="K3" i="5"/>
  <c r="I5" i="4"/>
  <c r="I4" i="4"/>
  <c r="I3" i="4"/>
  <c r="I5" i="2"/>
  <c r="I4" i="2"/>
  <c r="I3" i="2"/>
  <c r="I78" i="1" l="1"/>
  <c r="I79" i="1"/>
  <c r="I80" i="1"/>
  <c r="I68" i="1"/>
  <c r="I69" i="1"/>
  <c r="I67" i="1"/>
</calcChain>
</file>

<file path=xl/sharedStrings.xml><?xml version="1.0" encoding="utf-8"?>
<sst xmlns="http://schemas.openxmlformats.org/spreadsheetml/2006/main" count="930" uniqueCount="257">
  <si>
    <t>Efffect</t>
  </si>
  <si>
    <t>Estimates</t>
  </si>
  <si>
    <t>temp</t>
  </si>
  <si>
    <t>strat</t>
  </si>
  <si>
    <t>sp</t>
  </si>
  <si>
    <t>loc</t>
  </si>
  <si>
    <t>std error</t>
  </si>
  <si>
    <t>t-value</t>
  </si>
  <si>
    <t>Varience</t>
  </si>
  <si>
    <t>DF</t>
  </si>
  <si>
    <t>AIC</t>
  </si>
  <si>
    <t>Model name</t>
  </si>
  <si>
    <t>Model code</t>
  </si>
  <si>
    <t>daysfromstart~origin*temp*strat +(1|sp/location/uniqind)</t>
  </si>
  <si>
    <t>moddategsli</t>
  </si>
  <si>
    <t>ind</t>
  </si>
  <si>
    <t>daysfromstart~origin*temp*strat +(1|sp/location)</t>
  </si>
  <si>
    <t>moddategsl</t>
  </si>
  <si>
    <t>moddategsli vs. moddategsl</t>
  </si>
  <si>
    <t>11</t>
  </si>
  <si>
    <t>12</t>
  </si>
  <si>
    <t>moddategs</t>
  </si>
  <si>
    <t>daysfromstart~origin*temp*strat +(1|sp)</t>
  </si>
  <si>
    <t>moddategsl vs. moddategs</t>
  </si>
  <si>
    <t>10</t>
  </si>
  <si>
    <t>moddateliPLALAN</t>
  </si>
  <si>
    <t>modrategsli</t>
  </si>
  <si>
    <t>germinated~origin*temp*strat +(1|sp/location/uniqind), data=subset(germs, sp!="PLAMED" &amp; sp!="PLACOR")</t>
  </si>
  <si>
    <t>modrategsli vs. modrategsl</t>
  </si>
  <si>
    <t>modrategsl</t>
  </si>
  <si>
    <t>modrategs</t>
  </si>
  <si>
    <t>germinated~origin*temp*strat +(1|sp/location), data=subset(germs, sp!="PLAMED" &amp; sp!="PLACOR")</t>
  </si>
  <si>
    <t xml:space="preserve">germinated~origin*temp*strat +(1|sp), </t>
  </si>
  <si>
    <t>modrategsl vs. modrateg</t>
  </si>
  <si>
    <t>modrateliPLALAN</t>
  </si>
  <si>
    <t>germinated~origin*temp*strat +(1|location/uniqind), data=subset(germs, sp=="PLALAN" &amp; sp!="PLAMED" &amp; sp!="PLACOR"))</t>
  </si>
  <si>
    <t>modgrowthgsli</t>
  </si>
  <si>
    <t>gr~origin*temp*strat +(1|sp/location/uniqind), data=subset(hlms, sp!="PLAMED" &amp; sp!="PLACOR")</t>
  </si>
  <si>
    <t>modgrowthgsl</t>
  </si>
  <si>
    <t>gr~origin*temp*strat +(1|sp/location), data=subset(hlms, sp!="PLAMED" &amp; sp!="PLACOR")</t>
  </si>
  <si>
    <t>modgrowthgsli vs. modgrowthgsl</t>
  </si>
  <si>
    <t>insig diff</t>
  </si>
  <si>
    <t>modgrowthgs</t>
  </si>
  <si>
    <t>gr~origin*temp*strat +(1|sp), data=subset(hlms, sp!="PLAMED" &amp; sp!="PLACOR")</t>
  </si>
  <si>
    <t>modgrowthgs vs. modgrowthgsl</t>
  </si>
  <si>
    <t>P-value</t>
  </si>
  <si>
    <t>originUSA</t>
  </si>
  <si>
    <t>orignUSA</t>
  </si>
  <si>
    <t>originUSA:temp</t>
  </si>
  <si>
    <t>originUSA:strat</t>
  </si>
  <si>
    <t>temp:strat</t>
  </si>
  <si>
    <t>orignUSA:temp:strat</t>
  </si>
  <si>
    <t>resid</t>
  </si>
  <si>
    <t>Intercept</t>
  </si>
  <si>
    <t>intercept</t>
  </si>
  <si>
    <t>gr ~ origin * temp * strat + (1 | location/uniqind)    Data: subset(hlms, sp == "PLALAN")</t>
  </si>
  <si>
    <t>1.053d-03</t>
  </si>
  <si>
    <t>9.078d-05</t>
  </si>
  <si>
    <t>modgrowthsliPLALAN</t>
  </si>
  <si>
    <t xml:space="preserve">moddategsli vs. temp removed: </t>
  </si>
  <si>
    <t>temp removed</t>
  </si>
  <si>
    <t>8</t>
  </si>
  <si>
    <t xml:space="preserve">moddategsli vs. strat  removed: </t>
  </si>
  <si>
    <t>strat removed</t>
  </si>
  <si>
    <t>modrategsli vs. without temp</t>
  </si>
  <si>
    <t xml:space="preserve">without temp </t>
  </si>
  <si>
    <t>modrategsli vs. without strat</t>
  </si>
  <si>
    <t>without strat</t>
  </si>
  <si>
    <t>modrategsli vs. without temp or strat</t>
  </si>
  <si>
    <t>without temp or strat:</t>
  </si>
  <si>
    <t>6</t>
  </si>
  <si>
    <t xml:space="preserve">modgrowthsli </t>
  </si>
  <si>
    <t>without temp</t>
  </si>
  <si>
    <t>modgrowthsli vs. without temp/strat</t>
  </si>
  <si>
    <t>lme(daysfromstart~origin*temp*strat, random=~1|location/uniqind, data=subset(germs, germinated==1 &amp; sp=="PLALAN" &amp; sp!="PLAMED" &amp; sp!="PLACOR"))</t>
  </si>
  <si>
    <t>lme(daysfromstart~origin*temp*strat, random=~1|location/uniqind, data=subset(germs, germinated==1 &amp; sp=="PLAMAJ" &amp; sp!="PLAMED" &amp; sp!="PLACOR"))</t>
  </si>
  <si>
    <t>moddateliPLAMAJ</t>
  </si>
  <si>
    <t xml:space="preserve">(Intercept)         </t>
  </si>
  <si>
    <t xml:space="preserve">originUSA           </t>
  </si>
  <si>
    <t xml:space="preserve">temp                </t>
  </si>
  <si>
    <t xml:space="preserve">strat               </t>
  </si>
  <si>
    <t xml:space="preserve">originUSA:temp      </t>
  </si>
  <si>
    <t xml:space="preserve">originUSA:strat     </t>
  </si>
  <si>
    <t xml:space="preserve">temp:strat          </t>
  </si>
  <si>
    <t>originUSA:temp:strat</t>
  </si>
  <si>
    <t>moddateliRUMCRI</t>
  </si>
  <si>
    <t>lme(daysfromstart~origin*temp*strat, random=~1|location/uniqind, data=subset(germs, germinated==1 &amp; sp=="RUMCRI" &amp; sp!="PLAMED" &amp; sp!="PLACOR"))</t>
  </si>
  <si>
    <t>all of the models with individual species show no significant difference between models with and without individual (at a=.15). All except PLALAN show p values of  about 1</t>
  </si>
  <si>
    <t>modrateliPLAMAJ</t>
  </si>
  <si>
    <t>PLALAN model  is better with loc (p=4.341e-05) and uniqind (at 3.06e-08 )</t>
  </si>
  <si>
    <t xml:space="preserve">Removing loc or ind don't hurt model (p&lt;.5) </t>
  </si>
  <si>
    <t>modrateliDACGLO</t>
  </si>
  <si>
    <t xml:space="preserve">Removing loc or ind don't hurt model (p=1) </t>
  </si>
  <si>
    <t>None of the other spp show sig better for model with loc or ind for germ rate</t>
  </si>
  <si>
    <t>modgrowthsliPLALAN is worse when loc removed (p=.001) and worse when ind removed (.0036)</t>
  </si>
  <si>
    <t>modgrowthsliPLAMAJ  model is the same as model w/o ind (p=1), or when loc is removed (p=.3307) (but actually slightly better w/o ind)</t>
  </si>
  <si>
    <t>modgrowthsliDACGLO not different from model without loc or ind (p=1)</t>
  </si>
  <si>
    <t>modgrowthsliCAPBUR  not different from model without loc or ind (p=1)</t>
  </si>
  <si>
    <t>modgrowthsliTAROFF not different from model without loc or ind (p=1)</t>
  </si>
  <si>
    <t>modgrowthsliRUMCRI not different from model without ind (p=1), or loc (p=.2166)</t>
  </si>
  <si>
    <t>odgrowthsliCHEMAJ not different from model without loc or ind (p=1)</t>
  </si>
  <si>
    <t>Value</t>
  </si>
  <si>
    <t>Std.Error</t>
  </si>
  <si>
    <t>p-value</t>
  </si>
  <si>
    <t>(Intercept)</t>
  </si>
  <si>
    <t>spCHEMAJ</t>
  </si>
  <si>
    <t>spDACGLO</t>
  </si>
  <si>
    <t>spPLALAN</t>
  </si>
  <si>
    <t>spPLAMAJ</t>
  </si>
  <si>
    <t>spRUMCRI</t>
  </si>
  <si>
    <t>spTAROFF</t>
  </si>
  <si>
    <t>originUSA:spCHEMAJ</t>
  </si>
  <si>
    <t>originUSA:spDACGLO</t>
  </si>
  <si>
    <t>originUSA:spPLALAN</t>
  </si>
  <si>
    <t>originUSA:spPLAMAJ</t>
  </si>
  <si>
    <t>originUSA:spRUMCRI</t>
  </si>
  <si>
    <t>originUSA:spTAROFF</t>
  </si>
  <si>
    <t>temp:spCHEMAJ</t>
  </si>
  <si>
    <t>temp:spDACGLO</t>
  </si>
  <si>
    <t>temp:spPLALAN</t>
  </si>
  <si>
    <t>temp:spPLAMAJ</t>
  </si>
  <si>
    <t>temp:spRUMCRI</t>
  </si>
  <si>
    <t>temp:spTAROFF</t>
  </si>
  <si>
    <t>strat:spCHEMAJ</t>
  </si>
  <si>
    <t>strat:spDACGLO</t>
  </si>
  <si>
    <t>strat:spPLALAN</t>
  </si>
  <si>
    <t>strat:spPLAMAJ</t>
  </si>
  <si>
    <t>strat:spRUMCRI</t>
  </si>
  <si>
    <t>strat:spTAROFF</t>
  </si>
  <si>
    <t>originUSA:temp:spCHEMAJ</t>
  </si>
  <si>
    <t>originUSA:temp:spDACGLO</t>
  </si>
  <si>
    <t>originUSA:temp:spPLALAN</t>
  </si>
  <si>
    <t>originUSA:temp:spPLAMAJ</t>
  </si>
  <si>
    <t>originUSA:temp:spRUMCRI</t>
  </si>
  <si>
    <t>originUSA:temp:spTAROFF</t>
  </si>
  <si>
    <t>originUSA:strat:spCHEMA</t>
  </si>
  <si>
    <t>originUSA:strat:spDACGL</t>
  </si>
  <si>
    <t>originUSA:strat:spPLALA</t>
  </si>
  <si>
    <t>originUSA:strat:spPLAMA</t>
  </si>
  <si>
    <t>originUSA:strat:spRUMCR</t>
  </si>
  <si>
    <t>originUSA:strat:spTAROF</t>
  </si>
  <si>
    <t>temp:strat:spCHEMAJ</t>
  </si>
  <si>
    <t>temp:strat:spDACGLO</t>
  </si>
  <si>
    <t>temp:strat:spPLALAN</t>
  </si>
  <si>
    <t>temp:strat:spPLAMAJ</t>
  </si>
  <si>
    <t>temp:strat:spRUMCRI</t>
  </si>
  <si>
    <t>temp:strat:spTAROFF</t>
  </si>
  <si>
    <t>originUSA:temp:strat:sp</t>
  </si>
  <si>
    <t>CHEMAJ   0.00367</t>
  </si>
  <si>
    <t>DACGLO   0.03302</t>
  </si>
  <si>
    <t>PLALAN   0.04144</t>
  </si>
  <si>
    <t>PLAMAJ   0.02316</t>
  </si>
  <si>
    <t>RUMCRI   0.05453</t>
  </si>
  <si>
    <t>TAROFF   0.02521</t>
  </si>
  <si>
    <t xml:space="preserve">       AIC      BIC    logLik</t>
  </si>
  <si>
    <t xml:space="preserve">  8897.786 9195.538 -4389.893</t>
  </si>
  <si>
    <t>location</t>
  </si>
  <si>
    <t>individ</t>
  </si>
  <si>
    <t>Variance</t>
  </si>
  <si>
    <t>originUSA:strat:spTAROFF</t>
  </si>
  <si>
    <t>originUSA:strat:spRUMCRi</t>
  </si>
  <si>
    <t>originUSA:strat:spPLAMAJ</t>
  </si>
  <si>
    <t>originUSA:strat:spPLALAN</t>
  </si>
  <si>
    <t>originUSA:strat:spDACGLO</t>
  </si>
  <si>
    <t>originUSA:strat:spCHEMAJ</t>
  </si>
  <si>
    <t>moddatesf</t>
  </si>
  <si>
    <t>days from start response with species as factor</t>
  </si>
  <si>
    <t>modratesf</t>
  </si>
  <si>
    <t>germ rate with species as fixed</t>
  </si>
  <si>
    <t>originUSA:strat:spRUMCRI</t>
  </si>
  <si>
    <t>originUSA:temp:strat:spCHEMAJ</t>
  </si>
  <si>
    <t>originUSA:temp:strat:spDACGLO</t>
  </si>
  <si>
    <t>originUSA:temp:strat:spPLALAN</t>
  </si>
  <si>
    <t>originUSA:temp:strat:spPLAMAJ</t>
  </si>
  <si>
    <t>originUSA:temp:strat:spRUMCRI</t>
  </si>
  <si>
    <t>originUSA:temp:strat:spTAROFF</t>
  </si>
  <si>
    <t xml:space="preserve">  1875.342 2189.681 -878.6711</t>
  </si>
  <si>
    <t>variance</t>
  </si>
  <si>
    <t>modgrowthsf</t>
  </si>
  <si>
    <t>growth rate with species as fixed factor</t>
  </si>
  <si>
    <t>reside</t>
  </si>
  <si>
    <t>J      -0.0103767</t>
  </si>
  <si>
    <t>O      -0.0031943</t>
  </si>
  <si>
    <t>N      -0.0037640</t>
  </si>
  <si>
    <t>J      -0.0025235</t>
  </si>
  <si>
    <t>I      -0.0056491</t>
  </si>
  <si>
    <t>F      -0.0042674</t>
  </si>
  <si>
    <t>CHEMAJ  0.0005124</t>
  </si>
  <si>
    <t>DACGLO  0.0001701</t>
  </si>
  <si>
    <t>PLALAN  0.0000880</t>
  </si>
  <si>
    <t>PLAMAJ  0.0000054</t>
  </si>
  <si>
    <t>RUMCRI  0.0002604</t>
  </si>
  <si>
    <t>TAROFF  0.0001846</t>
  </si>
  <si>
    <t xml:space="preserve">Variance </t>
  </si>
  <si>
    <t xml:space="preserve">     AIC      BIC    logLik</t>
  </si>
  <si>
    <t xml:space="preserve">  3624.31 3670.037 -1801.155</t>
  </si>
  <si>
    <t>res</t>
  </si>
  <si>
    <t xml:space="preserve">  968.6525 1001.167 -473.3262</t>
  </si>
  <si>
    <t>moddateliCHEMAJ</t>
  </si>
  <si>
    <t xml:space="preserve">  913.3995 942.5931 -445.6998</t>
  </si>
  <si>
    <t>moddateliCHEMAJ&lt;-lme(daysfromstart~origin*temp*strat, random=~1|location/uniqind, data=subset(germs, germinated==1 &amp; sp=="CHEMAJ" &amp; sp!="PLAMED" &amp; sp!="PLACOR"))</t>
  </si>
  <si>
    <t xml:space="preserve">  707.6457 736.5204 -342.8228</t>
  </si>
  <si>
    <t>moddateliDACGLO</t>
  </si>
  <si>
    <t xml:space="preserve">        AIC       BIC   logLik</t>
  </si>
  <si>
    <t xml:space="preserve">  -88.73836 -60.19204 55.36918</t>
  </si>
  <si>
    <t xml:space="preserve">  -246.6488 -220.4465 134.3244</t>
  </si>
  <si>
    <t xml:space="preserve">  1074.198 1106.556 -526.0988</t>
  </si>
  <si>
    <t>moddateliRUMCRI&lt;-lme(daysfromstart~origin*temp*strat, random=~1|location/uniqind, data=subset(germs, germinated==1 &amp; sp=="RUMCRI" &amp; sp!="PLAMED" &amp; sp!="PLACOR"))</t>
  </si>
  <si>
    <t>moddateliCAPBUR</t>
  </si>
  <si>
    <t>moddateliCAPBUR&lt;-lme(daysfromstart~origin*temp*strat, random=~1|location/uniqind, data=subset(germs, germinated==1 &amp; sp=="CAPBUR" &amp; sp!="PLAMED" &amp; sp!="PLACOR"))</t>
  </si>
  <si>
    <t>moddateliDACGLo&lt;-lme(daysfromstart~origin*temp*strat, random=~1|location/uniqind, data=subset(germs, germinated==1 &amp; sp=="DACGLO" &amp; sp!="PLAMED" &amp; sp!="PLACOR"))</t>
  </si>
  <si>
    <t>moddateliPLAMAJ&lt;-lme(daysfromstart~origin*temp*strat, random=~1|location/uniqind, data=subset(germs, germinated==1 &amp; sp=="PLAMAJ" &amp; sp!="PLAMED" &amp; sp!="PLACOR"))</t>
  </si>
  <si>
    <t xml:space="preserve">      AIC      BIC   logLik</t>
  </si>
  <si>
    <t xml:space="preserve">  548.992 571.6569 -263.496</t>
  </si>
  <si>
    <t>moddateliTAROFF</t>
  </si>
  <si>
    <t>moddateliTAROFF&lt;-lme(daysfromstart~origin*temp*strat, random=~1|location/uniqind, data=subset(germs, germinated==1 &amp; sp=="CAPBUR" &amp; sp!="PLAMED" &amp; sp!="PLACOR"))</t>
  </si>
  <si>
    <t xml:space="preserve">  771.8915 803.4344 -374.9458</t>
  </si>
  <si>
    <t xml:space="preserve">variance </t>
  </si>
  <si>
    <t xml:space="preserve">  795.6895 845.1706 -386.8447</t>
  </si>
  <si>
    <t>modratePLALAN</t>
  </si>
  <si>
    <t>modrateliPLALAN&lt;-lme(germinated~origin*temp*strat, random=~1|location/uniqind, data=subset(germs, sp=="PLALAN" &amp; sp!="PLAMED" &amp; sp!="PLACOR"))</t>
  </si>
  <si>
    <t xml:space="preserve">       AIC      BIC   logLik</t>
  </si>
  <si>
    <t xml:space="preserve">  155.0204 185.4043 -66.5102</t>
  </si>
  <si>
    <t>modratteDACGLO</t>
  </si>
  <si>
    <t>modrateliDACGLO&lt;-lme(germinated~origin*temp*strat, random=~1|location/uniqind, data=subset(germs, sp=="DACGLO" &amp; sp!="PLAMED" &amp; sp!="PLACOR"))</t>
  </si>
  <si>
    <t xml:space="preserve">  100.0589 133.5366 -39.02944</t>
  </si>
  <si>
    <t>modratePLAMAJ</t>
  </si>
  <si>
    <t>modrateliPLAMAJ&lt;-lme(germinated~origin*temp*strat, random=~1|location/uniqind, data=subset(germs, sp=="PLAMAJ" &amp; sp!="PLAMED" &amp; sp!="PLACOR"))</t>
  </si>
  <si>
    <t xml:space="preserve">  119.6585 152.9211 -48.82923</t>
  </si>
  <si>
    <t xml:space="preserve">  213.8379 247.2444 -95.91896</t>
  </si>
  <si>
    <t>modrateTAROFF</t>
  </si>
  <si>
    <t>modrateliTAROFF&lt;-lme(germinated~origin*temp*strat, random=~1|location/uniqind, data=subset(germs, sp=="TAROFF" &amp; sp!="PLAMED" &amp; sp!="PLACOR"))</t>
  </si>
  <si>
    <t xml:space="preserve">       AIC     BIC    logLik</t>
  </si>
  <si>
    <t xml:space="preserve">  233.3803 266.643 -105.6901</t>
  </si>
  <si>
    <t>modrateCAPBUR</t>
  </si>
  <si>
    <t>modrateliCAPBUR&lt;-lme(germinated~origin*temp*strat, random=~1|location/uniqind, data=subset(germs, sp=="TAROFF" &amp; sp!="PLAMED" &amp; sp!="PLACOR"))</t>
  </si>
  <si>
    <t xml:space="preserve">  201.3982 232.7705 -89.69911</t>
  </si>
  <si>
    <t>modratteCHEMAJ</t>
  </si>
  <si>
    <t>modrateliCHEMAJ&lt;-lme(germinated~origin*temp*strat, random=~1|location/uniqind, data=subset(germs, sp=="CHEMAJ" &amp; sp!="PLAMED" &amp; sp!="PLACOR"))</t>
  </si>
  <si>
    <t>modgrowthsliPLALAN&lt;-lme(gr~origin*temp*strat, random=~1|location/uniqind, data=subset(hlms, sp=="PLALAN"))</t>
  </si>
  <si>
    <t xml:space="preserve">  -1553.929 -1508.999 787.9645</t>
  </si>
  <si>
    <t xml:space="preserve">  -583.6387 -551.2806 302.8193</t>
  </si>
  <si>
    <t>modgrowthsliPLAMAJ</t>
  </si>
  <si>
    <t>modgrowthsliPLAMAJ&lt;-lme(gr~origin*temp*strat, random=~1|location/uniqind, data=subset(hlms, sp=="PLAMAJ"))</t>
  </si>
  <si>
    <t>modgrowthsliCHEMAJ</t>
  </si>
  <si>
    <t>modgrowthsliCHEMAJ&lt;-lme(gr~origin*temp*strat, random=~1|location/uniqind, data=subset(hlms, sp=="CHEMAJ"))</t>
  </si>
  <si>
    <t>modgrowthsliDACGLO</t>
  </si>
  <si>
    <t>modgrowthsliDACGLO&lt;-lme(gr~origin*temp*strat, random=~1|location/uniqind, data=subset(hlms, sp=="DACGLO"))</t>
  </si>
  <si>
    <t>modgrowthsliRUMCRI</t>
  </si>
  <si>
    <t>modgrowthsliRUMCRI&lt;-lme(gr~origin*temp*strat, random=~1|location/uniqind, data=subset(hlms, sp=="RUMCRI"))</t>
  </si>
  <si>
    <t>modgrowthsliCAPBUR</t>
  </si>
  <si>
    <t>modgrowthsliCAPBUR&lt;-lme(gr~origin*temp*strat, random=~1|location/uniqind, data=subset(hlms, sp=="CAPBUR"))</t>
  </si>
  <si>
    <t>modgrowthsliTAROFF</t>
  </si>
  <si>
    <t>modgrowthsliTAROFF&lt;-lme(gr~origin*temp*strat, random=~1|location/uniqind, data=subset(hlms, sp=="TAROFF"))</t>
  </si>
  <si>
    <t xml:space="preserve">  -525.9226 -493.9646 273.9613</t>
  </si>
  <si>
    <t xml:space="preserve">  -115.6491 -95.77584 68.82456</t>
  </si>
  <si>
    <t xml:space="preserve">  -281.4811 -250.3697 151.7406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</si>
</sst>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0"/>
      <color theme="1"/>
      <name val="Lucida Console"/>
      <family val="3"/>
    </font>
  </fonts>
  <fills count="1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CD6DB"/>
        <bgColor indexed="64"/>
      </patternFill>
    </fill>
    <fill>
      <patternFill patternType="solid">
        <fgColor rgb="FFE65336"/>
        <bgColor indexed="64"/>
      </patternFill>
    </fill>
    <fill>
      <patternFill patternType="solid">
        <fgColor rgb="FFC5B3F7"/>
        <bgColor indexed="64"/>
      </patternFill>
    </fill>
    <fill>
      <patternFill patternType="solid">
        <fgColor rgb="FFD3A1E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49" fontId="0" fillId="0" borderId="0" xfId="0" applyNumberFormat="1"/>
    <xf numFmtId="0" fontId="0" fillId="2" borderId="0" xfId="0" applyFill="1"/>
    <xf numFmtId="49" fontId="0" fillId="2" borderId="0" xfId="0" applyNumberFormat="1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49" fontId="0" fillId="4" borderId="0" xfId="0" applyNumberFormat="1" applyFill="1"/>
    <xf numFmtId="0" fontId="0" fillId="5" borderId="0" xfId="0" applyFill="1"/>
    <xf numFmtId="49" fontId="0" fillId="5" borderId="0" xfId="0" applyNumberFormat="1" applyFill="1"/>
    <xf numFmtId="0" fontId="0" fillId="6" borderId="0" xfId="0" applyFill="1"/>
    <xf numFmtId="49" fontId="0" fillId="6" borderId="0" xfId="0" applyNumberFormat="1" applyFill="1"/>
    <xf numFmtId="11" fontId="0" fillId="2" borderId="0" xfId="0" applyNumberFormat="1" applyFill="1"/>
    <xf numFmtId="0" fontId="1" fillId="5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0" fillId="7" borderId="0" xfId="0" applyFill="1"/>
    <xf numFmtId="11" fontId="0" fillId="7" borderId="0" xfId="0" applyNumberFormat="1" applyFill="1"/>
    <xf numFmtId="49" fontId="0" fillId="7" borderId="0" xfId="0" applyNumberFormat="1" applyFill="1"/>
    <xf numFmtId="0" fontId="0" fillId="8" borderId="0" xfId="0" applyFill="1"/>
    <xf numFmtId="11" fontId="0" fillId="8" borderId="0" xfId="0" applyNumberFormat="1" applyFill="1"/>
    <xf numFmtId="49" fontId="0" fillId="8" borderId="0" xfId="0" applyNumberFormat="1" applyFill="1"/>
    <xf numFmtId="0" fontId="0" fillId="9" borderId="0" xfId="0" applyFill="1"/>
    <xf numFmtId="11" fontId="0" fillId="9" borderId="0" xfId="0" applyNumberFormat="1" applyFill="1"/>
    <xf numFmtId="49" fontId="0" fillId="9" borderId="0" xfId="0" applyNumberFormat="1" applyFill="1"/>
    <xf numFmtId="0" fontId="0" fillId="10" borderId="0" xfId="0" applyFill="1"/>
    <xf numFmtId="11" fontId="0" fillId="10" borderId="0" xfId="0" applyNumberFormat="1" applyFill="1"/>
    <xf numFmtId="0" fontId="0" fillId="11" borderId="0" xfId="0" applyFill="1"/>
    <xf numFmtId="11" fontId="0" fillId="11" borderId="0" xfId="0" applyNumberFormat="1" applyFill="1"/>
    <xf numFmtId="49" fontId="0" fillId="11" borderId="0" xfId="0" applyNumberFormat="1" applyFill="1"/>
    <xf numFmtId="0" fontId="0" fillId="12" borderId="0" xfId="0" applyFill="1"/>
    <xf numFmtId="49" fontId="0" fillId="12" borderId="0" xfId="0" applyNumberFormat="1" applyFill="1"/>
    <xf numFmtId="0" fontId="0" fillId="13" borderId="0" xfId="0" applyFill="1"/>
    <xf numFmtId="49" fontId="0" fillId="13" borderId="0" xfId="0" applyNumberFormat="1" applyFill="1"/>
    <xf numFmtId="0" fontId="0" fillId="14" borderId="0" xfId="0" applyFill="1"/>
    <xf numFmtId="49" fontId="0" fillId="14" borderId="0" xfId="0" applyNumberFormat="1" applyFill="1"/>
    <xf numFmtId="11" fontId="0" fillId="14" borderId="0" xfId="0" applyNumberFormat="1" applyFill="1"/>
    <xf numFmtId="0" fontId="0" fillId="15" borderId="0" xfId="0" applyFill="1"/>
    <xf numFmtId="49" fontId="0" fillId="15" borderId="0" xfId="0" applyNumberFormat="1" applyFill="1"/>
    <xf numFmtId="0" fontId="0" fillId="16" borderId="0" xfId="0" applyFill="1"/>
    <xf numFmtId="49" fontId="0" fillId="16" borderId="0" xfId="0" applyNumberFormat="1" applyFill="1"/>
    <xf numFmtId="0" fontId="1" fillId="13" borderId="0" xfId="0" applyFont="1" applyFill="1" applyAlignment="1">
      <alignment vertical="center"/>
    </xf>
    <xf numFmtId="0" fontId="0" fillId="17" borderId="0" xfId="0" applyFill="1"/>
    <xf numFmtId="49" fontId="0" fillId="17" borderId="0" xfId="0" applyNumberFormat="1" applyFill="1"/>
    <xf numFmtId="0" fontId="1" fillId="0" borderId="0" xfId="0" applyFont="1" applyAlignment="1">
      <alignment vertical="center"/>
    </xf>
    <xf numFmtId="0" fontId="0" fillId="18" borderId="0" xfId="0" applyFill="1"/>
    <xf numFmtId="0" fontId="1" fillId="18" borderId="0" xfId="0" applyFont="1" applyFill="1" applyAlignment="1">
      <alignment vertical="center"/>
    </xf>
    <xf numFmtId="49" fontId="0" fillId="18" borderId="0" xfId="0" applyNumberFormat="1" applyFill="1"/>
    <xf numFmtId="0" fontId="0" fillId="18" borderId="0" xfId="0" applyFont="1" applyFill="1"/>
    <xf numFmtId="0" fontId="2" fillId="18" borderId="0" xfId="0" applyFont="1" applyFill="1" applyAlignment="1">
      <alignment vertical="center"/>
    </xf>
    <xf numFmtId="0" fontId="1" fillId="8" borderId="0" xfId="0" applyFont="1" applyFill="1" applyAlignment="1">
      <alignment vertical="center"/>
    </xf>
    <xf numFmtId="0" fontId="0" fillId="8" borderId="0" xfId="0" applyFont="1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3A1E7"/>
      <color rgb="FF6333E9"/>
      <color rgb="FFFCD6DB"/>
      <color rgb="FFC5B3F7"/>
      <color rgb="FFE65336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4"/>
  <sheetViews>
    <sheetView zoomScale="70" zoomScaleNormal="70" workbookViewId="0">
      <pane ySplit="1" topLeftCell="A113" activePane="bottomLeft" state="frozen"/>
      <selection pane="bottomLeft" activeCell="I138" sqref="I138:I140"/>
    </sheetView>
  </sheetViews>
  <sheetFormatPr defaultRowHeight="15" x14ac:dyDescent="0.25"/>
  <cols>
    <col min="1" max="1" width="19.140625" customWidth="1"/>
    <col min="2" max="2" width="12.28515625" customWidth="1"/>
    <col min="3" max="3" width="13.42578125" customWidth="1"/>
    <col min="4" max="4" width="13" customWidth="1"/>
    <col min="5" max="5" width="11" customWidth="1"/>
    <col min="6" max="6" width="9.140625" style="1"/>
    <col min="8" max="8" width="9.7109375" customWidth="1"/>
    <col min="9" max="9" width="10.140625" customWidth="1"/>
  </cols>
  <sheetData>
    <row r="1" spans="1:10" x14ac:dyDescent="0.25">
      <c r="A1" t="s">
        <v>11</v>
      </c>
      <c r="B1" t="s">
        <v>12</v>
      </c>
      <c r="C1" t="s">
        <v>0</v>
      </c>
      <c r="D1" t="s">
        <v>1</v>
      </c>
      <c r="E1" t="s">
        <v>6</v>
      </c>
      <c r="F1" s="1" t="s">
        <v>9</v>
      </c>
      <c r="G1" t="s">
        <v>7</v>
      </c>
      <c r="H1" t="s">
        <v>45</v>
      </c>
      <c r="I1" t="s">
        <v>8</v>
      </c>
      <c r="J1" t="s">
        <v>10</v>
      </c>
    </row>
    <row r="2" spans="1:10" s="6" customFormat="1" x14ac:dyDescent="0.25">
      <c r="A2" s="6" t="s">
        <v>14</v>
      </c>
      <c r="B2" s="6" t="s">
        <v>13</v>
      </c>
      <c r="C2" s="6" t="s">
        <v>53</v>
      </c>
      <c r="D2" s="6">
        <v>12.593999999999999</v>
      </c>
      <c r="E2" s="6">
        <v>4.5358999999999998</v>
      </c>
      <c r="F2" s="7"/>
      <c r="G2" s="6">
        <v>2.7759999999999998</v>
      </c>
      <c r="H2" s="6">
        <v>2.0999999999999999E-3</v>
      </c>
    </row>
    <row r="3" spans="1:10" s="6" customFormat="1" x14ac:dyDescent="0.25">
      <c r="C3" s="6" t="s">
        <v>2</v>
      </c>
      <c r="D3" s="6">
        <v>7.5999999999999998E-2</v>
      </c>
      <c r="E3" s="6">
        <v>0.186</v>
      </c>
      <c r="F3" s="7"/>
      <c r="G3" s="6">
        <v>0.40799999999999997</v>
      </c>
      <c r="H3" s="6">
        <v>0.58169999999999999</v>
      </c>
    </row>
    <row r="4" spans="1:10" s="6" customFormat="1" x14ac:dyDescent="0.25">
      <c r="C4" s="6" t="s">
        <v>3</v>
      </c>
      <c r="D4" s="6">
        <v>0.183</v>
      </c>
      <c r="E4" s="6">
        <v>7.6999999999999999E-2</v>
      </c>
      <c r="F4" s="7"/>
      <c r="G4" s="6">
        <v>2.39</v>
      </c>
      <c r="H4" s="6">
        <v>2.35E-2</v>
      </c>
    </row>
    <row r="5" spans="1:10" s="6" customFormat="1" x14ac:dyDescent="0.25">
      <c r="C5" s="6" t="s">
        <v>46</v>
      </c>
      <c r="D5" s="6">
        <v>8.593</v>
      </c>
      <c r="E5" s="6">
        <v>5.88</v>
      </c>
      <c r="F5" s="7"/>
      <c r="G5" s="6">
        <v>1.37</v>
      </c>
      <c r="H5" s="6">
        <v>0.1855</v>
      </c>
    </row>
    <row r="6" spans="1:10" s="6" customFormat="1" x14ac:dyDescent="0.25">
      <c r="C6" s="6" t="s">
        <v>48</v>
      </c>
      <c r="D6" s="6">
        <v>-0.63885000000000003</v>
      </c>
      <c r="E6" s="6">
        <v>0.28997000000000001</v>
      </c>
      <c r="F6" s="7"/>
      <c r="G6" s="6">
        <v>-2.2029999999999998</v>
      </c>
      <c r="H6" s="6">
        <v>2.07E-2</v>
      </c>
    </row>
    <row r="7" spans="1:10" s="6" customFormat="1" x14ac:dyDescent="0.25">
      <c r="C7" s="6" t="s">
        <v>49</v>
      </c>
      <c r="D7" s="6">
        <v>-0.21740000000000001</v>
      </c>
      <c r="E7" s="6">
        <v>0.121488</v>
      </c>
      <c r="F7" s="7"/>
      <c r="G7" s="6">
        <v>1.79</v>
      </c>
      <c r="H7" s="6">
        <v>9.4200000000000006E-2</v>
      </c>
    </row>
    <row r="8" spans="1:10" s="6" customFormat="1" x14ac:dyDescent="0.25">
      <c r="C8" s="6" t="s">
        <v>50</v>
      </c>
      <c r="D8" s="6">
        <v>-9.8150000000000008E-3</v>
      </c>
      <c r="E8" s="6">
        <v>0.121488</v>
      </c>
      <c r="F8" s="7"/>
      <c r="G8" s="6">
        <v>-2.5339999999999998</v>
      </c>
      <c r="H8" s="6">
        <v>9.9000000000000008E-3</v>
      </c>
    </row>
    <row r="9" spans="1:10" s="6" customFormat="1" x14ac:dyDescent="0.25">
      <c r="C9" s="6" t="s">
        <v>51</v>
      </c>
      <c r="D9" s="6">
        <v>1.4689000000000001E-2</v>
      </c>
      <c r="E9" s="6">
        <v>6.1000000000000004E-3</v>
      </c>
      <c r="F9" s="7"/>
      <c r="G9" s="6">
        <v>2.4089999999999998</v>
      </c>
      <c r="H9" s="6">
        <v>1.6299999999999999E-2</v>
      </c>
    </row>
    <row r="10" spans="1:10" s="6" customFormat="1" x14ac:dyDescent="0.25">
      <c r="C10" s="6" t="s">
        <v>52</v>
      </c>
      <c r="F10" s="7"/>
      <c r="I10" s="6">
        <v>80.537000000000006</v>
      </c>
    </row>
    <row r="11" spans="1:10" s="6" customFormat="1" x14ac:dyDescent="0.25">
      <c r="C11" s="6" t="s">
        <v>4</v>
      </c>
      <c r="F11" s="7"/>
      <c r="I11" s="6">
        <v>44.326000000000001</v>
      </c>
    </row>
    <row r="12" spans="1:10" s="6" customFormat="1" x14ac:dyDescent="0.25">
      <c r="C12" s="6" t="s">
        <v>5</v>
      </c>
      <c r="F12" s="7"/>
      <c r="I12" s="6">
        <v>3.7810000000000001</v>
      </c>
    </row>
    <row r="13" spans="1:10" s="6" customFormat="1" x14ac:dyDescent="0.25">
      <c r="C13" s="6" t="s">
        <v>15</v>
      </c>
      <c r="F13" s="7"/>
      <c r="I13" s="6">
        <v>5.98</v>
      </c>
    </row>
    <row r="14" spans="1:10" s="33" customFormat="1" x14ac:dyDescent="0.25">
      <c r="A14" s="33" t="s">
        <v>59</v>
      </c>
      <c r="F14" s="34"/>
      <c r="H14" s="35">
        <v>1.9800000000000001E-14</v>
      </c>
    </row>
    <row r="15" spans="1:10" s="33" customFormat="1" x14ac:dyDescent="0.25">
      <c r="A15" s="33" t="s">
        <v>60</v>
      </c>
      <c r="F15" s="34" t="s">
        <v>61</v>
      </c>
      <c r="J15" s="33">
        <v>8876.1</v>
      </c>
    </row>
    <row r="16" spans="1:10" s="33" customFormat="1" x14ac:dyDescent="0.25">
      <c r="A16" s="33" t="s">
        <v>14</v>
      </c>
      <c r="F16" s="34" t="s">
        <v>20</v>
      </c>
      <c r="J16" s="33">
        <v>8813.7999999999993</v>
      </c>
    </row>
    <row r="17" spans="1:10" s="36" customFormat="1" x14ac:dyDescent="0.25">
      <c r="A17" s="36" t="s">
        <v>62</v>
      </c>
      <c r="F17" s="37"/>
      <c r="H17" s="36">
        <v>1.6400000000000001E-2</v>
      </c>
    </row>
    <row r="18" spans="1:10" s="36" customFormat="1" x14ac:dyDescent="0.25">
      <c r="A18" s="36" t="s">
        <v>63</v>
      </c>
      <c r="F18" s="37" t="s">
        <v>61</v>
      </c>
      <c r="J18" s="36">
        <v>8817.9</v>
      </c>
    </row>
    <row r="19" spans="1:10" s="36" customFormat="1" x14ac:dyDescent="0.25">
      <c r="A19" s="36" t="s">
        <v>14</v>
      </c>
      <c r="F19" s="37" t="s">
        <v>20</v>
      </c>
      <c r="J19" s="36">
        <v>8813.7999999999993</v>
      </c>
    </row>
    <row r="20" spans="1:10" s="8" customFormat="1" x14ac:dyDescent="0.25">
      <c r="A20" s="8" t="s">
        <v>17</v>
      </c>
      <c r="B20" s="8" t="s">
        <v>16</v>
      </c>
      <c r="C20" s="8" t="s">
        <v>53</v>
      </c>
      <c r="D20" s="8">
        <v>12.1424</v>
      </c>
      <c r="E20" s="8">
        <v>4.5633999999999997</v>
      </c>
      <c r="F20" s="9"/>
      <c r="G20" s="8">
        <v>2.66</v>
      </c>
    </row>
    <row r="21" spans="1:10" s="8" customFormat="1" x14ac:dyDescent="0.25">
      <c r="C21" s="8" t="s">
        <v>2</v>
      </c>
      <c r="D21" s="8">
        <v>8.3000000000000004E-2</v>
      </c>
      <c r="E21" s="8">
        <v>0.188</v>
      </c>
      <c r="F21" s="9"/>
      <c r="G21" s="8">
        <v>0.44600000000000001</v>
      </c>
    </row>
    <row r="22" spans="1:10" s="8" customFormat="1" x14ac:dyDescent="0.25">
      <c r="C22" s="8" t="s">
        <v>3</v>
      </c>
      <c r="D22" s="8">
        <v>0.188</v>
      </c>
      <c r="E22" s="8">
        <v>7.6999999999999999E-2</v>
      </c>
      <c r="F22" s="9"/>
      <c r="G22" s="8">
        <v>2.4300000000000002</v>
      </c>
    </row>
    <row r="23" spans="1:10" s="8" customFormat="1" x14ac:dyDescent="0.25">
      <c r="C23" s="8" t="s">
        <v>47</v>
      </c>
      <c r="D23" s="8">
        <v>8.25</v>
      </c>
      <c r="E23" s="8">
        <v>5.92</v>
      </c>
      <c r="F23" s="9"/>
      <c r="G23" s="8">
        <v>1.39</v>
      </c>
    </row>
    <row r="24" spans="1:10" s="8" customFormat="1" x14ac:dyDescent="0.25">
      <c r="C24" s="8" t="s">
        <v>48</v>
      </c>
      <c r="D24" s="8">
        <v>-0.63470000000000004</v>
      </c>
      <c r="E24" s="8">
        <v>0.2923</v>
      </c>
      <c r="F24" s="9"/>
      <c r="G24" s="8">
        <v>-2.1709999999999998</v>
      </c>
    </row>
    <row r="25" spans="1:10" s="8" customFormat="1" x14ac:dyDescent="0.25">
      <c r="C25" s="8" t="s">
        <v>49</v>
      </c>
      <c r="D25" s="8">
        <v>-0.216833</v>
      </c>
      <c r="E25" s="8">
        <v>0.1225</v>
      </c>
      <c r="F25" s="9"/>
      <c r="G25" s="8">
        <v>-1.77</v>
      </c>
    </row>
    <row r="26" spans="1:10" s="8" customFormat="1" x14ac:dyDescent="0.25">
      <c r="C26" s="8" t="s">
        <v>50</v>
      </c>
      <c r="D26" s="8">
        <v>-9.9000000000000008E-3</v>
      </c>
      <c r="E26" s="8">
        <v>3.8999999999999998E-3</v>
      </c>
      <c r="F26" s="9"/>
      <c r="G26" s="8">
        <v>-2.3610000000000002</v>
      </c>
    </row>
    <row r="27" spans="1:10" s="8" customFormat="1" x14ac:dyDescent="0.25">
      <c r="C27" s="8" t="s">
        <v>51</v>
      </c>
      <c r="D27" s="8">
        <v>1.4500000000000001E-2</v>
      </c>
      <c r="E27" s="8">
        <v>6.1520000000000004E-3</v>
      </c>
      <c r="F27" s="9"/>
      <c r="G27" s="8">
        <v>2.3610000000000002</v>
      </c>
    </row>
    <row r="28" spans="1:10" s="8" customFormat="1" x14ac:dyDescent="0.25">
      <c r="C28" s="8" t="s">
        <v>52</v>
      </c>
      <c r="F28" s="9"/>
      <c r="I28" s="8">
        <v>82.375</v>
      </c>
    </row>
    <row r="29" spans="1:10" s="8" customFormat="1" x14ac:dyDescent="0.25">
      <c r="C29" s="8" t="s">
        <v>4</v>
      </c>
      <c r="F29" s="9"/>
      <c r="I29" s="8">
        <v>44.689</v>
      </c>
    </row>
    <row r="30" spans="1:10" s="8" customFormat="1" x14ac:dyDescent="0.25">
      <c r="C30" s="8" t="s">
        <v>5</v>
      </c>
      <c r="F30" s="9"/>
      <c r="I30" s="8">
        <v>7.9029999999999996</v>
      </c>
    </row>
    <row r="31" spans="1:10" s="2" customFormat="1" x14ac:dyDescent="0.25">
      <c r="A31" s="2" t="s">
        <v>18</v>
      </c>
      <c r="F31" s="3"/>
      <c r="H31" s="2">
        <v>7.6E-3</v>
      </c>
    </row>
    <row r="32" spans="1:10" s="2" customFormat="1" x14ac:dyDescent="0.25">
      <c r="A32" s="2" t="s">
        <v>17</v>
      </c>
      <c r="F32" s="3" t="s">
        <v>19</v>
      </c>
      <c r="J32" s="2">
        <v>8818.9</v>
      </c>
    </row>
    <row r="33" spans="1:10" s="2" customFormat="1" x14ac:dyDescent="0.25">
      <c r="A33" s="2" t="s">
        <v>14</v>
      </c>
      <c r="F33" s="3" t="s">
        <v>20</v>
      </c>
      <c r="J33" s="2">
        <v>8813.7999999999993</v>
      </c>
    </row>
    <row r="34" spans="1:10" s="10" customFormat="1" x14ac:dyDescent="0.25">
      <c r="A34" s="10" t="s">
        <v>21</v>
      </c>
      <c r="B34" s="10" t="s">
        <v>22</v>
      </c>
      <c r="C34" s="10" t="s">
        <v>54</v>
      </c>
      <c r="D34" s="10">
        <v>11.17</v>
      </c>
      <c r="E34" s="10">
        <v>4.5910000000000002</v>
      </c>
      <c r="F34" s="11"/>
      <c r="G34" s="10">
        <v>2.4329999999999998</v>
      </c>
    </row>
    <row r="35" spans="1:10" s="10" customFormat="1" x14ac:dyDescent="0.25">
      <c r="C35" s="10" t="s">
        <v>2</v>
      </c>
      <c r="D35" s="10">
        <v>0.13500000000000001</v>
      </c>
      <c r="E35" s="10">
        <v>0.193</v>
      </c>
      <c r="F35" s="11"/>
      <c r="G35" s="10">
        <v>0.69899999999999995</v>
      </c>
    </row>
    <row r="36" spans="1:10" s="10" customFormat="1" x14ac:dyDescent="0.25">
      <c r="C36" s="10" t="s">
        <v>3</v>
      </c>
      <c r="D36" s="10">
        <v>0.2</v>
      </c>
      <c r="E36" s="10">
        <v>0.08</v>
      </c>
      <c r="F36" s="11"/>
      <c r="G36" s="10">
        <v>2.5139999999999998</v>
      </c>
    </row>
    <row r="37" spans="1:10" s="10" customFormat="1" x14ac:dyDescent="0.25">
      <c r="C37" s="10" t="s">
        <v>47</v>
      </c>
      <c r="D37" s="10">
        <v>8.641</v>
      </c>
      <c r="E37" s="10">
        <v>5.9989999999999997</v>
      </c>
      <c r="F37" s="11"/>
      <c r="G37" s="10">
        <v>1.44</v>
      </c>
    </row>
    <row r="38" spans="1:10" s="10" customFormat="1" x14ac:dyDescent="0.25">
      <c r="C38" s="10" t="s">
        <v>48</v>
      </c>
      <c r="D38" s="10">
        <v>-0.67900000000000005</v>
      </c>
      <c r="E38" s="10">
        <v>0.30099999999999999</v>
      </c>
      <c r="F38" s="11"/>
      <c r="G38" s="10">
        <v>-2.254</v>
      </c>
    </row>
    <row r="39" spans="1:10" s="10" customFormat="1" x14ac:dyDescent="0.25">
      <c r="C39" s="10" t="s">
        <v>49</v>
      </c>
      <c r="D39" s="10">
        <v>-0.222</v>
      </c>
      <c r="E39" s="10">
        <v>0.126</v>
      </c>
      <c r="F39" s="11"/>
      <c r="G39" s="10">
        <v>-1.7649999999999999</v>
      </c>
    </row>
    <row r="40" spans="1:10" s="10" customFormat="1" x14ac:dyDescent="0.25">
      <c r="C40" s="10" t="s">
        <v>50</v>
      </c>
      <c r="D40" s="10">
        <v>-1.0800000000000001E-2</v>
      </c>
      <c r="E40" s="10">
        <v>4.0000000000000001E-3</v>
      </c>
      <c r="F40" s="11"/>
      <c r="G40" s="10">
        <v>-2.6920000000000002</v>
      </c>
    </row>
    <row r="41" spans="1:10" s="10" customFormat="1" x14ac:dyDescent="0.25">
      <c r="C41" s="10" t="s">
        <v>51</v>
      </c>
      <c r="D41" s="10">
        <v>-1.5100000000000001E-2</v>
      </c>
      <c r="E41" s="10">
        <v>6.3299999999999997E-3</v>
      </c>
      <c r="F41" s="11"/>
      <c r="G41" s="10">
        <v>2.387</v>
      </c>
    </row>
    <row r="42" spans="1:10" s="10" customFormat="1" x14ac:dyDescent="0.25">
      <c r="C42" s="10" t="s">
        <v>52</v>
      </c>
      <c r="F42" s="11"/>
      <c r="I42" s="10">
        <v>87.62</v>
      </c>
    </row>
    <row r="43" spans="1:10" s="10" customFormat="1" x14ac:dyDescent="0.25">
      <c r="C43" s="10" t="s">
        <v>4</v>
      </c>
      <c r="F43" s="11"/>
      <c r="I43" s="10">
        <v>44.85</v>
      </c>
    </row>
    <row r="44" spans="1:10" s="2" customFormat="1" x14ac:dyDescent="0.25">
      <c r="A44" s="2" t="s">
        <v>23</v>
      </c>
      <c r="F44" s="3"/>
      <c r="H44" s="12">
        <v>3.7E-9</v>
      </c>
    </row>
    <row r="45" spans="1:10" s="2" customFormat="1" x14ac:dyDescent="0.25">
      <c r="A45" s="2" t="s">
        <v>17</v>
      </c>
      <c r="F45" s="3" t="s">
        <v>19</v>
      </c>
      <c r="J45" s="2">
        <v>8818.9</v>
      </c>
    </row>
    <row r="46" spans="1:10" s="2" customFormat="1" x14ac:dyDescent="0.25">
      <c r="A46" s="2" t="s">
        <v>21</v>
      </c>
      <c r="F46" s="3" t="s">
        <v>24</v>
      </c>
      <c r="J46" s="2">
        <v>8851.7000000000007</v>
      </c>
    </row>
    <row r="47" spans="1:10" s="41" customFormat="1" x14ac:dyDescent="0.25">
      <c r="A47" s="41" t="s">
        <v>87</v>
      </c>
      <c r="F47" s="42"/>
    </row>
    <row r="48" spans="1:10" s="6" customFormat="1" x14ac:dyDescent="0.25">
      <c r="A48" s="6" t="s">
        <v>25</v>
      </c>
      <c r="B48" s="14" t="s">
        <v>74</v>
      </c>
      <c r="C48" s="6" t="s">
        <v>54</v>
      </c>
      <c r="D48" s="6">
        <v>7</v>
      </c>
      <c r="E48" s="6">
        <v>5.6260000000000003</v>
      </c>
      <c r="F48" s="7"/>
      <c r="G48" s="6">
        <v>1.2450000000000001</v>
      </c>
    </row>
    <row r="49" spans="1:9" s="6" customFormat="1" x14ac:dyDescent="0.25">
      <c r="C49" s="6" t="s">
        <v>2</v>
      </c>
      <c r="D49" s="6">
        <v>4.5999999999999999E-2</v>
      </c>
      <c r="E49" s="6">
        <v>0.28399999999999997</v>
      </c>
      <c r="F49" s="7"/>
      <c r="G49" s="6">
        <v>0.16200000000000001</v>
      </c>
    </row>
    <row r="50" spans="1:9" s="6" customFormat="1" x14ac:dyDescent="0.25">
      <c r="C50" s="6" t="s">
        <v>3</v>
      </c>
      <c r="D50" s="6">
        <v>0.32900000000000001</v>
      </c>
      <c r="E50" s="6">
        <v>0.11799999999999999</v>
      </c>
      <c r="F50" s="7"/>
      <c r="G50" s="6">
        <v>2.802</v>
      </c>
    </row>
    <row r="51" spans="1:9" s="6" customFormat="1" x14ac:dyDescent="0.25">
      <c r="C51" s="6" t="s">
        <v>47</v>
      </c>
      <c r="D51" s="6">
        <v>8.1620000000000008</v>
      </c>
      <c r="E51" s="6">
        <v>11.473000000000001</v>
      </c>
      <c r="F51" s="7"/>
      <c r="G51" s="6">
        <v>0.71199999999999997</v>
      </c>
    </row>
    <row r="52" spans="1:9" s="6" customFormat="1" x14ac:dyDescent="0.25">
      <c r="C52" s="6" t="s">
        <v>48</v>
      </c>
      <c r="D52" s="6">
        <v>-0.46989999999999998</v>
      </c>
      <c r="E52" s="6">
        <v>0.57099999999999995</v>
      </c>
      <c r="F52" s="7"/>
      <c r="G52" s="6">
        <v>-0.82199999999999995</v>
      </c>
    </row>
    <row r="53" spans="1:9" s="6" customFormat="1" x14ac:dyDescent="0.25">
      <c r="C53" s="6" t="s">
        <v>49</v>
      </c>
      <c r="D53" s="6">
        <v>-0.35539999999999999</v>
      </c>
      <c r="E53" s="6">
        <v>0.2389</v>
      </c>
      <c r="F53" s="7"/>
      <c r="G53" s="6">
        <v>-1.488</v>
      </c>
    </row>
    <row r="54" spans="1:9" s="6" customFormat="1" x14ac:dyDescent="0.25">
      <c r="C54" s="6" t="s">
        <v>50</v>
      </c>
      <c r="D54" s="6">
        <v>-1.23E-2</v>
      </c>
      <c r="E54" s="6">
        <v>5.9899999999999997E-3</v>
      </c>
      <c r="F54" s="7"/>
      <c r="G54" s="6">
        <v>-2.0529999999999999</v>
      </c>
    </row>
    <row r="55" spans="1:9" s="6" customFormat="1" x14ac:dyDescent="0.25">
      <c r="C55" s="6" t="s">
        <v>51</v>
      </c>
      <c r="D55" s="6">
        <v>1.7500000000000002E-2</v>
      </c>
      <c r="E55" s="6">
        <v>1.2200000000000001E-2</v>
      </c>
      <c r="F55" s="7"/>
      <c r="G55" s="6">
        <v>1.4330000000000001</v>
      </c>
    </row>
    <row r="56" spans="1:9" s="6" customFormat="1" x14ac:dyDescent="0.25">
      <c r="C56" s="6" t="s">
        <v>52</v>
      </c>
      <c r="F56" s="7"/>
      <c r="I56" s="6">
        <v>98.379000000000005</v>
      </c>
    </row>
    <row r="57" spans="1:9" s="6" customFormat="1" x14ac:dyDescent="0.25">
      <c r="C57" s="6" t="s">
        <v>5</v>
      </c>
      <c r="F57" s="7"/>
      <c r="I57" s="6">
        <v>3.0270000000000001</v>
      </c>
    </row>
    <row r="58" spans="1:9" s="6" customFormat="1" x14ac:dyDescent="0.25">
      <c r="C58" s="6" t="s">
        <v>15</v>
      </c>
      <c r="F58" s="7"/>
      <c r="I58" s="6">
        <v>3.3250000000000002</v>
      </c>
    </row>
    <row r="59" spans="1:9" s="8" customFormat="1" x14ac:dyDescent="0.25">
      <c r="A59" s="8" t="s">
        <v>76</v>
      </c>
      <c r="B59" s="13" t="s">
        <v>75</v>
      </c>
      <c r="C59" s="8" t="s">
        <v>77</v>
      </c>
      <c r="D59" s="8">
        <v>20.853100000000001</v>
      </c>
      <c r="E59" s="8">
        <v>6.5592040000000003</v>
      </c>
      <c r="F59" s="9"/>
      <c r="G59" s="8">
        <v>3.1792120000000001</v>
      </c>
      <c r="H59" s="8">
        <v>1.8E-3</v>
      </c>
    </row>
    <row r="60" spans="1:9" s="8" customFormat="1" x14ac:dyDescent="0.25">
      <c r="C60" s="8" t="s">
        <v>78</v>
      </c>
      <c r="D60" s="8">
        <v>4.6959619999999997</v>
      </c>
      <c r="E60" s="8">
        <v>9.6905710000000003</v>
      </c>
      <c r="F60" s="9"/>
      <c r="G60" s="8">
        <v>0.48459099999999999</v>
      </c>
      <c r="H60" s="8">
        <v>0.67579999999999996</v>
      </c>
    </row>
    <row r="61" spans="1:9" s="8" customFormat="1" x14ac:dyDescent="0.25">
      <c r="C61" s="8" t="s">
        <v>79</v>
      </c>
      <c r="D61" s="8">
        <v>-0.526169</v>
      </c>
      <c r="E61" s="8">
        <v>0.32570399999999999</v>
      </c>
      <c r="F61" s="9"/>
      <c r="G61" s="8">
        <v>-1.615486</v>
      </c>
      <c r="H61" s="8">
        <v>0.1085</v>
      </c>
    </row>
    <row r="62" spans="1:9" s="8" customFormat="1" x14ac:dyDescent="0.25">
      <c r="C62" s="8" t="s">
        <v>80</v>
      </c>
      <c r="D62" s="8">
        <v>-0.154803</v>
      </c>
      <c r="E62" s="8">
        <v>0.13438600000000001</v>
      </c>
      <c r="F62" s="9"/>
      <c r="G62" s="8">
        <v>-1.1519269999999999</v>
      </c>
      <c r="H62" s="8">
        <v>0.25130000000000002</v>
      </c>
    </row>
    <row r="63" spans="1:9" s="8" customFormat="1" x14ac:dyDescent="0.25">
      <c r="C63" s="8" t="s">
        <v>81</v>
      </c>
      <c r="D63" s="8">
        <v>-0.19469500000000001</v>
      </c>
      <c r="E63" s="8">
        <v>0.476524</v>
      </c>
      <c r="F63" s="9"/>
      <c r="G63" s="8">
        <v>-0.40857199999999999</v>
      </c>
      <c r="H63" s="8">
        <v>0.6835</v>
      </c>
    </row>
    <row r="64" spans="1:9" s="8" customFormat="1" x14ac:dyDescent="0.25">
      <c r="C64" s="8" t="s">
        <v>82</v>
      </c>
      <c r="D64" s="8">
        <v>4.9993000000000003E-2</v>
      </c>
      <c r="E64" s="8">
        <v>0.195711</v>
      </c>
      <c r="F64" s="9"/>
      <c r="G64" s="8">
        <v>0.25544099999999997</v>
      </c>
      <c r="H64" s="8">
        <v>0.79879999999999995</v>
      </c>
    </row>
    <row r="65" spans="1:11" s="8" customFormat="1" x14ac:dyDescent="0.25">
      <c r="C65" s="8" t="s">
        <v>83</v>
      </c>
      <c r="D65" s="8">
        <v>5.5110000000000003E-3</v>
      </c>
      <c r="E65" s="8">
        <v>6.8149999999999999E-3</v>
      </c>
      <c r="F65" s="9"/>
      <c r="G65" s="8">
        <v>0.80859300000000001</v>
      </c>
      <c r="H65" s="8">
        <v>0.42009999999999997</v>
      </c>
    </row>
    <row r="66" spans="1:11" s="8" customFormat="1" x14ac:dyDescent="0.25">
      <c r="C66" s="8" t="s">
        <v>84</v>
      </c>
      <c r="D66" s="8">
        <v>-6.11E-4</v>
      </c>
      <c r="E66" s="8">
        <v>9.8510000000000004E-3</v>
      </c>
      <c r="F66" s="9"/>
      <c r="G66" s="8">
        <v>-6.2007E-2</v>
      </c>
      <c r="H66" s="8">
        <v>0.9506</v>
      </c>
    </row>
    <row r="67" spans="1:11" s="8" customFormat="1" x14ac:dyDescent="0.25">
      <c r="C67" s="8" t="s">
        <v>52</v>
      </c>
      <c r="F67" s="9"/>
      <c r="I67" s="8">
        <f>(K67)^2</f>
        <v>27.303760089999997</v>
      </c>
      <c r="K67" s="8">
        <v>5.2252999999999998</v>
      </c>
    </row>
    <row r="68" spans="1:11" s="8" customFormat="1" x14ac:dyDescent="0.25">
      <c r="C68" s="8" t="s">
        <v>5</v>
      </c>
      <c r="F68" s="9"/>
      <c r="I68" s="8">
        <f t="shared" ref="I68:I80" si="0">(K68)^2</f>
        <v>4.24854544</v>
      </c>
      <c r="K68" s="8">
        <v>2.0611999999999999</v>
      </c>
    </row>
    <row r="69" spans="1:11" s="8" customFormat="1" x14ac:dyDescent="0.25">
      <c r="C69" s="8" t="s">
        <v>15</v>
      </c>
      <c r="F69" s="9"/>
      <c r="I69" s="8">
        <f t="shared" si="0"/>
        <v>1.9043999999999997E-6</v>
      </c>
      <c r="K69" s="8">
        <v>1.3799999999999999E-3</v>
      </c>
    </row>
    <row r="70" spans="1:11" s="31" customFormat="1" x14ac:dyDescent="0.25">
      <c r="A70" s="31" t="s">
        <v>85</v>
      </c>
      <c r="B70" s="40" t="s">
        <v>86</v>
      </c>
      <c r="C70" s="31" t="s">
        <v>77</v>
      </c>
      <c r="D70" s="31">
        <v>7.6315270000000002</v>
      </c>
      <c r="E70" s="31">
        <v>10.040908</v>
      </c>
      <c r="F70" s="32"/>
      <c r="G70" s="31">
        <v>0.76004349999999998</v>
      </c>
      <c r="H70" s="31">
        <v>0.44850000000000001</v>
      </c>
    </row>
    <row r="71" spans="1:11" s="31" customFormat="1" x14ac:dyDescent="0.25">
      <c r="C71" s="31" t="s">
        <v>78</v>
      </c>
      <c r="D71" s="31">
        <v>6.205279</v>
      </c>
      <c r="E71" s="31">
        <v>14.181158999999999</v>
      </c>
      <c r="F71" s="32"/>
      <c r="G71" s="31">
        <v>0.43757210000000002</v>
      </c>
      <c r="H71" s="31">
        <v>0.73740000000000006</v>
      </c>
    </row>
    <row r="72" spans="1:11" s="31" customFormat="1" x14ac:dyDescent="0.25">
      <c r="C72" s="31" t="s">
        <v>79</v>
      </c>
      <c r="D72" s="31">
        <v>1.0862510000000001</v>
      </c>
      <c r="E72" s="31">
        <v>0.51423799999999997</v>
      </c>
      <c r="F72" s="32"/>
      <c r="G72" s="31">
        <v>2.1123528</v>
      </c>
      <c r="H72" s="31">
        <v>3.6499999999999998E-2</v>
      </c>
    </row>
    <row r="73" spans="1:11" s="31" customFormat="1" x14ac:dyDescent="0.25">
      <c r="C73" s="31" t="s">
        <v>80</v>
      </c>
      <c r="D73" s="31">
        <v>0.14588899999999999</v>
      </c>
      <c r="E73" s="31">
        <v>0.213727</v>
      </c>
      <c r="F73" s="32"/>
      <c r="G73" s="31">
        <v>0.6825949</v>
      </c>
      <c r="H73" s="31">
        <v>0.496</v>
      </c>
    </row>
    <row r="74" spans="1:11" s="31" customFormat="1" x14ac:dyDescent="0.25">
      <c r="C74" s="31" t="s">
        <v>81</v>
      </c>
      <c r="D74" s="31">
        <v>-1.599842</v>
      </c>
      <c r="E74" s="31">
        <v>0.71923700000000002</v>
      </c>
      <c r="F74" s="32"/>
      <c r="G74" s="31">
        <v>-2.2243582000000002</v>
      </c>
      <c r="H74" s="31">
        <v>2.7699999999999999E-2</v>
      </c>
    </row>
    <row r="75" spans="1:11" s="31" customFormat="1" x14ac:dyDescent="0.25">
      <c r="C75" s="31" t="s">
        <v>82</v>
      </c>
      <c r="D75" s="31">
        <v>-0.16367899999999999</v>
      </c>
      <c r="E75" s="31">
        <v>0.30196099999999998</v>
      </c>
      <c r="F75" s="32"/>
      <c r="G75" s="31">
        <v>-0.54205340000000002</v>
      </c>
      <c r="H75" s="31">
        <v>0.5887</v>
      </c>
    </row>
    <row r="76" spans="1:11" s="31" customFormat="1" x14ac:dyDescent="0.25">
      <c r="C76" s="31" t="s">
        <v>83</v>
      </c>
      <c r="D76" s="31">
        <v>-2.1957999999999998E-2</v>
      </c>
      <c r="E76" s="31">
        <v>1.0952999999999999E-2</v>
      </c>
      <c r="F76" s="32"/>
      <c r="G76" s="31">
        <v>-2.0047334999999999</v>
      </c>
      <c r="H76" s="31">
        <v>4.6899999999999997E-2</v>
      </c>
    </row>
    <row r="77" spans="1:11" s="31" customFormat="1" x14ac:dyDescent="0.25">
      <c r="C77" s="31" t="s">
        <v>84</v>
      </c>
      <c r="D77" s="31">
        <v>3.0547999999999999E-2</v>
      </c>
      <c r="E77" s="31">
        <v>1.528E-2</v>
      </c>
      <c r="F77" s="32"/>
      <c r="G77" s="31">
        <v>1.9992281999999999</v>
      </c>
      <c r="H77" s="31">
        <v>4.7500000000000001E-2</v>
      </c>
    </row>
    <row r="78" spans="1:11" s="31" customFormat="1" x14ac:dyDescent="0.25">
      <c r="C78" s="31" t="s">
        <v>52</v>
      </c>
      <c r="F78" s="32"/>
      <c r="I78" s="31">
        <f t="shared" si="0"/>
        <v>65.028096000000005</v>
      </c>
      <c r="K78" s="31">
        <v>8.0640000000000001</v>
      </c>
    </row>
    <row r="79" spans="1:11" s="31" customFormat="1" x14ac:dyDescent="0.25">
      <c r="C79" s="31" t="s">
        <v>5</v>
      </c>
      <c r="F79" s="32"/>
      <c r="I79" s="31">
        <f t="shared" si="0"/>
        <v>0.49262149690000001</v>
      </c>
      <c r="K79" s="31">
        <v>0.70186999999999999</v>
      </c>
    </row>
    <row r="80" spans="1:11" s="31" customFormat="1" x14ac:dyDescent="0.25">
      <c r="C80" s="31" t="s">
        <v>15</v>
      </c>
      <c r="F80" s="32"/>
      <c r="I80" s="31">
        <f t="shared" si="0"/>
        <v>11.055625000000001</v>
      </c>
      <c r="K80" s="31">
        <v>3.3250000000000002</v>
      </c>
    </row>
    <row r="81" spans="1:10" s="18" customFormat="1" x14ac:dyDescent="0.25">
      <c r="A81" s="18" t="s">
        <v>26</v>
      </c>
      <c r="B81" s="18" t="s">
        <v>27</v>
      </c>
      <c r="C81" s="18" t="s">
        <v>54</v>
      </c>
      <c r="D81" s="19">
        <v>0.84819999999999995</v>
      </c>
      <c r="E81" s="19">
        <v>0.14399999999999999</v>
      </c>
      <c r="F81" s="20"/>
      <c r="G81" s="18">
        <v>5.8760000000000003</v>
      </c>
      <c r="H81" s="18">
        <v>0</v>
      </c>
    </row>
    <row r="82" spans="1:10" s="18" customFormat="1" x14ac:dyDescent="0.25">
      <c r="C82" s="18" t="s">
        <v>2</v>
      </c>
      <c r="D82" s="19">
        <v>-3.13E-3</v>
      </c>
      <c r="E82" s="19">
        <v>6.4070000000000004E-3</v>
      </c>
      <c r="F82" s="20"/>
      <c r="G82" s="18">
        <v>-0.49</v>
      </c>
      <c r="H82" s="18">
        <v>0.62429999999999997</v>
      </c>
    </row>
    <row r="83" spans="1:10" s="18" customFormat="1" x14ac:dyDescent="0.25">
      <c r="C83" s="18" t="s">
        <v>3</v>
      </c>
      <c r="D83" s="18">
        <v>-3.62</v>
      </c>
      <c r="E83" s="19">
        <v>2.6549999999999998E-3</v>
      </c>
      <c r="F83" s="20"/>
      <c r="G83" s="18">
        <v>-0.13700000000000001</v>
      </c>
      <c r="H83" s="18">
        <v>0.89129999999999998</v>
      </c>
    </row>
    <row r="84" spans="1:10" s="18" customFormat="1" x14ac:dyDescent="0.25">
      <c r="C84" s="18" t="s">
        <v>47</v>
      </c>
      <c r="D84" s="19">
        <v>-0.255</v>
      </c>
      <c r="E84" s="19">
        <v>0.21429999999999999</v>
      </c>
      <c r="F84" s="20"/>
      <c r="G84" s="18">
        <v>-1.052</v>
      </c>
      <c r="H84" s="18">
        <v>0.30199999999999999</v>
      </c>
    </row>
    <row r="85" spans="1:10" s="18" customFormat="1" x14ac:dyDescent="0.25">
      <c r="C85" s="18" t="s">
        <v>48</v>
      </c>
      <c r="D85" s="19">
        <v>1.125E-2</v>
      </c>
      <c r="E85" s="19">
        <v>0.01</v>
      </c>
      <c r="F85" s="20"/>
      <c r="G85" s="18">
        <v>1.125</v>
      </c>
      <c r="H85" s="18">
        <v>0.26069999999999999</v>
      </c>
    </row>
    <row r="86" spans="1:10" s="18" customFormat="1" x14ac:dyDescent="0.25">
      <c r="C86" s="18" t="s">
        <v>49</v>
      </c>
      <c r="D86" s="19">
        <v>2.6700000000000001E-3</v>
      </c>
      <c r="E86" s="19">
        <v>4.1729999999999996E-3</v>
      </c>
      <c r="F86" s="20"/>
      <c r="G86" s="18">
        <v>0.64</v>
      </c>
      <c r="H86" s="18">
        <v>0.52239999999999998</v>
      </c>
    </row>
    <row r="87" spans="1:10" s="18" customFormat="1" x14ac:dyDescent="0.25">
      <c r="C87" s="18" t="s">
        <v>50</v>
      </c>
      <c r="D87" s="19">
        <v>2.0959999999999999E-5</v>
      </c>
      <c r="E87" s="19">
        <v>1.3339999999999999E-4</v>
      </c>
      <c r="F87" s="20"/>
      <c r="G87" s="18">
        <v>0.157</v>
      </c>
      <c r="H87" s="18">
        <v>0.87519999999999998</v>
      </c>
    </row>
    <row r="88" spans="1:10" s="18" customFormat="1" x14ac:dyDescent="0.25">
      <c r="C88" s="18" t="s">
        <v>51</v>
      </c>
      <c r="D88" s="19">
        <v>-1.2629999999999999</v>
      </c>
      <c r="E88" s="19">
        <v>2.1000000000000001E-4</v>
      </c>
      <c r="F88" s="20"/>
      <c r="G88" s="18">
        <v>-0.60099999999999998</v>
      </c>
      <c r="H88" s="18">
        <v>0.54790000000000005</v>
      </c>
    </row>
    <row r="89" spans="1:10" s="18" customFormat="1" x14ac:dyDescent="0.25">
      <c r="C89" s="18" t="s">
        <v>52</v>
      </c>
      <c r="F89" s="20"/>
      <c r="I89" s="18">
        <v>0.12640000000000001</v>
      </c>
    </row>
    <row r="90" spans="1:10" s="18" customFormat="1" x14ac:dyDescent="0.25">
      <c r="C90" s="18" t="s">
        <v>15</v>
      </c>
      <c r="F90" s="20"/>
      <c r="I90" s="18">
        <v>2.5000000000000001E-2</v>
      </c>
    </row>
    <row r="91" spans="1:10" s="18" customFormat="1" x14ac:dyDescent="0.25">
      <c r="C91" s="18" t="s">
        <v>5</v>
      </c>
      <c r="F91" s="20"/>
      <c r="I91" s="18">
        <v>3.0669999999999999E-2</v>
      </c>
    </row>
    <row r="92" spans="1:10" s="18" customFormat="1" x14ac:dyDescent="0.25">
      <c r="C92" s="18" t="s">
        <v>4</v>
      </c>
      <c r="F92" s="20"/>
      <c r="I92" s="18">
        <v>1.2E-2</v>
      </c>
    </row>
    <row r="93" spans="1:10" s="36" customFormat="1" x14ac:dyDescent="0.25">
      <c r="A93" s="36" t="s">
        <v>64</v>
      </c>
      <c r="F93" s="37"/>
      <c r="H93" s="36">
        <v>0.46579999999999999</v>
      </c>
    </row>
    <row r="94" spans="1:10" s="36" customFormat="1" x14ac:dyDescent="0.25">
      <c r="A94" s="36" t="s">
        <v>65</v>
      </c>
      <c r="F94" s="37" t="s">
        <v>61</v>
      </c>
      <c r="J94" s="36">
        <v>1383.5</v>
      </c>
    </row>
    <row r="95" spans="1:10" s="36" customFormat="1" x14ac:dyDescent="0.25">
      <c r="A95" s="36" t="s">
        <v>14</v>
      </c>
      <c r="F95" s="37" t="s">
        <v>20</v>
      </c>
      <c r="J95" s="36">
        <v>1387.9</v>
      </c>
    </row>
    <row r="96" spans="1:10" s="4" customFormat="1" x14ac:dyDescent="0.25">
      <c r="A96" s="4" t="s">
        <v>66</v>
      </c>
      <c r="F96" s="5"/>
      <c r="H96" s="4">
        <v>0.96779999999999999</v>
      </c>
    </row>
    <row r="97" spans="1:10" s="4" customFormat="1" x14ac:dyDescent="0.25">
      <c r="A97" s="4" t="s">
        <v>67</v>
      </c>
      <c r="F97" s="5" t="s">
        <v>61</v>
      </c>
      <c r="J97" s="4">
        <v>1380.5</v>
      </c>
    </row>
    <row r="98" spans="1:10" s="4" customFormat="1" x14ac:dyDescent="0.25">
      <c r="A98" s="4" t="s">
        <v>26</v>
      </c>
      <c r="F98" s="5" t="s">
        <v>20</v>
      </c>
      <c r="J98" s="4">
        <v>1387.9</v>
      </c>
    </row>
    <row r="99" spans="1:10" s="38" customFormat="1" x14ac:dyDescent="0.25">
      <c r="A99" s="38" t="s">
        <v>68</v>
      </c>
      <c r="F99" s="39"/>
      <c r="H99" s="38">
        <v>0.71799999999999997</v>
      </c>
    </row>
    <row r="100" spans="1:10" s="38" customFormat="1" x14ac:dyDescent="0.25">
      <c r="A100" s="38" t="s">
        <v>69</v>
      </c>
      <c r="F100" s="39" t="s">
        <v>70</v>
      </c>
      <c r="J100" s="38">
        <v>1379.6</v>
      </c>
    </row>
    <row r="101" spans="1:10" s="26" customFormat="1" x14ac:dyDescent="0.25">
      <c r="A101" s="26" t="s">
        <v>29</v>
      </c>
      <c r="B101" s="26" t="s">
        <v>31</v>
      </c>
      <c r="C101" s="26" t="s">
        <v>53</v>
      </c>
      <c r="D101" s="27">
        <v>0.84709999999999996</v>
      </c>
      <c r="E101" s="27">
        <v>0.14599999999999999</v>
      </c>
      <c r="F101" s="28"/>
      <c r="G101" s="26">
        <v>5.7889999999999997</v>
      </c>
    </row>
    <row r="102" spans="1:10" s="26" customFormat="1" x14ac:dyDescent="0.25">
      <c r="C102" s="26" t="s">
        <v>2</v>
      </c>
      <c r="D102" s="27">
        <v>-3.13E-3</v>
      </c>
      <c r="E102" s="27">
        <v>6.62E-3</v>
      </c>
      <c r="F102" s="28"/>
      <c r="G102" s="26">
        <v>-0.47399999999999998</v>
      </c>
    </row>
    <row r="103" spans="1:10" s="26" customFormat="1" x14ac:dyDescent="0.25">
      <c r="C103" s="26" t="s">
        <v>3</v>
      </c>
      <c r="D103" s="27">
        <v>-2.041E-4</v>
      </c>
      <c r="E103" s="27">
        <v>2.7399999999999998E-3</v>
      </c>
      <c r="F103" s="28"/>
      <c r="G103" s="26">
        <v>-7.3999999999999996E-2</v>
      </c>
    </row>
    <row r="104" spans="1:10" s="26" customFormat="1" x14ac:dyDescent="0.25">
      <c r="C104" s="26" t="s">
        <v>47</v>
      </c>
      <c r="D104" s="27">
        <v>-0.21199999999999999</v>
      </c>
      <c r="E104" s="27">
        <v>0.21659999999999999</v>
      </c>
      <c r="F104" s="28"/>
      <c r="G104" s="26">
        <v>-0.98</v>
      </c>
    </row>
    <row r="105" spans="1:10" s="26" customFormat="1" x14ac:dyDescent="0.25">
      <c r="C105" s="26" t="s">
        <v>48</v>
      </c>
      <c r="D105" s="27">
        <v>1.1180000000000001E-2</v>
      </c>
      <c r="E105" s="27">
        <v>1.0330000000000001E-2</v>
      </c>
      <c r="F105" s="28"/>
      <c r="G105" s="26">
        <v>1.0820000000000001</v>
      </c>
    </row>
    <row r="106" spans="1:10" s="26" customFormat="1" x14ac:dyDescent="0.25">
      <c r="C106" s="26" t="s">
        <v>49</v>
      </c>
      <c r="D106" s="27">
        <v>2.4810000000000001E-3</v>
      </c>
      <c r="E106" s="27">
        <v>4.3090000000000003E-3</v>
      </c>
      <c r="F106" s="28"/>
      <c r="G106" s="26">
        <v>0.57599999999999996</v>
      </c>
    </row>
    <row r="107" spans="1:10" s="26" customFormat="1" x14ac:dyDescent="0.25">
      <c r="C107" s="26" t="s">
        <v>50</v>
      </c>
      <c r="D107" s="27">
        <v>2.0959999999999999E-5</v>
      </c>
      <c r="E107" s="27">
        <v>1.3779999999999999E-4</v>
      </c>
      <c r="F107" s="28"/>
      <c r="G107" s="26">
        <v>0.152</v>
      </c>
    </row>
    <row r="108" spans="1:10" s="26" customFormat="1" x14ac:dyDescent="0.25">
      <c r="C108" s="26" t="s">
        <v>51</v>
      </c>
      <c r="D108" s="27">
        <v>-1.2510000000000001E-4</v>
      </c>
      <c r="E108" s="27">
        <v>2.1699999999999999E-4</v>
      </c>
      <c r="F108" s="28"/>
      <c r="G108" s="26">
        <v>-0.57699999999999996</v>
      </c>
    </row>
    <row r="109" spans="1:10" s="26" customFormat="1" x14ac:dyDescent="0.25">
      <c r="C109" s="26" t="s">
        <v>52</v>
      </c>
      <c r="D109" s="27"/>
      <c r="E109" s="27"/>
      <c r="F109" s="28"/>
      <c r="I109" s="26">
        <v>3.4500000000000003E-2</v>
      </c>
    </row>
    <row r="110" spans="1:10" s="26" customFormat="1" x14ac:dyDescent="0.25">
      <c r="C110" s="26" t="s">
        <v>5</v>
      </c>
      <c r="F110" s="28"/>
      <c r="I110" s="26">
        <v>3.4500000000000003E-2</v>
      </c>
    </row>
    <row r="111" spans="1:10" s="26" customFormat="1" x14ac:dyDescent="0.25">
      <c r="C111" s="26" t="s">
        <v>4</v>
      </c>
      <c r="F111" s="28"/>
      <c r="I111" s="26">
        <v>1.32E-2</v>
      </c>
    </row>
    <row r="112" spans="1:10" s="18" customFormat="1" x14ac:dyDescent="0.25">
      <c r="A112" s="18" t="s">
        <v>30</v>
      </c>
      <c r="B112" s="18" t="s">
        <v>32</v>
      </c>
      <c r="C112" s="18" t="s">
        <v>53</v>
      </c>
      <c r="D112" s="19">
        <v>0.85499999999999998</v>
      </c>
      <c r="E112" s="19">
        <v>0.15890000000000001</v>
      </c>
      <c r="F112" s="20"/>
      <c r="G112" s="18">
        <v>5.38</v>
      </c>
    </row>
    <row r="113" spans="1:10" s="18" customFormat="1" x14ac:dyDescent="0.25">
      <c r="C113" s="18" t="s">
        <v>2</v>
      </c>
      <c r="D113" s="19">
        <v>-3.13E-3</v>
      </c>
      <c r="E113" s="19">
        <v>7.2199999999999999E-3</v>
      </c>
      <c r="F113" s="20"/>
      <c r="G113" s="18">
        <v>-0.435</v>
      </c>
    </row>
    <row r="114" spans="1:10" s="18" customFormat="1" x14ac:dyDescent="0.25">
      <c r="C114" s="18" t="s">
        <v>3</v>
      </c>
      <c r="D114" s="19">
        <v>-2.12E-4</v>
      </c>
      <c r="E114" s="19">
        <v>2.99E-3</v>
      </c>
      <c r="F114" s="20"/>
      <c r="G114" s="18">
        <v>-7.0999999999999994E-2</v>
      </c>
    </row>
    <row r="115" spans="1:10" s="18" customFormat="1" x14ac:dyDescent="0.25">
      <c r="C115" s="18" t="s">
        <v>47</v>
      </c>
      <c r="D115" s="19">
        <v>-0.251</v>
      </c>
      <c r="E115" s="19">
        <v>0.22359999999999999</v>
      </c>
      <c r="F115" s="20"/>
      <c r="G115" s="18">
        <v>-1.125</v>
      </c>
    </row>
    <row r="116" spans="1:10" s="18" customFormat="1" x14ac:dyDescent="0.25">
      <c r="C116" s="18" t="s">
        <v>48</v>
      </c>
      <c r="D116" s="19">
        <v>1.159E-2</v>
      </c>
      <c r="E116" s="19">
        <v>1.126E-3</v>
      </c>
      <c r="F116" s="20"/>
      <c r="G116" s="18">
        <v>1.0289999999999999</v>
      </c>
    </row>
    <row r="117" spans="1:10" s="18" customFormat="1" x14ac:dyDescent="0.25">
      <c r="C117" s="18" t="s">
        <v>49</v>
      </c>
      <c r="D117" s="19">
        <v>2.5829999999999998E-3</v>
      </c>
      <c r="E117" s="19">
        <v>4.6959999999999997E-3</v>
      </c>
      <c r="F117" s="20"/>
      <c r="G117" s="18">
        <v>0.55000000000000004</v>
      </c>
    </row>
    <row r="118" spans="1:10" s="18" customFormat="1" x14ac:dyDescent="0.25">
      <c r="C118" s="18" t="s">
        <v>50</v>
      </c>
      <c r="D118" s="19">
        <v>2.0959999999999999E-5</v>
      </c>
      <c r="E118" s="19">
        <v>1.5029999999999999E-4</v>
      </c>
      <c r="F118" s="20"/>
      <c r="G118" s="18">
        <v>0.13900000000000001</v>
      </c>
    </row>
    <row r="119" spans="1:10" s="18" customFormat="1" x14ac:dyDescent="0.25">
      <c r="C119" s="18" t="s">
        <v>51</v>
      </c>
      <c r="D119" s="19">
        <v>-1.3190000000000001E-4</v>
      </c>
      <c r="E119" s="19">
        <v>2.366E-4</v>
      </c>
      <c r="F119" s="20"/>
      <c r="G119" s="18">
        <v>-0.55800000000000005</v>
      </c>
    </row>
    <row r="120" spans="1:10" s="18" customFormat="1" x14ac:dyDescent="0.25">
      <c r="C120" s="18" t="s">
        <v>52</v>
      </c>
      <c r="D120" s="19"/>
      <c r="E120" s="19"/>
      <c r="F120" s="20"/>
      <c r="I120" s="18">
        <v>0.16045999999999999</v>
      </c>
    </row>
    <row r="121" spans="1:10" s="18" customFormat="1" x14ac:dyDescent="0.25">
      <c r="C121" s="18" t="s">
        <v>4</v>
      </c>
      <c r="F121" s="20"/>
      <c r="I121" s="18">
        <v>3.2099999999999997E-2</v>
      </c>
    </row>
    <row r="122" spans="1:10" s="2" customFormat="1" x14ac:dyDescent="0.25">
      <c r="A122" s="2" t="s">
        <v>28</v>
      </c>
      <c r="F122" s="3"/>
    </row>
    <row r="123" spans="1:10" s="2" customFormat="1" x14ac:dyDescent="0.25">
      <c r="A123" s="2" t="s">
        <v>29</v>
      </c>
      <c r="F123" s="3" t="s">
        <v>19</v>
      </c>
      <c r="J123" s="2">
        <v>1424.1</v>
      </c>
    </row>
    <row r="124" spans="1:10" s="2" customFormat="1" x14ac:dyDescent="0.25">
      <c r="A124" s="2" t="s">
        <v>26</v>
      </c>
      <c r="F124" s="3" t="s">
        <v>20</v>
      </c>
      <c r="J124" s="2">
        <v>1387.9</v>
      </c>
    </row>
    <row r="126" spans="1:10" s="4" customFormat="1" x14ac:dyDescent="0.25">
      <c r="A126" s="4" t="s">
        <v>33</v>
      </c>
      <c r="F126" s="5"/>
    </row>
    <row r="127" spans="1:10" s="4" customFormat="1" x14ac:dyDescent="0.25">
      <c r="A127" s="4" t="s">
        <v>29</v>
      </c>
      <c r="F127" s="5" t="s">
        <v>19</v>
      </c>
      <c r="J127" s="4">
        <v>1424.1</v>
      </c>
    </row>
    <row r="128" spans="1:10" s="4" customFormat="1" x14ac:dyDescent="0.25">
      <c r="A128" s="4" t="s">
        <v>30</v>
      </c>
      <c r="F128" s="5" t="s">
        <v>24</v>
      </c>
      <c r="J128" s="4">
        <v>1628.4</v>
      </c>
    </row>
    <row r="129" spans="1:9" x14ac:dyDescent="0.25">
      <c r="A129" s="4" t="s">
        <v>89</v>
      </c>
    </row>
    <row r="130" spans="1:9" s="29" customFormat="1" x14ac:dyDescent="0.25">
      <c r="A130" s="29" t="s">
        <v>34</v>
      </c>
      <c r="B130" s="29" t="s">
        <v>35</v>
      </c>
      <c r="C130" s="29" t="s">
        <v>54</v>
      </c>
      <c r="D130" s="29">
        <v>0.69589999999999996</v>
      </c>
      <c r="E130" s="29">
        <v>0.19800000000000001</v>
      </c>
      <c r="F130" s="30"/>
      <c r="G130" s="29">
        <v>3.5139999999999998</v>
      </c>
      <c r="H130" s="29">
        <v>5.0000000000000001E-4</v>
      </c>
    </row>
    <row r="131" spans="1:9" s="29" customFormat="1" x14ac:dyDescent="0.25">
      <c r="C131" s="29" t="s">
        <v>2</v>
      </c>
      <c r="D131" s="29">
        <v>4.6999999999999999E-4</v>
      </c>
      <c r="E131" s="29">
        <v>9.2999999999999992E-3</v>
      </c>
      <c r="F131" s="30"/>
      <c r="G131" s="29">
        <v>5.0999999999999997E-2</v>
      </c>
      <c r="H131" s="29">
        <v>0.9597</v>
      </c>
    </row>
    <row r="132" spans="1:9" s="29" customFormat="1" x14ac:dyDescent="0.25">
      <c r="C132" s="29" t="s">
        <v>3</v>
      </c>
      <c r="D132" s="29">
        <v>2.5400000000000002E-3</v>
      </c>
      <c r="E132" s="29">
        <v>3.8999999999999998E-3</v>
      </c>
      <c r="F132" s="30"/>
      <c r="G132" s="29">
        <v>0.65600000000000003</v>
      </c>
      <c r="H132" s="29">
        <v>0.5121</v>
      </c>
    </row>
    <row r="133" spans="1:9" s="29" customFormat="1" x14ac:dyDescent="0.25">
      <c r="C133" s="29" t="s">
        <v>47</v>
      </c>
      <c r="D133" s="29">
        <v>-0.57299999999999995</v>
      </c>
      <c r="E133" s="29">
        <v>0.41899999999999998</v>
      </c>
      <c r="F133" s="30"/>
      <c r="G133" s="29">
        <v>-1.367</v>
      </c>
      <c r="H133" s="29">
        <v>0.19889999999999999</v>
      </c>
    </row>
    <row r="134" spans="1:9" s="29" customFormat="1" x14ac:dyDescent="0.25">
      <c r="C134" s="29" t="s">
        <v>48</v>
      </c>
      <c r="D134" s="29">
        <v>3.0499999999999999E-2</v>
      </c>
      <c r="E134" s="29">
        <v>1.899E-2</v>
      </c>
      <c r="F134" s="30"/>
      <c r="G134" s="29">
        <v>1.607</v>
      </c>
      <c r="H134" s="29">
        <v>0.1086</v>
      </c>
    </row>
    <row r="135" spans="1:9" s="29" customFormat="1" x14ac:dyDescent="0.25">
      <c r="C135" s="29" t="s">
        <v>49</v>
      </c>
      <c r="D135" s="29">
        <v>1.24E-2</v>
      </c>
      <c r="E135" s="29">
        <v>7.9000000000000008E-3</v>
      </c>
      <c r="F135" s="30"/>
      <c r="G135" s="29">
        <v>1.5609999999999999</v>
      </c>
      <c r="H135" s="29">
        <v>0.11899999999999999</v>
      </c>
    </row>
    <row r="136" spans="1:9" s="29" customFormat="1" x14ac:dyDescent="0.25">
      <c r="C136" s="29" t="s">
        <v>50</v>
      </c>
      <c r="D136" s="29">
        <v>-1.34E-4</v>
      </c>
      <c r="E136" s="29">
        <v>1.95E-4</v>
      </c>
      <c r="F136" s="30"/>
      <c r="G136" s="29">
        <v>-0.68799999999999994</v>
      </c>
      <c r="H136" s="29">
        <v>0.4919</v>
      </c>
    </row>
    <row r="137" spans="1:9" s="29" customFormat="1" x14ac:dyDescent="0.25">
      <c r="C137" s="29" t="s">
        <v>51</v>
      </c>
      <c r="D137" s="29">
        <v>6.7400000000000001E-4</v>
      </c>
      <c r="E137" s="29">
        <v>3.9970000000000001E-4</v>
      </c>
      <c r="F137" s="30"/>
      <c r="G137" s="29">
        <v>-1.6870000000000001</v>
      </c>
      <c r="H137" s="29">
        <v>9.2100000000000001E-2</v>
      </c>
    </row>
    <row r="138" spans="1:9" s="29" customFormat="1" x14ac:dyDescent="0.25">
      <c r="C138" s="29" t="s">
        <v>52</v>
      </c>
      <c r="F138" s="30"/>
      <c r="I138" s="29">
        <v>0.14677999999999999</v>
      </c>
    </row>
    <row r="139" spans="1:9" s="29" customFormat="1" x14ac:dyDescent="0.25">
      <c r="C139" s="29" t="s">
        <v>5</v>
      </c>
      <c r="F139" s="30"/>
      <c r="I139" s="29">
        <v>4.9299999999999997E-2</v>
      </c>
    </row>
    <row r="140" spans="1:9" s="29" customFormat="1" x14ac:dyDescent="0.25">
      <c r="C140" s="29" t="s">
        <v>15</v>
      </c>
      <c r="F140" s="30"/>
      <c r="I140" s="29">
        <v>2.8799999999999999E-2</v>
      </c>
    </row>
    <row r="141" spans="1:9" s="18" customFormat="1" x14ac:dyDescent="0.25">
      <c r="A141" s="18" t="s">
        <v>88</v>
      </c>
      <c r="B141" s="18" t="s">
        <v>90</v>
      </c>
      <c r="F141" s="20"/>
    </row>
    <row r="142" spans="1:9" s="29" customFormat="1" x14ac:dyDescent="0.25">
      <c r="A142" s="18" t="s">
        <v>91</v>
      </c>
      <c r="B142" s="18" t="s">
        <v>92</v>
      </c>
      <c r="C142" s="18"/>
      <c r="D142" s="18"/>
      <c r="F142" s="30"/>
    </row>
    <row r="143" spans="1:9" s="29" customFormat="1" x14ac:dyDescent="0.25">
      <c r="A143" s="29" t="s">
        <v>93</v>
      </c>
      <c r="F143" s="30"/>
    </row>
    <row r="144" spans="1:9" s="21" customFormat="1" x14ac:dyDescent="0.25">
      <c r="A144" s="21" t="s">
        <v>36</v>
      </c>
      <c r="B144" s="21" t="s">
        <v>37</v>
      </c>
      <c r="C144" s="21" t="s">
        <v>54</v>
      </c>
      <c r="D144" s="22">
        <v>0.1149</v>
      </c>
      <c r="E144" s="22">
        <v>4.3299999999999998E-2</v>
      </c>
      <c r="G144" s="21">
        <v>2.6509999999999998</v>
      </c>
      <c r="H144" s="21">
        <v>8.2000000000000007E-3</v>
      </c>
    </row>
    <row r="145" spans="1:10" s="21" customFormat="1" x14ac:dyDescent="0.25">
      <c r="C145" s="21" t="s">
        <v>2</v>
      </c>
      <c r="D145" s="22">
        <v>1.73E-3</v>
      </c>
      <c r="E145" s="22">
        <v>1.0660000000000001E-3</v>
      </c>
      <c r="F145" s="23"/>
      <c r="G145" s="21">
        <v>1.623</v>
      </c>
      <c r="H145" s="21">
        <v>0.1048</v>
      </c>
    </row>
    <row r="146" spans="1:10" s="21" customFormat="1" x14ac:dyDescent="0.25">
      <c r="C146" s="21" t="s">
        <v>3</v>
      </c>
      <c r="D146" s="22">
        <v>2.6900000000000001E-3</v>
      </c>
      <c r="E146" s="22">
        <v>4.437E-4</v>
      </c>
      <c r="F146" s="23"/>
      <c r="G146" s="21">
        <v>5.1100000000000003</v>
      </c>
      <c r="H146" s="21">
        <v>0</v>
      </c>
    </row>
    <row r="147" spans="1:10" s="21" customFormat="1" x14ac:dyDescent="0.25">
      <c r="C147" s="21" t="s">
        <v>47</v>
      </c>
      <c r="D147" s="22">
        <v>0.1153</v>
      </c>
      <c r="E147" s="22">
        <v>3.3689999999999998E-2</v>
      </c>
      <c r="F147" s="23"/>
      <c r="G147" s="21">
        <v>3.4220000000000002</v>
      </c>
      <c r="H147" s="21">
        <v>2E-3</v>
      </c>
    </row>
    <row r="148" spans="1:10" s="21" customFormat="1" x14ac:dyDescent="0.25">
      <c r="C148" s="21" t="s">
        <v>48</v>
      </c>
      <c r="D148" s="22">
        <v>-6.1529999999999996E-3</v>
      </c>
      <c r="E148" s="22">
        <v>1.6620000000000001E-3</v>
      </c>
      <c r="F148" s="23"/>
      <c r="G148" s="21">
        <v>-3.7029999999999998</v>
      </c>
      <c r="H148" s="21">
        <v>2.0000000000000001E-4</v>
      </c>
    </row>
    <row r="149" spans="1:10" s="21" customFormat="1" x14ac:dyDescent="0.25">
      <c r="C149" s="21" t="s">
        <v>49</v>
      </c>
      <c r="D149" s="22">
        <v>-2.052E-3</v>
      </c>
      <c r="E149" s="22">
        <v>7.0010000000000005E-4</v>
      </c>
      <c r="F149" s="23"/>
      <c r="G149" s="21">
        <v>-2.931</v>
      </c>
      <c r="H149" s="21">
        <v>3.5000000000000001E-3</v>
      </c>
    </row>
    <row r="150" spans="1:10" s="21" customFormat="1" x14ac:dyDescent="0.25">
      <c r="C150" s="21" t="s">
        <v>50</v>
      </c>
      <c r="D150" s="22">
        <v>-1.4770000000000001E-4</v>
      </c>
      <c r="E150" s="22">
        <v>2.2390000000000001E-5</v>
      </c>
      <c r="F150" s="23"/>
      <c r="G150" s="21">
        <v>-6.5949999999999998</v>
      </c>
      <c r="H150" s="21">
        <v>0</v>
      </c>
    </row>
    <row r="151" spans="1:10" s="21" customFormat="1" x14ac:dyDescent="0.25">
      <c r="C151" s="21" t="s">
        <v>51</v>
      </c>
      <c r="D151" s="22">
        <v>1.225E-4</v>
      </c>
      <c r="E151" s="22">
        <v>3.5099999999999999E-5</v>
      </c>
      <c r="F151" s="23"/>
      <c r="G151" s="21">
        <v>3.4889999999999999</v>
      </c>
      <c r="H151" s="21">
        <v>5.0000000000000001E-4</v>
      </c>
    </row>
    <row r="152" spans="1:10" s="21" customFormat="1" x14ac:dyDescent="0.25">
      <c r="C152" s="21" t="s">
        <v>52</v>
      </c>
      <c r="D152" s="22"/>
      <c r="E152" s="22"/>
      <c r="I152" s="22">
        <v>2.4359999999999998E-3</v>
      </c>
    </row>
    <row r="153" spans="1:10" s="21" customFormat="1" x14ac:dyDescent="0.25">
      <c r="C153" s="21" t="s">
        <v>5</v>
      </c>
      <c r="I153" s="22">
        <v>2.5369999999999999E-4</v>
      </c>
    </row>
    <row r="154" spans="1:10" s="21" customFormat="1" x14ac:dyDescent="0.25">
      <c r="C154" s="21" t="s">
        <v>15</v>
      </c>
      <c r="I154" s="22">
        <v>2.58E-5</v>
      </c>
    </row>
    <row r="155" spans="1:10" s="21" customFormat="1" x14ac:dyDescent="0.25">
      <c r="C155" s="21" t="s">
        <v>4</v>
      </c>
      <c r="I155" s="22">
        <v>9.8799999999999999E-3</v>
      </c>
    </row>
    <row r="156" spans="1:10" s="24" customFormat="1" x14ac:dyDescent="0.25">
      <c r="A156" s="24" t="s">
        <v>73</v>
      </c>
      <c r="I156" s="25"/>
    </row>
    <row r="157" spans="1:10" s="24" customFormat="1" x14ac:dyDescent="0.25">
      <c r="A157" s="24" t="s">
        <v>71</v>
      </c>
      <c r="F157" s="24">
        <v>12</v>
      </c>
      <c r="I157" s="25"/>
      <c r="J157" s="24">
        <v>-3454.5</v>
      </c>
    </row>
    <row r="158" spans="1:10" s="24" customFormat="1" x14ac:dyDescent="0.25">
      <c r="A158" s="24" t="s">
        <v>67</v>
      </c>
      <c r="F158" s="24">
        <v>8</v>
      </c>
      <c r="H158" s="25">
        <v>9.6469999999999992E-13</v>
      </c>
      <c r="I158" s="25"/>
      <c r="J158" s="24">
        <v>-3400</v>
      </c>
    </row>
    <row r="159" spans="1:10" s="24" customFormat="1" x14ac:dyDescent="0.25">
      <c r="A159" s="24" t="s">
        <v>72</v>
      </c>
      <c r="F159" s="24">
        <v>8</v>
      </c>
      <c r="H159" s="25">
        <v>2.2E-16</v>
      </c>
      <c r="I159" s="25"/>
      <c r="J159" s="24">
        <v>-3087</v>
      </c>
    </row>
    <row r="160" spans="1:10" s="15" customFormat="1" x14ac:dyDescent="0.25">
      <c r="A160" s="15" t="s">
        <v>38</v>
      </c>
      <c r="B160" s="15" t="s">
        <v>39</v>
      </c>
      <c r="C160" s="15" t="s">
        <v>54</v>
      </c>
      <c r="D160" s="16">
        <v>0.1149</v>
      </c>
      <c r="E160" s="16">
        <v>4.3299999999999998E-2</v>
      </c>
      <c r="F160" s="17"/>
      <c r="G160" s="15">
        <v>2.6509999999999998</v>
      </c>
    </row>
    <row r="161" spans="1:10" s="15" customFormat="1" x14ac:dyDescent="0.25">
      <c r="C161" s="15" t="s">
        <v>2</v>
      </c>
      <c r="D161" s="16">
        <v>1.732E-3</v>
      </c>
      <c r="E161" s="16">
        <v>1.067E-3</v>
      </c>
      <c r="F161" s="17"/>
      <c r="G161" s="15">
        <v>1.623</v>
      </c>
    </row>
    <row r="162" spans="1:10" s="15" customFormat="1" x14ac:dyDescent="0.25">
      <c r="C162" s="15" t="s">
        <v>3</v>
      </c>
      <c r="D162" s="16">
        <v>2.2680000000000001E-3</v>
      </c>
      <c r="E162" s="16">
        <v>4.4409999999999996E-3</v>
      </c>
      <c r="F162" s="17"/>
      <c r="G162" s="15">
        <v>5.1059999999999999</v>
      </c>
    </row>
    <row r="163" spans="1:10" s="15" customFormat="1" x14ac:dyDescent="0.25">
      <c r="C163" s="15" t="s">
        <v>47</v>
      </c>
      <c r="D163" s="16">
        <v>0.1152</v>
      </c>
      <c r="E163" s="16">
        <v>3.3730000000000003E-2</v>
      </c>
      <c r="F163" s="17"/>
      <c r="G163" s="15">
        <v>3.4140000000000001</v>
      </c>
    </row>
    <row r="164" spans="1:10" s="15" customFormat="1" x14ac:dyDescent="0.25">
      <c r="C164" s="15" t="s">
        <v>48</v>
      </c>
      <c r="D164" s="16">
        <v>-6.1529999999999996E-3</v>
      </c>
      <c r="E164" s="16">
        <v>1.6620000000000001E-3</v>
      </c>
      <c r="F164" s="17"/>
      <c r="G164" s="15">
        <v>-3.7029999999999998</v>
      </c>
    </row>
    <row r="165" spans="1:10" s="15" customFormat="1" x14ac:dyDescent="0.25">
      <c r="C165" s="15" t="s">
        <v>49</v>
      </c>
      <c r="D165" s="16">
        <v>-2.052E-3</v>
      </c>
      <c r="E165" s="16">
        <v>7.0010000000000005E-4</v>
      </c>
      <c r="F165" s="17"/>
      <c r="G165" s="15">
        <v>-2.931</v>
      </c>
    </row>
    <row r="166" spans="1:10" s="15" customFormat="1" x14ac:dyDescent="0.25">
      <c r="C166" s="15" t="s">
        <v>50</v>
      </c>
      <c r="D166" s="16">
        <v>-1.4770000000000001E-4</v>
      </c>
      <c r="E166" s="16">
        <v>2.249E-5</v>
      </c>
      <c r="F166" s="17"/>
      <c r="G166" s="15">
        <v>-6.9589999999999996</v>
      </c>
    </row>
    <row r="167" spans="1:10" s="15" customFormat="1" x14ac:dyDescent="0.25">
      <c r="C167" s="15" t="s">
        <v>51</v>
      </c>
      <c r="D167" s="16">
        <v>1.225E-4</v>
      </c>
      <c r="E167" s="16">
        <v>3.5099999999999999E-5</v>
      </c>
      <c r="F167" s="17"/>
      <c r="G167" s="15">
        <v>3.4889999999999999</v>
      </c>
    </row>
    <row r="168" spans="1:10" s="15" customFormat="1" x14ac:dyDescent="0.25">
      <c r="C168" s="15" t="s">
        <v>52</v>
      </c>
      <c r="D168" s="16"/>
      <c r="E168" s="16"/>
      <c r="F168" s="17"/>
      <c r="I168" s="16">
        <v>2.4359999999999998E-3</v>
      </c>
    </row>
    <row r="169" spans="1:10" s="15" customFormat="1" x14ac:dyDescent="0.25">
      <c r="C169" s="15" t="s">
        <v>5</v>
      </c>
      <c r="F169" s="17"/>
      <c r="I169" s="16">
        <v>2.7E-4</v>
      </c>
    </row>
    <row r="170" spans="1:10" s="15" customFormat="1" x14ac:dyDescent="0.25">
      <c r="C170" s="15" t="s">
        <v>4</v>
      </c>
      <c r="F170" s="17"/>
      <c r="I170" s="16">
        <v>9.9000000000000008E-3</v>
      </c>
    </row>
    <row r="171" spans="1:10" s="4" customFormat="1" x14ac:dyDescent="0.25">
      <c r="A171" s="4" t="s">
        <v>40</v>
      </c>
      <c r="F171" s="5"/>
      <c r="J171" s="4" t="s">
        <v>41</v>
      </c>
    </row>
    <row r="172" spans="1:10" s="4" customFormat="1" x14ac:dyDescent="0.25">
      <c r="A172" s="4" t="s">
        <v>36</v>
      </c>
      <c r="F172" s="5" t="s">
        <v>20</v>
      </c>
      <c r="J172" s="4">
        <v>-3454.5</v>
      </c>
    </row>
    <row r="173" spans="1:10" s="4" customFormat="1" x14ac:dyDescent="0.25">
      <c r="A173" s="4" t="s">
        <v>38</v>
      </c>
      <c r="F173" s="5" t="s">
        <v>19</v>
      </c>
      <c r="J173" s="4">
        <v>-3456</v>
      </c>
    </row>
    <row r="174" spans="1:10" s="21" customFormat="1" x14ac:dyDescent="0.25">
      <c r="A174" s="21" t="s">
        <v>42</v>
      </c>
      <c r="B174" s="21" t="s">
        <v>43</v>
      </c>
      <c r="C174" s="21" t="s">
        <v>54</v>
      </c>
      <c r="D174" s="22">
        <v>0.11509999999999999</v>
      </c>
      <c r="E174" s="22">
        <v>4.369E-2</v>
      </c>
      <c r="F174" s="23"/>
      <c r="G174" s="21">
        <v>2.6349999999999998</v>
      </c>
    </row>
    <row r="175" spans="1:10" s="21" customFormat="1" x14ac:dyDescent="0.25">
      <c r="C175" s="21" t="s">
        <v>2</v>
      </c>
      <c r="D175" s="22">
        <v>1.8799999999999999E-3</v>
      </c>
      <c r="E175" s="22">
        <v>1.1039999999999999E-3</v>
      </c>
      <c r="F175" s="23"/>
      <c r="G175" s="21">
        <v>1.702</v>
      </c>
    </row>
    <row r="176" spans="1:10" s="21" customFormat="1" x14ac:dyDescent="0.25">
      <c r="C176" s="21" t="s">
        <v>3</v>
      </c>
      <c r="D176" s="22">
        <v>2.2880000000000001E-3</v>
      </c>
      <c r="E176" s="22">
        <v>4.596E-4</v>
      </c>
      <c r="F176" s="23"/>
      <c r="G176" s="21">
        <v>4.9790000000000001</v>
      </c>
    </row>
    <row r="177" spans="1:10" s="21" customFormat="1" x14ac:dyDescent="0.25">
      <c r="C177" s="21" t="s">
        <v>47</v>
      </c>
      <c r="D177" s="22">
        <v>0.1149</v>
      </c>
      <c r="E177" s="22">
        <v>3.4259999999999999E-2</v>
      </c>
      <c r="F177" s="23"/>
      <c r="G177" s="21">
        <v>3.383</v>
      </c>
    </row>
    <row r="178" spans="1:10" s="21" customFormat="1" x14ac:dyDescent="0.25">
      <c r="C178" s="21" t="s">
        <v>48</v>
      </c>
      <c r="D178" s="22">
        <v>-6.2430000000000003E-3</v>
      </c>
      <c r="E178" s="22">
        <v>1.72E-3</v>
      </c>
      <c r="F178" s="23"/>
      <c r="G178" s="21">
        <v>-3.6280000000000001</v>
      </c>
    </row>
    <row r="179" spans="1:10" s="21" customFormat="1" x14ac:dyDescent="0.25">
      <c r="C179" s="21" t="s">
        <v>49</v>
      </c>
      <c r="D179" s="22">
        <v>-2.0969999999999999E-3</v>
      </c>
      <c r="E179" s="22">
        <v>7.249E-4</v>
      </c>
      <c r="F179" s="23"/>
      <c r="G179" s="21">
        <v>-2.8929999999999998</v>
      </c>
    </row>
    <row r="180" spans="1:10" s="21" customFormat="1" x14ac:dyDescent="0.25">
      <c r="C180" s="21" t="s">
        <v>50</v>
      </c>
      <c r="D180" s="22">
        <v>-1.5100000000000001E-4</v>
      </c>
      <c r="E180" s="22">
        <v>2.3220000000000001E-5</v>
      </c>
      <c r="F180" s="23"/>
      <c r="G180" s="21">
        <v>-6.5049999999999999</v>
      </c>
    </row>
    <row r="181" spans="1:10" s="21" customFormat="1" x14ac:dyDescent="0.25">
      <c r="C181" s="21" t="s">
        <v>51</v>
      </c>
      <c r="D181" s="22">
        <v>1.262E-4</v>
      </c>
      <c r="E181" s="22">
        <v>3.6359999999999997E-5</v>
      </c>
      <c r="F181" s="23"/>
      <c r="G181" s="21">
        <v>3.4710000000000001</v>
      </c>
    </row>
    <row r="182" spans="1:10" s="21" customFormat="1" x14ac:dyDescent="0.25">
      <c r="C182" s="21" t="s">
        <v>52</v>
      </c>
      <c r="D182" s="22"/>
      <c r="E182" s="22"/>
      <c r="F182" s="23"/>
      <c r="I182" s="21">
        <v>2.6329999999999999E-3</v>
      </c>
    </row>
    <row r="183" spans="1:10" s="21" customFormat="1" x14ac:dyDescent="0.25">
      <c r="C183" s="21" t="s">
        <v>4</v>
      </c>
      <c r="F183" s="23"/>
      <c r="I183" s="21">
        <v>0.01</v>
      </c>
    </row>
    <row r="184" spans="1:10" s="4" customFormat="1" x14ac:dyDescent="0.25">
      <c r="A184" s="4" t="s">
        <v>44</v>
      </c>
      <c r="F184" s="5"/>
    </row>
    <row r="185" spans="1:10" s="4" customFormat="1" x14ac:dyDescent="0.25">
      <c r="A185" s="4" t="s">
        <v>42</v>
      </c>
      <c r="F185" s="5" t="s">
        <v>24</v>
      </c>
      <c r="J185" s="4">
        <v>-3415.6</v>
      </c>
    </row>
    <row r="186" spans="1:10" s="4" customFormat="1" x14ac:dyDescent="0.25">
      <c r="A186" s="4" t="s">
        <v>38</v>
      </c>
      <c r="F186" s="5" t="s">
        <v>19</v>
      </c>
      <c r="J186" s="4">
        <v>-3456</v>
      </c>
    </row>
    <row r="187" spans="1:10" x14ac:dyDescent="0.25">
      <c r="A187" s="21" t="s">
        <v>58</v>
      </c>
      <c r="B187" s="21" t="s">
        <v>55</v>
      </c>
      <c r="C187" s="21" t="s">
        <v>54</v>
      </c>
      <c r="D187" s="22">
        <v>0.1469</v>
      </c>
      <c r="E187" s="22">
        <v>2.1350000000000001E-2</v>
      </c>
      <c r="G187" s="21">
        <v>7.0069999999999997</v>
      </c>
      <c r="H187" s="21">
        <v>0</v>
      </c>
      <c r="I187" s="21"/>
    </row>
    <row r="188" spans="1:10" x14ac:dyDescent="0.25">
      <c r="A188" s="21"/>
      <c r="B188" s="21"/>
      <c r="C188" s="21" t="s">
        <v>47</v>
      </c>
      <c r="D188" s="22">
        <v>0.11070000000000001</v>
      </c>
      <c r="E188" s="22">
        <v>4.3209999999999998E-2</v>
      </c>
      <c r="G188" s="21">
        <v>2.5609999999999999</v>
      </c>
      <c r="H188" s="21">
        <v>2.6499999999999999E-2</v>
      </c>
      <c r="I188" s="21"/>
    </row>
    <row r="189" spans="1:10" x14ac:dyDescent="0.25">
      <c r="A189" s="21"/>
      <c r="B189" s="21"/>
      <c r="C189" s="21" t="s">
        <v>3</v>
      </c>
      <c r="D189" s="22">
        <v>6.1339999999999995E-4</v>
      </c>
      <c r="E189" s="22">
        <v>4.4930000000000002E-4</v>
      </c>
      <c r="G189" s="21">
        <v>1.365</v>
      </c>
      <c r="H189" s="21">
        <v>0.1729</v>
      </c>
      <c r="I189" s="21"/>
    </row>
    <row r="190" spans="1:10" x14ac:dyDescent="0.25">
      <c r="A190" s="21"/>
      <c r="B190" s="21"/>
      <c r="C190" s="21" t="s">
        <v>2</v>
      </c>
      <c r="D190" s="22">
        <v>-1.941E-3</v>
      </c>
      <c r="E190" s="22" t="s">
        <v>56</v>
      </c>
      <c r="G190" s="21">
        <v>-1.843</v>
      </c>
      <c r="H190" s="21">
        <v>6.6100000000000006E-2</v>
      </c>
    </row>
    <row r="191" spans="1:10" x14ac:dyDescent="0.25">
      <c r="A191" s="21"/>
      <c r="B191" s="21"/>
      <c r="C191" s="21" t="s">
        <v>48</v>
      </c>
      <c r="D191" s="22">
        <v>-5.391E-3</v>
      </c>
      <c r="E191" s="22">
        <v>2.1020000000000001E-3</v>
      </c>
      <c r="G191" s="21">
        <v>-2.5640000000000001</v>
      </c>
      <c r="H191" s="21">
        <v>1.0699999999999999E-2</v>
      </c>
      <c r="I191" s="21"/>
    </row>
    <row r="192" spans="1:10" x14ac:dyDescent="0.25">
      <c r="A192" s="21"/>
      <c r="B192" s="21"/>
      <c r="C192" s="21" t="s">
        <v>49</v>
      </c>
      <c r="D192" s="22">
        <v>-1.874E-3</v>
      </c>
      <c r="E192" s="22">
        <v>8.7980000000000003E-4</v>
      </c>
      <c r="G192" s="21">
        <v>-2.13</v>
      </c>
      <c r="H192" s="21">
        <v>3.3799999999999997E-2</v>
      </c>
      <c r="I192" s="21"/>
    </row>
    <row r="193" spans="1:9" x14ac:dyDescent="0.25">
      <c r="A193" s="21"/>
      <c r="B193" s="21"/>
      <c r="C193" s="21" t="s">
        <v>50</v>
      </c>
      <c r="D193" s="22">
        <v>-3.6180000000000003E-5</v>
      </c>
      <c r="E193" s="22">
        <v>2.26E-5</v>
      </c>
      <c r="G193" s="21">
        <v>-1.601</v>
      </c>
      <c r="H193" s="21">
        <v>0.11020000000000001</v>
      </c>
      <c r="I193" s="21"/>
    </row>
    <row r="194" spans="1:9" x14ac:dyDescent="0.25">
      <c r="A194" s="21"/>
      <c r="B194" s="21"/>
      <c r="C194" s="21" t="s">
        <v>51</v>
      </c>
      <c r="D194" s="22" t="s">
        <v>57</v>
      </c>
      <c r="E194" s="22">
        <v>4.494E-5</v>
      </c>
      <c r="G194" s="21">
        <v>2.02</v>
      </c>
      <c r="H194" s="21">
        <v>4.41E-2</v>
      </c>
      <c r="I194" s="21"/>
    </row>
    <row r="195" spans="1:9" x14ac:dyDescent="0.25">
      <c r="A195" s="21"/>
      <c r="B195" s="21"/>
      <c r="C195" s="21" t="s">
        <v>52</v>
      </c>
      <c r="D195" s="22"/>
      <c r="E195" s="22"/>
      <c r="G195" s="21"/>
      <c r="H195" s="21"/>
      <c r="I195" s="22">
        <v>1.243E-3</v>
      </c>
    </row>
    <row r="196" spans="1:9" x14ac:dyDescent="0.25">
      <c r="A196" s="21"/>
      <c r="B196" s="21"/>
      <c r="C196" s="21" t="s">
        <v>15</v>
      </c>
      <c r="D196" s="21"/>
      <c r="E196" s="21"/>
      <c r="G196" s="21"/>
      <c r="H196" s="21"/>
      <c r="I196" s="22">
        <v>8.8640000000000005E-5</v>
      </c>
    </row>
    <row r="197" spans="1:9" s="21" customFormat="1" x14ac:dyDescent="0.25">
      <c r="C197" s="21" t="s">
        <v>5</v>
      </c>
      <c r="F197" s="23"/>
      <c r="I197" s="22">
        <v>2.2039999999999999E-4</v>
      </c>
    </row>
    <row r="198" spans="1:9" x14ac:dyDescent="0.25">
      <c r="A198" t="s">
        <v>94</v>
      </c>
    </row>
    <row r="199" spans="1:9" x14ac:dyDescent="0.25">
      <c r="A199" t="s">
        <v>95</v>
      </c>
    </row>
    <row r="200" spans="1:9" x14ac:dyDescent="0.25">
      <c r="A200" t="s">
        <v>96</v>
      </c>
    </row>
    <row r="201" spans="1:9" x14ac:dyDescent="0.25">
      <c r="A201" t="s">
        <v>97</v>
      </c>
    </row>
    <row r="202" spans="1:9" x14ac:dyDescent="0.25">
      <c r="A202" t="s">
        <v>98</v>
      </c>
    </row>
    <row r="203" spans="1:9" x14ac:dyDescent="0.25">
      <c r="A203" t="s">
        <v>100</v>
      </c>
    </row>
    <row r="204" spans="1:9" x14ac:dyDescent="0.25">
      <c r="A204" t="s">
        <v>99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opLeftCell="A28" workbookViewId="0">
      <selection activeCell="J12" sqref="J12"/>
    </sheetView>
  </sheetViews>
  <sheetFormatPr defaultRowHeight="15" x14ac:dyDescent="0.25"/>
  <cols>
    <col min="3" max="3" width="27.85546875" customWidth="1"/>
  </cols>
  <sheetData>
    <row r="1" spans="1:9" x14ac:dyDescent="0.25">
      <c r="A1" t="s">
        <v>167</v>
      </c>
      <c r="D1" s="43" t="s">
        <v>154</v>
      </c>
      <c r="I1" t="s">
        <v>177</v>
      </c>
    </row>
    <row r="2" spans="1:9" x14ac:dyDescent="0.25">
      <c r="A2" t="s">
        <v>168</v>
      </c>
      <c r="D2" s="43" t="s">
        <v>176</v>
      </c>
    </row>
    <row r="3" spans="1:9" x14ac:dyDescent="0.25">
      <c r="C3" t="s">
        <v>5</v>
      </c>
      <c r="I3">
        <f>0.1878^2</f>
        <v>3.5268839999999996E-2</v>
      </c>
    </row>
    <row r="4" spans="1:9" x14ac:dyDescent="0.25">
      <c r="C4" t="s">
        <v>15</v>
      </c>
      <c r="I4">
        <f>0.1804^2</f>
        <v>3.2544160000000003E-2</v>
      </c>
    </row>
    <row r="5" spans="1:9" x14ac:dyDescent="0.25">
      <c r="C5" t="s">
        <v>52</v>
      </c>
      <c r="I5">
        <f>0.351^2</f>
        <v>0.12320099999999999</v>
      </c>
    </row>
    <row r="6" spans="1:9" x14ac:dyDescent="0.25">
      <c r="D6" t="s">
        <v>101</v>
      </c>
      <c r="E6" t="s">
        <v>102</v>
      </c>
      <c r="F6" t="s">
        <v>9</v>
      </c>
      <c r="G6" t="s">
        <v>7</v>
      </c>
      <c r="H6" t="s">
        <v>103</v>
      </c>
    </row>
    <row r="7" spans="1:9" x14ac:dyDescent="0.25">
      <c r="C7" t="s">
        <v>104</v>
      </c>
      <c r="D7">
        <v>0.5947249</v>
      </c>
      <c r="E7">
        <v>0.45168979999999997</v>
      </c>
      <c r="F7">
        <v>1447</v>
      </c>
      <c r="G7">
        <v>1.3166663999999999</v>
      </c>
      <c r="H7">
        <v>0.18820000000000001</v>
      </c>
    </row>
    <row r="8" spans="1:9" x14ac:dyDescent="0.25">
      <c r="C8" t="s">
        <v>46</v>
      </c>
      <c r="D8">
        <v>0.1084357</v>
      </c>
      <c r="E8">
        <v>0.65064610000000001</v>
      </c>
      <c r="F8">
        <v>14</v>
      </c>
      <c r="G8">
        <v>0.16665849999999999</v>
      </c>
      <c r="H8">
        <v>0.87</v>
      </c>
    </row>
    <row r="9" spans="1:9" x14ac:dyDescent="0.25">
      <c r="C9" t="s">
        <v>2</v>
      </c>
      <c r="D9">
        <v>2.83582E-2</v>
      </c>
      <c r="E9">
        <v>2.1445100000000002E-2</v>
      </c>
      <c r="F9">
        <v>1447</v>
      </c>
      <c r="G9">
        <v>1.3223627</v>
      </c>
      <c r="H9">
        <v>0.18629999999999999</v>
      </c>
    </row>
    <row r="10" spans="1:9" x14ac:dyDescent="0.25">
      <c r="C10" t="s">
        <v>3</v>
      </c>
      <c r="D10">
        <v>-5.2487999999999996E-3</v>
      </c>
      <c r="E10">
        <v>8.9797000000000002E-3</v>
      </c>
      <c r="F10">
        <v>1447</v>
      </c>
      <c r="G10">
        <v>-0.58451540000000002</v>
      </c>
      <c r="H10">
        <v>0.55900000000000005</v>
      </c>
    </row>
    <row r="11" spans="1:9" x14ac:dyDescent="0.25">
      <c r="C11" t="s">
        <v>105</v>
      </c>
      <c r="D11">
        <v>0.27348</v>
      </c>
      <c r="E11">
        <v>0.7473708</v>
      </c>
      <c r="F11">
        <v>61</v>
      </c>
      <c r="G11">
        <v>0.36592279999999999</v>
      </c>
      <c r="H11">
        <v>0.7157</v>
      </c>
    </row>
    <row r="12" spans="1:9" x14ac:dyDescent="0.25">
      <c r="C12" t="s">
        <v>106</v>
      </c>
      <c r="D12">
        <v>0.39522200000000002</v>
      </c>
      <c r="E12">
        <v>0.75667289999999998</v>
      </c>
      <c r="F12">
        <v>61</v>
      </c>
      <c r="G12">
        <v>0.52231550000000004</v>
      </c>
      <c r="H12">
        <v>0.60329999999999995</v>
      </c>
    </row>
    <row r="13" spans="1:9" x14ac:dyDescent="0.25">
      <c r="C13" t="s">
        <v>107</v>
      </c>
      <c r="D13">
        <v>9.8625199999999996E-2</v>
      </c>
      <c r="E13">
        <v>0.47994979999999998</v>
      </c>
      <c r="F13">
        <v>61</v>
      </c>
      <c r="G13">
        <v>0.2054906</v>
      </c>
      <c r="H13">
        <v>0.83789999999999998</v>
      </c>
    </row>
    <row r="14" spans="1:9" x14ac:dyDescent="0.25">
      <c r="C14" t="s">
        <v>108</v>
      </c>
      <c r="D14">
        <v>0.50889479999999998</v>
      </c>
      <c r="E14">
        <v>0.63479850000000004</v>
      </c>
      <c r="F14">
        <v>61</v>
      </c>
      <c r="G14">
        <v>0.80166349999999997</v>
      </c>
      <c r="H14">
        <v>0.4259</v>
      </c>
    </row>
    <row r="15" spans="1:9" x14ac:dyDescent="0.25">
      <c r="C15" t="s">
        <v>109</v>
      </c>
      <c r="D15">
        <v>0.52984509999999996</v>
      </c>
      <c r="E15">
        <v>0.63684430000000003</v>
      </c>
      <c r="F15">
        <v>61</v>
      </c>
      <c r="G15">
        <v>0.83198530000000004</v>
      </c>
      <c r="H15">
        <v>0.40870000000000001</v>
      </c>
    </row>
    <row r="16" spans="1:9" x14ac:dyDescent="0.25">
      <c r="C16" t="s">
        <v>110</v>
      </c>
      <c r="D16">
        <v>0.40140179999999998</v>
      </c>
      <c r="E16">
        <v>0.63901390000000002</v>
      </c>
      <c r="F16">
        <v>61</v>
      </c>
      <c r="G16">
        <v>0.62815810000000005</v>
      </c>
      <c r="H16">
        <v>0.53220000000000001</v>
      </c>
    </row>
    <row r="17" spans="3:8" x14ac:dyDescent="0.25">
      <c r="C17" t="s">
        <v>48</v>
      </c>
      <c r="D17">
        <v>-4.25373E-2</v>
      </c>
      <c r="E17">
        <v>3.0328000000000001E-2</v>
      </c>
      <c r="F17">
        <v>1447</v>
      </c>
      <c r="G17">
        <v>-1.4025775</v>
      </c>
      <c r="H17">
        <v>0.161</v>
      </c>
    </row>
    <row r="18" spans="3:8" x14ac:dyDescent="0.25">
      <c r="C18" t="s">
        <v>49</v>
      </c>
      <c r="D18">
        <v>-5.8954999999999997E-3</v>
      </c>
      <c r="E18">
        <v>1.2699200000000001E-2</v>
      </c>
      <c r="F18">
        <v>1447</v>
      </c>
      <c r="G18">
        <v>-0.46424460000000001</v>
      </c>
      <c r="H18">
        <v>0.64249999999999996</v>
      </c>
    </row>
    <row r="19" spans="3:8" x14ac:dyDescent="0.25">
      <c r="C19" t="s">
        <v>50</v>
      </c>
      <c r="D19">
        <v>-7.4599999999999997E-5</v>
      </c>
      <c r="E19">
        <v>4.5209999999999998E-4</v>
      </c>
      <c r="F19">
        <v>1447</v>
      </c>
      <c r="G19">
        <v>-0.1650662</v>
      </c>
      <c r="H19">
        <v>0.86890000000000001</v>
      </c>
    </row>
    <row r="20" spans="3:8" x14ac:dyDescent="0.25">
      <c r="C20" t="s">
        <v>111</v>
      </c>
      <c r="D20">
        <v>0.72131500000000004</v>
      </c>
      <c r="E20">
        <v>0.99006150000000004</v>
      </c>
      <c r="F20">
        <v>61</v>
      </c>
      <c r="G20">
        <v>0.72855570000000003</v>
      </c>
      <c r="H20">
        <v>0.46910000000000002</v>
      </c>
    </row>
    <row r="21" spans="3:8" x14ac:dyDescent="0.25">
      <c r="C21" t="s">
        <v>112</v>
      </c>
      <c r="D21">
        <v>-0.61812270000000002</v>
      </c>
      <c r="E21">
        <v>0.99835099999999999</v>
      </c>
      <c r="F21">
        <v>61</v>
      </c>
      <c r="G21">
        <v>-0.61914369999999996</v>
      </c>
      <c r="H21">
        <v>0.53810000000000002</v>
      </c>
    </row>
    <row r="22" spans="3:8" x14ac:dyDescent="0.25">
      <c r="C22" t="s">
        <v>113</v>
      </c>
      <c r="D22">
        <v>-0.67269100000000004</v>
      </c>
      <c r="E22">
        <v>0.73800060000000001</v>
      </c>
      <c r="F22">
        <v>61</v>
      </c>
      <c r="G22">
        <v>-0.91150469999999995</v>
      </c>
      <c r="H22">
        <v>0.36559999999999998</v>
      </c>
    </row>
    <row r="23" spans="3:8" x14ac:dyDescent="0.25">
      <c r="C23" t="s">
        <v>114</v>
      </c>
      <c r="D23">
        <v>-1.3175593999999999</v>
      </c>
      <c r="E23">
        <v>0.8908026</v>
      </c>
      <c r="F23">
        <v>61</v>
      </c>
      <c r="G23">
        <v>-1.4790700000000001</v>
      </c>
      <c r="H23">
        <v>0.14430000000000001</v>
      </c>
    </row>
    <row r="24" spans="3:8" x14ac:dyDescent="0.25">
      <c r="C24" t="s">
        <v>115</v>
      </c>
      <c r="D24">
        <v>3.3697699999999997E-2</v>
      </c>
      <c r="E24">
        <v>0.90727720000000001</v>
      </c>
      <c r="F24">
        <v>61</v>
      </c>
      <c r="G24">
        <v>3.7141500000000001E-2</v>
      </c>
      <c r="H24">
        <v>0.97050000000000003</v>
      </c>
    </row>
    <row r="25" spans="3:8" x14ac:dyDescent="0.25">
      <c r="C25" t="s">
        <v>116</v>
      </c>
      <c r="D25">
        <v>-0.46994960000000002</v>
      </c>
      <c r="E25">
        <v>0.89737409999999995</v>
      </c>
      <c r="F25">
        <v>61</v>
      </c>
      <c r="G25">
        <v>-0.5236942</v>
      </c>
      <c r="H25">
        <v>0.60240000000000005</v>
      </c>
    </row>
    <row r="26" spans="3:8" x14ac:dyDescent="0.25">
      <c r="C26" t="s">
        <v>117</v>
      </c>
      <c r="D26">
        <v>-4.3283599999999998E-2</v>
      </c>
      <c r="E26">
        <v>3.58845E-2</v>
      </c>
      <c r="F26">
        <v>1447</v>
      </c>
      <c r="G26">
        <v>-1.2061907000000001</v>
      </c>
      <c r="H26">
        <v>0.22789999999999999</v>
      </c>
    </row>
    <row r="27" spans="3:8" x14ac:dyDescent="0.25">
      <c r="C27" t="s">
        <v>118</v>
      </c>
      <c r="D27">
        <v>-4.9067199999999998E-2</v>
      </c>
      <c r="E27">
        <v>3.62035E-2</v>
      </c>
      <c r="F27">
        <v>1447</v>
      </c>
      <c r="G27">
        <v>-1.3553153</v>
      </c>
      <c r="H27">
        <v>0.17549999999999999</v>
      </c>
    </row>
    <row r="28" spans="3:8" x14ac:dyDescent="0.25">
      <c r="C28" t="s">
        <v>119</v>
      </c>
      <c r="D28">
        <v>-2.7888E-2</v>
      </c>
      <c r="E28">
        <v>2.30747E-2</v>
      </c>
      <c r="F28">
        <v>1447</v>
      </c>
      <c r="G28">
        <v>-1.2085973999999999</v>
      </c>
      <c r="H28">
        <v>0.22700000000000001</v>
      </c>
    </row>
    <row r="29" spans="3:8" x14ac:dyDescent="0.25">
      <c r="C29" t="s">
        <v>120</v>
      </c>
      <c r="D29">
        <v>-4.4776099999999999E-2</v>
      </c>
      <c r="E29">
        <v>3.0328000000000001E-2</v>
      </c>
      <c r="F29">
        <v>1447</v>
      </c>
      <c r="G29">
        <v>-1.4763974</v>
      </c>
      <c r="H29">
        <v>0.1401</v>
      </c>
    </row>
    <row r="30" spans="3:8" x14ac:dyDescent="0.25">
      <c r="C30" t="s">
        <v>121</v>
      </c>
      <c r="D30">
        <v>-4.4776099999999999E-2</v>
      </c>
      <c r="E30">
        <v>3.0328000000000001E-2</v>
      </c>
      <c r="F30">
        <v>1447</v>
      </c>
      <c r="G30">
        <v>-1.4763974</v>
      </c>
      <c r="H30">
        <v>0.1401</v>
      </c>
    </row>
    <row r="31" spans="3:8" x14ac:dyDescent="0.25">
      <c r="C31" t="s">
        <v>122</v>
      </c>
      <c r="D31">
        <v>-4.3283599999999998E-2</v>
      </c>
      <c r="E31">
        <v>3.0328000000000001E-2</v>
      </c>
      <c r="F31">
        <v>1447</v>
      </c>
      <c r="G31">
        <v>-1.4271841000000001</v>
      </c>
      <c r="H31">
        <v>0.1537</v>
      </c>
    </row>
    <row r="32" spans="3:8" x14ac:dyDescent="0.25">
      <c r="C32" t="s">
        <v>123</v>
      </c>
      <c r="D32">
        <v>4.8053999999999996E-3</v>
      </c>
      <c r="E32">
        <v>1.4302E-2</v>
      </c>
      <c r="F32">
        <v>1447</v>
      </c>
      <c r="G32">
        <v>0.33599849999999998</v>
      </c>
      <c r="H32">
        <v>0.7369</v>
      </c>
    </row>
    <row r="33" spans="3:8" x14ac:dyDescent="0.25">
      <c r="C33" t="s">
        <v>124</v>
      </c>
      <c r="D33">
        <v>5.3430999999999999E-3</v>
      </c>
      <c r="E33">
        <v>1.46771E-2</v>
      </c>
      <c r="F33">
        <v>1447</v>
      </c>
      <c r="G33">
        <v>0.36404049999999999</v>
      </c>
      <c r="H33">
        <v>0.71589999999999998</v>
      </c>
    </row>
    <row r="34" spans="3:8" x14ac:dyDescent="0.25">
      <c r="C34" t="s">
        <v>125</v>
      </c>
      <c r="D34">
        <v>7.7562000000000004E-3</v>
      </c>
      <c r="E34">
        <v>9.6579000000000005E-3</v>
      </c>
      <c r="F34">
        <v>1447</v>
      </c>
      <c r="G34">
        <v>0.80309410000000003</v>
      </c>
      <c r="H34">
        <v>0.42209999999999998</v>
      </c>
    </row>
    <row r="35" spans="3:8" x14ac:dyDescent="0.25">
      <c r="C35" t="s">
        <v>126</v>
      </c>
      <c r="D35">
        <v>1.7164000000000001E-3</v>
      </c>
      <c r="E35">
        <v>1.2699200000000001E-2</v>
      </c>
      <c r="F35">
        <v>1447</v>
      </c>
      <c r="G35">
        <v>0.1351598</v>
      </c>
      <c r="H35">
        <v>0.89249999999999996</v>
      </c>
    </row>
    <row r="36" spans="3:8" x14ac:dyDescent="0.25">
      <c r="C36" t="s">
        <v>127</v>
      </c>
      <c r="D36">
        <v>1.5796E-3</v>
      </c>
      <c r="E36">
        <v>1.2699200000000001E-2</v>
      </c>
      <c r="F36">
        <v>1447</v>
      </c>
      <c r="G36">
        <v>0.1243862</v>
      </c>
      <c r="H36">
        <v>0.90100000000000002</v>
      </c>
    </row>
    <row r="37" spans="3:8" x14ac:dyDescent="0.25">
      <c r="C37" t="s">
        <v>128</v>
      </c>
      <c r="D37">
        <v>-1.0074999999999999E-3</v>
      </c>
      <c r="E37">
        <v>1.2699200000000001E-2</v>
      </c>
      <c r="F37">
        <v>1447</v>
      </c>
      <c r="G37">
        <v>-7.9332899999999998E-2</v>
      </c>
      <c r="H37">
        <v>0.93679999999999997</v>
      </c>
    </row>
    <row r="38" spans="3:8" x14ac:dyDescent="0.25">
      <c r="C38" t="s">
        <v>84</v>
      </c>
      <c r="D38">
        <v>3.9800000000000002E-4</v>
      </c>
      <c r="E38">
        <v>6.3940000000000004E-4</v>
      </c>
      <c r="F38">
        <v>1447</v>
      </c>
      <c r="G38">
        <v>0.62250380000000005</v>
      </c>
      <c r="H38">
        <v>0.53369999999999995</v>
      </c>
    </row>
    <row r="39" spans="3:8" x14ac:dyDescent="0.25">
      <c r="C39" t="s">
        <v>129</v>
      </c>
      <c r="D39">
        <v>1.91542E-2</v>
      </c>
      <c r="E39">
        <v>4.7092500000000002E-2</v>
      </c>
      <c r="F39">
        <v>1447</v>
      </c>
      <c r="G39">
        <v>0.40673619999999999</v>
      </c>
      <c r="H39">
        <v>0.68430000000000002</v>
      </c>
    </row>
    <row r="40" spans="3:8" x14ac:dyDescent="0.25">
      <c r="C40" t="s">
        <v>130</v>
      </c>
      <c r="D40">
        <v>8.5389599999999996E-2</v>
      </c>
      <c r="E40">
        <v>4.7818300000000001E-2</v>
      </c>
      <c r="F40">
        <v>1447</v>
      </c>
      <c r="G40">
        <v>1.7857102</v>
      </c>
      <c r="H40">
        <v>7.4399999999999994E-2</v>
      </c>
    </row>
    <row r="41" spans="3:8" x14ac:dyDescent="0.25">
      <c r="C41" t="s">
        <v>131</v>
      </c>
      <c r="D41">
        <v>7.3037299999999999E-2</v>
      </c>
      <c r="E41">
        <v>3.4961100000000002E-2</v>
      </c>
      <c r="F41">
        <v>1447</v>
      </c>
      <c r="G41">
        <v>2.0890993999999998</v>
      </c>
      <c r="H41">
        <v>3.6900000000000002E-2</v>
      </c>
    </row>
    <row r="42" spans="3:8" x14ac:dyDescent="0.25">
      <c r="C42" t="s">
        <v>132</v>
      </c>
      <c r="D42">
        <v>9.3361E-2</v>
      </c>
      <c r="E42">
        <v>4.24316E-2</v>
      </c>
      <c r="F42">
        <v>1447</v>
      </c>
      <c r="G42">
        <v>2.2002706000000001</v>
      </c>
      <c r="H42">
        <v>2.7900000000000001E-2</v>
      </c>
    </row>
    <row r="43" spans="3:8" x14ac:dyDescent="0.25">
      <c r="C43" t="s">
        <v>133</v>
      </c>
      <c r="D43">
        <v>4.4029899999999997E-2</v>
      </c>
      <c r="E43">
        <v>4.2890200000000003E-2</v>
      </c>
      <c r="F43">
        <v>1447</v>
      </c>
      <c r="G43">
        <v>1.0265711</v>
      </c>
      <c r="H43">
        <v>0.30480000000000002</v>
      </c>
    </row>
    <row r="44" spans="3:8" x14ac:dyDescent="0.25">
      <c r="C44" t="s">
        <v>134</v>
      </c>
      <c r="D44">
        <v>6.6135100000000002E-2</v>
      </c>
      <c r="E44">
        <v>4.2751600000000001E-2</v>
      </c>
      <c r="F44">
        <v>1447</v>
      </c>
      <c r="G44">
        <v>1.5469645000000001</v>
      </c>
      <c r="H44">
        <v>0.1221</v>
      </c>
    </row>
    <row r="45" spans="3:8" x14ac:dyDescent="0.25">
      <c r="C45" t="s">
        <v>164</v>
      </c>
      <c r="D45">
        <v>-1.5735200000000001E-2</v>
      </c>
      <c r="E45">
        <v>1.92436E-2</v>
      </c>
      <c r="F45">
        <v>1447</v>
      </c>
      <c r="G45">
        <v>-0.8176871</v>
      </c>
      <c r="H45">
        <v>0.41370000000000001</v>
      </c>
    </row>
    <row r="46" spans="3:8" x14ac:dyDescent="0.25">
      <c r="C46" t="s">
        <v>163</v>
      </c>
      <c r="D46">
        <v>9.6164000000000006E-3</v>
      </c>
      <c r="E46">
        <v>1.95795E-2</v>
      </c>
      <c r="F46">
        <v>1447</v>
      </c>
      <c r="G46">
        <v>0.49114819999999998</v>
      </c>
      <c r="H46">
        <v>0.62339999999999995</v>
      </c>
    </row>
    <row r="47" spans="3:8" x14ac:dyDescent="0.25">
      <c r="C47" t="s">
        <v>162</v>
      </c>
      <c r="D47">
        <v>1.83321E-2</v>
      </c>
      <c r="E47">
        <v>1.46365E-2</v>
      </c>
      <c r="F47">
        <v>1447</v>
      </c>
      <c r="G47">
        <v>1.2524941000000001</v>
      </c>
      <c r="H47">
        <v>0.21060000000000001</v>
      </c>
    </row>
    <row r="48" spans="3:8" x14ac:dyDescent="0.25">
      <c r="C48" t="s">
        <v>161</v>
      </c>
      <c r="D48">
        <v>2.8557599999999999E-2</v>
      </c>
      <c r="E48">
        <v>1.77959E-2</v>
      </c>
      <c r="F48">
        <v>1447</v>
      </c>
      <c r="G48">
        <v>1.6047292</v>
      </c>
      <c r="H48">
        <v>0.10879999999999999</v>
      </c>
    </row>
    <row r="49" spans="3:8" x14ac:dyDescent="0.25">
      <c r="C49" t="s">
        <v>169</v>
      </c>
      <c r="D49">
        <v>6.9649999999999996E-4</v>
      </c>
      <c r="E49">
        <v>1.7959300000000001E-2</v>
      </c>
      <c r="F49">
        <v>1447</v>
      </c>
      <c r="G49">
        <v>3.8782999999999998E-2</v>
      </c>
      <c r="H49">
        <v>0.96909999999999996</v>
      </c>
    </row>
    <row r="50" spans="3:8" x14ac:dyDescent="0.25">
      <c r="C50" t="s">
        <v>159</v>
      </c>
      <c r="D50">
        <v>1.6883200000000001E-2</v>
      </c>
      <c r="E50">
        <v>1.7929E-2</v>
      </c>
      <c r="F50">
        <v>1447</v>
      </c>
      <c r="G50">
        <v>0.94166819999999996</v>
      </c>
      <c r="H50">
        <v>0.34649999999999997</v>
      </c>
    </row>
    <row r="51" spans="3:8" x14ac:dyDescent="0.25">
      <c r="C51" t="s">
        <v>141</v>
      </c>
      <c r="D51">
        <v>3.234E-4</v>
      </c>
      <c r="E51">
        <v>7.1480000000000003E-4</v>
      </c>
      <c r="F51">
        <v>1447</v>
      </c>
      <c r="G51">
        <v>0.45238729999999999</v>
      </c>
      <c r="H51">
        <v>0.65110000000000001</v>
      </c>
    </row>
    <row r="52" spans="3:8" x14ac:dyDescent="0.25">
      <c r="C52" t="s">
        <v>142</v>
      </c>
      <c r="D52">
        <v>4.6640000000000001E-4</v>
      </c>
      <c r="E52">
        <v>7.3249999999999997E-4</v>
      </c>
      <c r="F52">
        <v>1447</v>
      </c>
      <c r="G52">
        <v>0.63675689999999996</v>
      </c>
      <c r="H52">
        <v>0.52439999999999998</v>
      </c>
    </row>
    <row r="53" spans="3:8" x14ac:dyDescent="0.25">
      <c r="C53" t="s">
        <v>143</v>
      </c>
      <c r="D53">
        <v>-5.9500000000000003E-5</v>
      </c>
      <c r="E53">
        <v>4.861E-4</v>
      </c>
      <c r="F53">
        <v>1447</v>
      </c>
      <c r="G53">
        <v>-0.1223924</v>
      </c>
      <c r="H53">
        <v>0.90259999999999996</v>
      </c>
    </row>
    <row r="54" spans="3:8" x14ac:dyDescent="0.25">
      <c r="C54" t="s">
        <v>144</v>
      </c>
      <c r="D54">
        <v>3.4830000000000001E-4</v>
      </c>
      <c r="E54">
        <v>6.3940000000000004E-4</v>
      </c>
      <c r="F54">
        <v>1447</v>
      </c>
      <c r="G54">
        <v>0.54469080000000003</v>
      </c>
      <c r="H54">
        <v>0.58609999999999995</v>
      </c>
    </row>
    <row r="55" spans="3:8" x14ac:dyDescent="0.25">
      <c r="C55" t="s">
        <v>145</v>
      </c>
      <c r="D55">
        <v>2.2389999999999999E-4</v>
      </c>
      <c r="E55">
        <v>6.3940000000000004E-4</v>
      </c>
      <c r="F55">
        <v>1447</v>
      </c>
      <c r="G55">
        <v>0.35015839999999998</v>
      </c>
      <c r="H55">
        <v>0.72629999999999995</v>
      </c>
    </row>
    <row r="56" spans="3:8" x14ac:dyDescent="0.25">
      <c r="C56" t="s">
        <v>146</v>
      </c>
      <c r="D56">
        <v>4.4779999999999999E-4</v>
      </c>
      <c r="E56">
        <v>6.3940000000000004E-4</v>
      </c>
      <c r="F56">
        <v>1447</v>
      </c>
      <c r="G56">
        <v>0.70031679999999996</v>
      </c>
      <c r="H56">
        <v>0.48380000000000001</v>
      </c>
    </row>
    <row r="57" spans="3:8" x14ac:dyDescent="0.25">
      <c r="C57" t="s">
        <v>170</v>
      </c>
      <c r="D57">
        <v>4.0630000000000001E-4</v>
      </c>
      <c r="E57">
        <v>9.6500000000000004E-4</v>
      </c>
      <c r="F57">
        <v>1447</v>
      </c>
      <c r="G57">
        <v>0.42105730000000002</v>
      </c>
      <c r="H57">
        <v>0.67379999999999995</v>
      </c>
    </row>
    <row r="58" spans="3:8" x14ac:dyDescent="0.25">
      <c r="C58" t="s">
        <v>171</v>
      </c>
      <c r="D58">
        <v>-9.8470000000000003E-4</v>
      </c>
      <c r="E58">
        <v>9.8029999999999992E-4</v>
      </c>
      <c r="F58">
        <v>1447</v>
      </c>
      <c r="G58">
        <v>-1.0045516000000001</v>
      </c>
      <c r="H58">
        <v>0.31530000000000002</v>
      </c>
    </row>
    <row r="59" spans="3:8" x14ac:dyDescent="0.25">
      <c r="C59" t="s">
        <v>172</v>
      </c>
      <c r="D59">
        <v>-1.0723E-3</v>
      </c>
      <c r="E59">
        <v>7.3680000000000002E-4</v>
      </c>
      <c r="F59">
        <v>1447</v>
      </c>
      <c r="G59">
        <v>-1.4553179000000001</v>
      </c>
      <c r="H59">
        <v>0.14580000000000001</v>
      </c>
    </row>
    <row r="60" spans="3:8" x14ac:dyDescent="0.25">
      <c r="C60" t="s">
        <v>173</v>
      </c>
      <c r="D60">
        <v>-1.2451000000000001E-3</v>
      </c>
      <c r="E60">
        <v>8.9820000000000004E-4</v>
      </c>
      <c r="F60">
        <v>1447</v>
      </c>
      <c r="G60">
        <v>-1.3862247000000001</v>
      </c>
      <c r="H60">
        <v>0.16589999999999999</v>
      </c>
    </row>
    <row r="61" spans="3:8" x14ac:dyDescent="0.25">
      <c r="C61" t="s">
        <v>174</v>
      </c>
      <c r="D61">
        <v>-1.2439999999999999E-4</v>
      </c>
      <c r="E61">
        <v>9.0419999999999997E-4</v>
      </c>
      <c r="F61">
        <v>1447</v>
      </c>
      <c r="G61">
        <v>-0.13755519999999999</v>
      </c>
      <c r="H61">
        <v>0.89059999999999995</v>
      </c>
    </row>
    <row r="62" spans="3:8" x14ac:dyDescent="0.25">
      <c r="C62" t="s">
        <v>175</v>
      </c>
      <c r="D62">
        <v>-9.0320000000000005E-4</v>
      </c>
      <c r="E62">
        <v>9.0240000000000003E-4</v>
      </c>
      <c r="F62">
        <v>1447</v>
      </c>
      <c r="G62">
        <v>-1.0009621</v>
      </c>
      <c r="H62">
        <v>0.317</v>
      </c>
    </row>
  </sheetData>
  <conditionalFormatting sqref="H1:H1048576">
    <cfRule type="cellIs" dxfId="1" priority="1" operator="lessThan">
      <formula>0.05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topLeftCell="A40" workbookViewId="0">
      <selection activeCell="G59" sqref="G59"/>
    </sheetView>
  </sheetViews>
  <sheetFormatPr defaultRowHeight="15" x14ac:dyDescent="0.25"/>
  <cols>
    <col min="5" max="5" width="27" customWidth="1"/>
    <col min="11" max="11" width="12" bestFit="1" customWidth="1"/>
  </cols>
  <sheetData>
    <row r="1" spans="1:11" x14ac:dyDescent="0.25">
      <c r="A1" t="s">
        <v>178</v>
      </c>
      <c r="F1" s="43" t="s">
        <v>154</v>
      </c>
      <c r="K1" t="s">
        <v>177</v>
      </c>
    </row>
    <row r="2" spans="1:11" x14ac:dyDescent="0.25">
      <c r="A2" t="s">
        <v>179</v>
      </c>
      <c r="F2" s="43" t="s">
        <v>176</v>
      </c>
    </row>
    <row r="3" spans="1:11" x14ac:dyDescent="0.25">
      <c r="E3" t="s">
        <v>156</v>
      </c>
      <c r="K3">
        <f>0.011999^2</f>
        <v>1.4397600099999997E-4</v>
      </c>
    </row>
    <row r="4" spans="1:11" x14ac:dyDescent="0.25">
      <c r="E4" t="s">
        <v>15</v>
      </c>
      <c r="K4">
        <f xml:space="preserve"> 0.008376242^2</f>
        <v>7.0161430042564013E-5</v>
      </c>
    </row>
    <row r="5" spans="1:11" x14ac:dyDescent="0.25">
      <c r="E5" t="s">
        <v>180</v>
      </c>
      <c r="K5">
        <f>0.04495297^2</f>
        <v>2.0207695118209003E-3</v>
      </c>
    </row>
    <row r="6" spans="1:11" x14ac:dyDescent="0.25">
      <c r="F6" t="s">
        <v>101</v>
      </c>
      <c r="G6" t="s">
        <v>102</v>
      </c>
      <c r="H6" t="s">
        <v>9</v>
      </c>
      <c r="I6" t="s">
        <v>7</v>
      </c>
      <c r="J6" t="s">
        <v>103</v>
      </c>
    </row>
    <row r="7" spans="1:11" x14ac:dyDescent="0.25">
      <c r="E7" t="s">
        <v>104</v>
      </c>
      <c r="F7">
        <v>9.7101000000000007E-2</v>
      </c>
      <c r="G7">
        <v>7.8333929999999996E-2</v>
      </c>
      <c r="H7">
        <v>993</v>
      </c>
      <c r="I7">
        <v>1.2395769999999999</v>
      </c>
      <c r="J7">
        <v>0.21540000000000001</v>
      </c>
    </row>
    <row r="8" spans="1:11" x14ac:dyDescent="0.25">
      <c r="E8" t="s">
        <v>46</v>
      </c>
      <c r="F8">
        <v>-6.0495999999999996E-3</v>
      </c>
      <c r="G8">
        <v>0.16707679</v>
      </c>
      <c r="H8">
        <v>14</v>
      </c>
      <c r="I8">
        <v>-3.6208999999999998E-2</v>
      </c>
      <c r="J8">
        <v>0.97160000000000002</v>
      </c>
    </row>
    <row r="9" spans="1:11" x14ac:dyDescent="0.25">
      <c r="E9" t="s">
        <v>2</v>
      </c>
      <c r="F9">
        <v>-1.5246999999999999E-3</v>
      </c>
      <c r="G9">
        <v>3.8097000000000001E-3</v>
      </c>
      <c r="H9">
        <v>993</v>
      </c>
      <c r="I9">
        <v>-0.40021600000000002</v>
      </c>
      <c r="J9">
        <v>0.68910000000000005</v>
      </c>
    </row>
    <row r="10" spans="1:11" x14ac:dyDescent="0.25">
      <c r="E10" t="s">
        <v>3</v>
      </c>
      <c r="F10">
        <v>1.187E-4</v>
      </c>
      <c r="G10">
        <v>1.71053E-3</v>
      </c>
      <c r="H10">
        <v>993</v>
      </c>
      <c r="I10">
        <v>6.9386000000000003E-2</v>
      </c>
      <c r="J10">
        <v>0.94469999999999998</v>
      </c>
    </row>
    <row r="11" spans="1:11" x14ac:dyDescent="0.25">
      <c r="E11" t="s">
        <v>105</v>
      </c>
      <c r="F11">
        <v>-0.28698810000000002</v>
      </c>
      <c r="G11">
        <v>0.15815749000000001</v>
      </c>
      <c r="H11">
        <v>56</v>
      </c>
      <c r="I11">
        <v>-1.8145709999999999</v>
      </c>
      <c r="J11">
        <v>7.4899999999999994E-2</v>
      </c>
    </row>
    <row r="12" spans="1:11" x14ac:dyDescent="0.25">
      <c r="E12" t="s">
        <v>106</v>
      </c>
      <c r="F12">
        <v>0.38134859999999998</v>
      </c>
      <c r="G12">
        <v>0.11992918</v>
      </c>
      <c r="H12">
        <v>56</v>
      </c>
      <c r="I12">
        <v>3.1797819999999999</v>
      </c>
      <c r="J12">
        <v>2.3999999999999998E-3</v>
      </c>
    </row>
    <row r="13" spans="1:11" x14ac:dyDescent="0.25">
      <c r="E13" t="s">
        <v>107</v>
      </c>
      <c r="F13">
        <v>4.8698999999999999E-2</v>
      </c>
      <c r="G13">
        <v>8.2705109999999998E-2</v>
      </c>
      <c r="H13">
        <v>56</v>
      </c>
      <c r="I13">
        <v>0.58882800000000002</v>
      </c>
      <c r="J13">
        <v>0.55830000000000002</v>
      </c>
    </row>
    <row r="14" spans="1:11" x14ac:dyDescent="0.25">
      <c r="E14" t="s">
        <v>108</v>
      </c>
      <c r="F14">
        <v>-8.2107600000000003E-2</v>
      </c>
      <c r="G14">
        <v>9.6021380000000003E-2</v>
      </c>
      <c r="H14">
        <v>56</v>
      </c>
      <c r="I14">
        <v>-0.855097</v>
      </c>
      <c r="J14">
        <v>0.39610000000000001</v>
      </c>
    </row>
    <row r="15" spans="1:11" x14ac:dyDescent="0.25">
      <c r="E15" t="s">
        <v>109</v>
      </c>
      <c r="F15">
        <v>-7.9130900000000004E-2</v>
      </c>
      <c r="G15">
        <v>9.7269720000000004E-2</v>
      </c>
      <c r="H15">
        <v>56</v>
      </c>
      <c r="I15">
        <v>-0.81352000000000002</v>
      </c>
      <c r="J15">
        <v>0.4194</v>
      </c>
    </row>
    <row r="16" spans="1:11" x14ac:dyDescent="0.25">
      <c r="E16" t="s">
        <v>110</v>
      </c>
      <c r="F16">
        <v>-1.8873999999999998E-2</v>
      </c>
      <c r="G16">
        <v>9.9392679999999997E-2</v>
      </c>
      <c r="H16">
        <v>56</v>
      </c>
      <c r="I16">
        <v>-0.18989300000000001</v>
      </c>
      <c r="J16">
        <v>0.85009999999999997</v>
      </c>
    </row>
    <row r="17" spans="5:10" x14ac:dyDescent="0.25">
      <c r="E17" t="s">
        <v>48</v>
      </c>
      <c r="F17">
        <v>-4.7545E-3</v>
      </c>
      <c r="G17">
        <v>9.6469199999999998E-3</v>
      </c>
      <c r="H17">
        <v>993</v>
      </c>
      <c r="I17">
        <v>-0.49285600000000002</v>
      </c>
      <c r="J17">
        <v>0.62219999999999998</v>
      </c>
    </row>
    <row r="18" spans="5:10" x14ac:dyDescent="0.25">
      <c r="E18" t="s">
        <v>49</v>
      </c>
      <c r="F18">
        <v>1.8665999999999999E-3</v>
      </c>
      <c r="G18">
        <v>3.9913300000000004E-3</v>
      </c>
      <c r="H18">
        <v>993</v>
      </c>
      <c r="I18">
        <v>0.467671</v>
      </c>
      <c r="J18">
        <v>0.6401</v>
      </c>
    </row>
    <row r="19" spans="5:10" x14ac:dyDescent="0.25">
      <c r="E19" t="s">
        <v>50</v>
      </c>
      <c r="F19">
        <v>-1.0900000000000001E-5</v>
      </c>
      <c r="G19">
        <v>8.4289999999999994E-5</v>
      </c>
      <c r="H19">
        <v>993</v>
      </c>
      <c r="I19">
        <v>-0.12984699999999999</v>
      </c>
      <c r="J19">
        <v>0.89670000000000005</v>
      </c>
    </row>
    <row r="20" spans="5:10" x14ac:dyDescent="0.25">
      <c r="E20" t="s">
        <v>111</v>
      </c>
      <c r="F20">
        <v>0.48068899999999998</v>
      </c>
      <c r="G20">
        <v>0.23051390999999999</v>
      </c>
      <c r="H20">
        <v>56</v>
      </c>
      <c r="I20">
        <v>2.0852930000000001</v>
      </c>
      <c r="J20">
        <v>4.1599999999999998E-2</v>
      </c>
    </row>
    <row r="21" spans="5:10" x14ac:dyDescent="0.25">
      <c r="E21" t="s">
        <v>112</v>
      </c>
      <c r="F21">
        <v>-5.7975899999999997E-2</v>
      </c>
      <c r="G21">
        <v>0.20074966999999999</v>
      </c>
      <c r="H21">
        <v>56</v>
      </c>
      <c r="I21">
        <v>-0.28879700000000003</v>
      </c>
      <c r="J21">
        <v>0.77380000000000004</v>
      </c>
    </row>
    <row r="22" spans="5:10" x14ac:dyDescent="0.25">
      <c r="E22" t="s">
        <v>113</v>
      </c>
      <c r="F22">
        <v>0.12102069999999999</v>
      </c>
      <c r="G22">
        <v>0.17525731</v>
      </c>
      <c r="H22">
        <v>56</v>
      </c>
      <c r="I22">
        <v>0.69053200000000003</v>
      </c>
      <c r="J22">
        <v>0.49270000000000003</v>
      </c>
    </row>
    <row r="23" spans="5:10" x14ac:dyDescent="0.25">
      <c r="E23" t="s">
        <v>114</v>
      </c>
      <c r="F23">
        <v>1.7432000000000001E-3</v>
      </c>
      <c r="G23">
        <v>0.18708159999999999</v>
      </c>
      <c r="H23">
        <v>56</v>
      </c>
      <c r="I23">
        <v>9.3179999999999999E-3</v>
      </c>
      <c r="J23">
        <v>0.99260000000000004</v>
      </c>
    </row>
    <row r="24" spans="5:10" x14ac:dyDescent="0.25">
      <c r="E24" t="s">
        <v>115</v>
      </c>
      <c r="F24">
        <v>0.27025739999999998</v>
      </c>
      <c r="G24">
        <v>0.18544732</v>
      </c>
      <c r="H24">
        <v>56</v>
      </c>
      <c r="I24">
        <v>1.457327</v>
      </c>
      <c r="J24">
        <v>0.15060000000000001</v>
      </c>
    </row>
    <row r="25" spans="5:10" x14ac:dyDescent="0.25">
      <c r="E25" t="s">
        <v>116</v>
      </c>
      <c r="F25">
        <v>0.10380350000000001</v>
      </c>
      <c r="G25">
        <v>0.18697519000000001</v>
      </c>
      <c r="H25">
        <v>56</v>
      </c>
      <c r="I25">
        <v>0.55517300000000003</v>
      </c>
      <c r="J25">
        <v>0.58099999999999996</v>
      </c>
    </row>
    <row r="26" spans="5:10" x14ac:dyDescent="0.25">
      <c r="E26" t="s">
        <v>117</v>
      </c>
      <c r="F26">
        <v>1.8179600000000001E-2</v>
      </c>
      <c r="G26">
        <v>7.5118600000000004E-3</v>
      </c>
      <c r="H26">
        <v>993</v>
      </c>
      <c r="I26">
        <v>2.420118</v>
      </c>
      <c r="J26">
        <v>1.5699999999999999E-2</v>
      </c>
    </row>
    <row r="27" spans="5:10" x14ac:dyDescent="0.25">
      <c r="E27" t="s">
        <v>118</v>
      </c>
      <c r="F27">
        <v>-6.7500000000000004E-4</v>
      </c>
      <c r="G27">
        <v>6.0023100000000003E-3</v>
      </c>
      <c r="H27">
        <v>993</v>
      </c>
      <c r="I27">
        <v>-0.11246399999999999</v>
      </c>
      <c r="J27">
        <v>0.91049999999999998</v>
      </c>
    </row>
    <row r="28" spans="5:10" x14ac:dyDescent="0.25">
      <c r="E28" t="s">
        <v>119</v>
      </c>
      <c r="F28">
        <v>-3.3700000000000001E-4</v>
      </c>
      <c r="G28">
        <v>4.0380199999999998E-3</v>
      </c>
      <c r="H28">
        <v>993</v>
      </c>
      <c r="I28">
        <v>-8.3460000000000006E-2</v>
      </c>
      <c r="J28">
        <v>0.9335</v>
      </c>
    </row>
    <row r="29" spans="5:10" x14ac:dyDescent="0.25">
      <c r="E29" t="s">
        <v>120</v>
      </c>
      <c r="F29">
        <v>5.1768999999999999E-3</v>
      </c>
      <c r="G29">
        <v>4.7289999999999997E-3</v>
      </c>
      <c r="H29">
        <v>993</v>
      </c>
      <c r="I29">
        <v>1.094708</v>
      </c>
      <c r="J29">
        <v>0.27389999999999998</v>
      </c>
    </row>
    <row r="30" spans="5:10" x14ac:dyDescent="0.25">
      <c r="E30" t="s">
        <v>121</v>
      </c>
      <c r="F30">
        <v>5.9947000000000004E-3</v>
      </c>
      <c r="G30">
        <v>4.8565600000000002E-3</v>
      </c>
      <c r="H30">
        <v>993</v>
      </c>
      <c r="I30">
        <v>1.2343459999999999</v>
      </c>
      <c r="J30">
        <v>0.21740000000000001</v>
      </c>
    </row>
    <row r="31" spans="5:10" x14ac:dyDescent="0.25">
      <c r="E31" t="s">
        <v>122</v>
      </c>
      <c r="F31">
        <v>8.3557000000000006E-3</v>
      </c>
      <c r="G31">
        <v>4.9060199999999997E-3</v>
      </c>
      <c r="H31">
        <v>993</v>
      </c>
      <c r="I31">
        <v>1.7031529999999999</v>
      </c>
      <c r="J31">
        <v>8.8900000000000007E-2</v>
      </c>
    </row>
    <row r="32" spans="5:10" x14ac:dyDescent="0.25">
      <c r="E32" t="s">
        <v>123</v>
      </c>
      <c r="F32">
        <v>7.5174999999999999E-3</v>
      </c>
      <c r="G32">
        <v>3.01081E-3</v>
      </c>
      <c r="H32">
        <v>993</v>
      </c>
      <c r="I32">
        <v>2.4968499999999998</v>
      </c>
      <c r="J32">
        <v>1.2699999999999999E-2</v>
      </c>
    </row>
    <row r="33" spans="5:10" x14ac:dyDescent="0.25">
      <c r="E33" t="s">
        <v>124</v>
      </c>
      <c r="F33">
        <v>4.2180999999999998E-3</v>
      </c>
      <c r="G33">
        <v>2.4257900000000002E-3</v>
      </c>
      <c r="H33">
        <v>993</v>
      </c>
      <c r="I33">
        <v>1.7388520000000001</v>
      </c>
      <c r="J33">
        <v>8.2400000000000001E-2</v>
      </c>
    </row>
    <row r="34" spans="5:10" x14ac:dyDescent="0.25">
      <c r="E34" t="s">
        <v>125</v>
      </c>
      <c r="F34">
        <v>5.3879999999999998E-4</v>
      </c>
      <c r="G34">
        <v>1.80331E-3</v>
      </c>
      <c r="H34">
        <v>993</v>
      </c>
      <c r="I34">
        <v>0.29875699999999999</v>
      </c>
      <c r="J34">
        <v>0.76519999999999999</v>
      </c>
    </row>
    <row r="35" spans="5:10" x14ac:dyDescent="0.25">
      <c r="E35" t="s">
        <v>126</v>
      </c>
      <c r="F35">
        <v>2.4015E-3</v>
      </c>
      <c r="G35">
        <v>2.06456E-3</v>
      </c>
      <c r="H35">
        <v>993</v>
      </c>
      <c r="I35">
        <v>1.1632119999999999</v>
      </c>
      <c r="J35">
        <v>0.245</v>
      </c>
    </row>
    <row r="36" spans="5:10" x14ac:dyDescent="0.25">
      <c r="E36" t="s">
        <v>127</v>
      </c>
      <c r="F36">
        <v>2.8999E-3</v>
      </c>
      <c r="G36">
        <v>2.0937400000000002E-3</v>
      </c>
      <c r="H36">
        <v>993</v>
      </c>
      <c r="I36">
        <v>1.3850480000000001</v>
      </c>
      <c r="J36">
        <v>0.1663</v>
      </c>
    </row>
    <row r="37" spans="5:10" x14ac:dyDescent="0.25">
      <c r="E37" t="s">
        <v>128</v>
      </c>
      <c r="F37">
        <v>2.9559999999999999E-3</v>
      </c>
      <c r="G37">
        <v>2.1484299999999998E-3</v>
      </c>
      <c r="H37">
        <v>993</v>
      </c>
      <c r="I37">
        <v>1.3759060000000001</v>
      </c>
      <c r="J37">
        <v>0.16919999999999999</v>
      </c>
    </row>
    <row r="38" spans="5:10" x14ac:dyDescent="0.25">
      <c r="E38" t="s">
        <v>84</v>
      </c>
      <c r="F38">
        <v>3.1E-6</v>
      </c>
      <c r="G38">
        <v>2.1329000000000001E-4</v>
      </c>
      <c r="H38">
        <v>993</v>
      </c>
      <c r="I38">
        <v>1.4526000000000001E-2</v>
      </c>
      <c r="J38">
        <v>0.98839999999999995</v>
      </c>
    </row>
    <row r="39" spans="5:10" x14ac:dyDescent="0.25">
      <c r="E39" t="s">
        <v>129</v>
      </c>
      <c r="F39">
        <v>-2.0826799999999999E-2</v>
      </c>
      <c r="G39">
        <v>1.222648E-2</v>
      </c>
      <c r="H39">
        <v>993</v>
      </c>
      <c r="I39">
        <v>-1.7034180000000001</v>
      </c>
      <c r="J39">
        <v>8.8800000000000004E-2</v>
      </c>
    </row>
    <row r="40" spans="5:10" x14ac:dyDescent="0.25">
      <c r="E40" t="s">
        <v>130</v>
      </c>
      <c r="F40">
        <v>3.3107000000000002E-3</v>
      </c>
      <c r="G40">
        <v>1.115798E-2</v>
      </c>
      <c r="H40">
        <v>993</v>
      </c>
      <c r="I40">
        <v>0.29671399999999998</v>
      </c>
      <c r="J40">
        <v>0.76670000000000005</v>
      </c>
    </row>
    <row r="41" spans="5:10" x14ac:dyDescent="0.25">
      <c r="E41" t="s">
        <v>131</v>
      </c>
      <c r="F41">
        <v>-5.532E-4</v>
      </c>
      <c r="G41">
        <v>1.001001E-2</v>
      </c>
      <c r="H41">
        <v>993</v>
      </c>
      <c r="I41">
        <v>-5.5261999999999999E-2</v>
      </c>
      <c r="J41">
        <v>0.95589999999999997</v>
      </c>
    </row>
    <row r="42" spans="5:10" x14ac:dyDescent="0.25">
      <c r="E42" t="s">
        <v>132</v>
      </c>
      <c r="F42">
        <v>6.2493000000000002E-3</v>
      </c>
      <c r="G42">
        <v>1.0512489999999999E-2</v>
      </c>
      <c r="H42">
        <v>993</v>
      </c>
      <c r="I42">
        <v>0.59446299999999996</v>
      </c>
      <c r="J42">
        <v>0.55230000000000001</v>
      </c>
    </row>
    <row r="43" spans="5:10" x14ac:dyDescent="0.25">
      <c r="E43" t="s">
        <v>133</v>
      </c>
      <c r="F43">
        <v>-9.3481999999999992E-3</v>
      </c>
      <c r="G43">
        <v>1.0489790000000001E-2</v>
      </c>
      <c r="H43">
        <v>993</v>
      </c>
      <c r="I43">
        <v>-0.89116799999999996</v>
      </c>
      <c r="J43">
        <v>0.37309999999999999</v>
      </c>
    </row>
    <row r="44" spans="5:10" x14ac:dyDescent="0.25">
      <c r="E44" t="s">
        <v>134</v>
      </c>
      <c r="F44">
        <v>-2.9331000000000001E-3</v>
      </c>
      <c r="G44">
        <v>1.052896E-2</v>
      </c>
      <c r="H44">
        <v>993</v>
      </c>
      <c r="I44">
        <v>-0.27857599999999999</v>
      </c>
      <c r="J44">
        <v>0.78059999999999996</v>
      </c>
    </row>
    <row r="45" spans="5:10" x14ac:dyDescent="0.25">
      <c r="E45" t="s">
        <v>135</v>
      </c>
      <c r="F45" t="s">
        <v>181</v>
      </c>
      <c r="G45">
        <v>5.0915600000000002E-3</v>
      </c>
      <c r="H45">
        <v>993</v>
      </c>
      <c r="I45">
        <v>-2.0380210000000001</v>
      </c>
      <c r="J45">
        <v>4.1799999999999997E-2</v>
      </c>
    </row>
    <row r="46" spans="5:10" x14ac:dyDescent="0.25">
      <c r="E46" t="s">
        <v>136</v>
      </c>
      <c r="F46" t="s">
        <v>182</v>
      </c>
      <c r="G46">
        <v>4.55076E-3</v>
      </c>
      <c r="H46">
        <v>993</v>
      </c>
      <c r="I46">
        <v>-0.70192900000000003</v>
      </c>
      <c r="J46">
        <v>0.4829</v>
      </c>
    </row>
    <row r="47" spans="5:10" x14ac:dyDescent="0.25">
      <c r="E47" t="s">
        <v>137</v>
      </c>
      <c r="F47" t="s">
        <v>183</v>
      </c>
      <c r="G47">
        <v>4.1452399999999997E-3</v>
      </c>
      <c r="H47">
        <v>993</v>
      </c>
      <c r="I47">
        <v>-0.90802700000000003</v>
      </c>
      <c r="J47">
        <v>0.36409999999999998</v>
      </c>
    </row>
    <row r="48" spans="5:10" x14ac:dyDescent="0.25">
      <c r="E48" t="s">
        <v>138</v>
      </c>
      <c r="F48" t="s">
        <v>184</v>
      </c>
      <c r="G48">
        <v>4.3440800000000002E-3</v>
      </c>
      <c r="H48">
        <v>993</v>
      </c>
      <c r="I48">
        <v>-0.58090900000000001</v>
      </c>
      <c r="J48">
        <v>0.56140000000000001</v>
      </c>
    </row>
    <row r="49" spans="5:10" x14ac:dyDescent="0.25">
      <c r="E49" t="s">
        <v>139</v>
      </c>
      <c r="F49" t="s">
        <v>185</v>
      </c>
      <c r="G49">
        <v>4.3371399999999997E-3</v>
      </c>
      <c r="H49">
        <v>993</v>
      </c>
      <c r="I49">
        <v>-1.302503</v>
      </c>
      <c r="J49">
        <v>0.193</v>
      </c>
    </row>
    <row r="50" spans="5:10" x14ac:dyDescent="0.25">
      <c r="E50" t="s">
        <v>140</v>
      </c>
      <c r="F50" t="s">
        <v>186</v>
      </c>
      <c r="G50">
        <v>4.3669099999999999E-3</v>
      </c>
      <c r="H50">
        <v>993</v>
      </c>
      <c r="I50">
        <v>-0.97720899999999999</v>
      </c>
      <c r="J50">
        <v>0.32869999999999999</v>
      </c>
    </row>
    <row r="51" spans="5:10" x14ac:dyDescent="0.25">
      <c r="E51" t="s">
        <v>141</v>
      </c>
      <c r="F51">
        <v>-4.481E-4</v>
      </c>
      <c r="G51">
        <v>1.4494E-4</v>
      </c>
      <c r="H51">
        <v>993</v>
      </c>
      <c r="I51">
        <v>-3.0915810000000001</v>
      </c>
      <c r="J51">
        <v>2E-3</v>
      </c>
    </row>
    <row r="52" spans="5:10" x14ac:dyDescent="0.25">
      <c r="E52" t="s">
        <v>142</v>
      </c>
      <c r="F52">
        <v>-3.098E-4</v>
      </c>
      <c r="G52">
        <v>1.2195E-4</v>
      </c>
      <c r="H52">
        <v>993</v>
      </c>
      <c r="I52">
        <v>-2.5399980000000002</v>
      </c>
      <c r="J52">
        <v>1.12E-2</v>
      </c>
    </row>
    <row r="53" spans="5:10" x14ac:dyDescent="0.25">
      <c r="E53" t="s">
        <v>143</v>
      </c>
      <c r="F53">
        <v>-2.6999999999999999E-5</v>
      </c>
      <c r="G53">
        <v>8.9060000000000005E-5</v>
      </c>
      <c r="H53">
        <v>993</v>
      </c>
      <c r="I53">
        <v>-0.30280800000000002</v>
      </c>
      <c r="J53">
        <v>0.7621</v>
      </c>
    </row>
    <row r="54" spans="5:10" x14ac:dyDescent="0.25">
      <c r="E54" t="s">
        <v>144</v>
      </c>
      <c r="F54">
        <v>-1.5789999999999999E-4</v>
      </c>
      <c r="G54">
        <v>1.0267E-4</v>
      </c>
      <c r="H54">
        <v>993</v>
      </c>
      <c r="I54">
        <v>-1.5378229999999999</v>
      </c>
      <c r="J54">
        <v>0.1244</v>
      </c>
    </row>
    <row r="55" spans="5:10" x14ac:dyDescent="0.25">
      <c r="E55" t="s">
        <v>145</v>
      </c>
      <c r="F55">
        <v>-2.0039999999999999E-4</v>
      </c>
      <c r="G55">
        <v>1.0522E-4</v>
      </c>
      <c r="H55">
        <v>993</v>
      </c>
      <c r="I55">
        <v>-1.9050720000000001</v>
      </c>
      <c r="J55">
        <v>5.7099999999999998E-2</v>
      </c>
    </row>
    <row r="56" spans="5:10" x14ac:dyDescent="0.25">
      <c r="E56" t="s">
        <v>146</v>
      </c>
      <c r="F56">
        <v>-2.5080000000000002E-4</v>
      </c>
      <c r="G56">
        <v>1.0678E-4</v>
      </c>
      <c r="H56">
        <v>993</v>
      </c>
      <c r="I56">
        <v>-2.3481800000000002</v>
      </c>
      <c r="J56">
        <v>1.9099999999999999E-2</v>
      </c>
    </row>
    <row r="57" spans="5:10" x14ac:dyDescent="0.25">
      <c r="E57" t="s">
        <v>147</v>
      </c>
      <c r="F57" t="s">
        <v>187</v>
      </c>
      <c r="G57">
        <v>2.6028999999999999E-4</v>
      </c>
      <c r="H57">
        <v>993</v>
      </c>
      <c r="I57">
        <v>1.9687220000000001</v>
      </c>
      <c r="J57">
        <v>4.9299999999999997E-2</v>
      </c>
    </row>
    <row r="58" spans="5:10" x14ac:dyDescent="0.25">
      <c r="E58" t="s">
        <v>147</v>
      </c>
      <c r="F58" t="s">
        <v>188</v>
      </c>
      <c r="G58">
        <v>2.4000000000000001E-4</v>
      </c>
      <c r="H58">
        <v>993</v>
      </c>
      <c r="I58">
        <v>0.70855100000000004</v>
      </c>
      <c r="J58">
        <v>0.4788</v>
      </c>
    </row>
    <row r="59" spans="5:10" x14ac:dyDescent="0.25">
      <c r="E59" t="s">
        <v>147</v>
      </c>
      <c r="F59" t="s">
        <v>189</v>
      </c>
      <c r="G59">
        <v>2.2080999999999999E-4</v>
      </c>
      <c r="H59">
        <v>993</v>
      </c>
      <c r="I59">
        <v>0.39852900000000002</v>
      </c>
      <c r="J59">
        <v>0.69030000000000002</v>
      </c>
    </row>
    <row r="60" spans="5:10" x14ac:dyDescent="0.25">
      <c r="E60" t="s">
        <v>147</v>
      </c>
      <c r="F60" t="s">
        <v>190</v>
      </c>
      <c r="G60">
        <v>2.299E-4</v>
      </c>
      <c r="H60">
        <v>993</v>
      </c>
      <c r="I60">
        <v>2.3671000000000001E-2</v>
      </c>
      <c r="J60">
        <v>0.98109999999999997</v>
      </c>
    </row>
    <row r="61" spans="5:10" x14ac:dyDescent="0.25">
      <c r="E61" t="s">
        <v>147</v>
      </c>
      <c r="F61" t="s">
        <v>191</v>
      </c>
      <c r="G61">
        <v>2.3028999999999999E-4</v>
      </c>
      <c r="H61">
        <v>993</v>
      </c>
      <c r="I61">
        <v>1.130749</v>
      </c>
      <c r="J61">
        <v>0.25840000000000002</v>
      </c>
    </row>
    <row r="62" spans="5:10" x14ac:dyDescent="0.25">
      <c r="E62" t="s">
        <v>147</v>
      </c>
      <c r="F62" t="s">
        <v>192</v>
      </c>
      <c r="G62">
        <v>2.3112E-4</v>
      </c>
      <c r="H62">
        <v>993</v>
      </c>
      <c r="I62">
        <v>0.798597</v>
      </c>
      <c r="J62">
        <v>0.42470000000000002</v>
      </c>
    </row>
  </sheetData>
  <conditionalFormatting sqref="J1:J1048576">
    <cfRule type="cellIs" dxfId="0" priority="1" operator="lessThan">
      <formula>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zoomScale="70" zoomScaleNormal="70" workbookViewId="0">
      <selection activeCell="Q1" sqref="Q1"/>
    </sheetView>
  </sheetViews>
  <sheetFormatPr defaultRowHeight="15" x14ac:dyDescent="0.25"/>
  <cols>
    <col min="1" max="1" width="24.28515625" customWidth="1"/>
    <col min="15" max="15" width="22" customWidth="1"/>
    <col min="21" max="21" width="12.28515625" bestFit="1" customWidth="1"/>
  </cols>
  <sheetData>
    <row r="1" spans="1:21" s="44" customFormat="1" x14ac:dyDescent="0.25">
      <c r="A1" s="44" t="s">
        <v>25</v>
      </c>
      <c r="B1" s="45" t="s">
        <v>74</v>
      </c>
      <c r="H1" s="18" t="s">
        <v>219</v>
      </c>
      <c r="I1" s="18"/>
      <c r="J1" s="18" t="s">
        <v>220</v>
      </c>
      <c r="K1" s="18"/>
      <c r="L1" s="18"/>
      <c r="M1" s="18"/>
      <c r="N1" s="18"/>
      <c r="O1" s="44" t="s">
        <v>58</v>
      </c>
      <c r="Q1" s="44" t="s">
        <v>239</v>
      </c>
    </row>
    <row r="2" spans="1:21" s="44" customFormat="1" x14ac:dyDescent="0.25">
      <c r="A2" s="45" t="s">
        <v>194</v>
      </c>
      <c r="H2" s="49" t="s">
        <v>154</v>
      </c>
      <c r="I2" s="18"/>
      <c r="J2" s="18"/>
      <c r="K2" s="18"/>
      <c r="L2" s="18"/>
      <c r="M2" s="18"/>
      <c r="N2" s="18"/>
    </row>
    <row r="3" spans="1:21" s="44" customFormat="1" x14ac:dyDescent="0.25">
      <c r="A3" s="45" t="s">
        <v>195</v>
      </c>
      <c r="H3" s="49" t="s">
        <v>218</v>
      </c>
      <c r="I3" s="18"/>
      <c r="J3" s="18"/>
      <c r="K3" s="18"/>
      <c r="L3" s="18"/>
      <c r="M3" s="18"/>
      <c r="N3" s="18"/>
      <c r="O3" s="45" t="s">
        <v>203</v>
      </c>
    </row>
    <row r="4" spans="1:21" s="44" customFormat="1" x14ac:dyDescent="0.25">
      <c r="H4" s="18"/>
      <c r="I4" s="18"/>
      <c r="J4" s="18"/>
      <c r="K4" s="18"/>
      <c r="L4" s="18"/>
      <c r="M4" s="18"/>
      <c r="N4" s="18"/>
      <c r="O4" s="45" t="s">
        <v>240</v>
      </c>
    </row>
    <row r="5" spans="1:21" s="44" customFormat="1" x14ac:dyDescent="0.25">
      <c r="H5" s="18"/>
      <c r="I5" s="18"/>
      <c r="J5" s="18"/>
      <c r="K5" s="18"/>
      <c r="L5" s="18"/>
      <c r="M5" s="18"/>
      <c r="N5" s="18"/>
    </row>
    <row r="6" spans="1:21" s="44" customFormat="1" x14ac:dyDescent="0.25">
      <c r="B6" s="44" t="s">
        <v>101</v>
      </c>
      <c r="C6" s="44" t="s">
        <v>102</v>
      </c>
      <c r="D6" s="44" t="s">
        <v>9</v>
      </c>
      <c r="E6" s="44" t="s">
        <v>7</v>
      </c>
      <c r="F6" s="44" t="s">
        <v>103</v>
      </c>
      <c r="G6" s="44" t="s">
        <v>193</v>
      </c>
      <c r="H6" s="18"/>
      <c r="I6" s="18" t="s">
        <v>101</v>
      </c>
      <c r="J6" s="18" t="s">
        <v>102</v>
      </c>
      <c r="K6" s="18" t="s">
        <v>9</v>
      </c>
      <c r="L6" s="18" t="s">
        <v>7</v>
      </c>
      <c r="M6" s="18" t="s">
        <v>103</v>
      </c>
      <c r="N6" s="18" t="s">
        <v>217</v>
      </c>
      <c r="P6" s="44" t="s">
        <v>101</v>
      </c>
      <c r="Q6" s="44" t="s">
        <v>102</v>
      </c>
      <c r="R6" s="44" t="s">
        <v>9</v>
      </c>
      <c r="S6" s="44" t="s">
        <v>7</v>
      </c>
      <c r="T6" s="44" t="s">
        <v>103</v>
      </c>
      <c r="U6" s="44" t="s">
        <v>177</v>
      </c>
    </row>
    <row r="7" spans="1:21" s="44" customFormat="1" x14ac:dyDescent="0.25">
      <c r="A7" s="44" t="s">
        <v>104</v>
      </c>
      <c r="B7" s="44">
        <v>7.0032930000000002</v>
      </c>
      <c r="C7" s="44">
        <v>5.6260389999999996</v>
      </c>
      <c r="D7" s="44">
        <v>414</v>
      </c>
      <c r="E7" s="44">
        <v>1.2448001</v>
      </c>
      <c r="F7" s="44">
        <v>0.21390000000000001</v>
      </c>
      <c r="H7" s="18" t="s">
        <v>104</v>
      </c>
      <c r="I7" s="18">
        <v>0.69590600000000002</v>
      </c>
      <c r="J7" s="18">
        <v>0.19803519999999999</v>
      </c>
      <c r="K7" s="18">
        <v>602</v>
      </c>
      <c r="L7" s="18">
        <v>3.514052</v>
      </c>
      <c r="M7" s="18">
        <v>5.0000000000000001E-4</v>
      </c>
      <c r="N7" s="18"/>
      <c r="O7" s="44" t="s">
        <v>104</v>
      </c>
      <c r="P7" s="44">
        <v>0.14960944000000001</v>
      </c>
      <c r="Q7" s="44">
        <v>2.135074E-2</v>
      </c>
      <c r="R7" s="44">
        <v>382</v>
      </c>
      <c r="S7" s="44">
        <v>7.007225</v>
      </c>
      <c r="T7" s="44">
        <v>0</v>
      </c>
    </row>
    <row r="8" spans="1:21" s="44" customFormat="1" x14ac:dyDescent="0.25">
      <c r="A8" s="44" t="s">
        <v>46</v>
      </c>
      <c r="B8" s="44">
        <v>8.1626169999999991</v>
      </c>
      <c r="C8" s="44">
        <v>11.472573000000001</v>
      </c>
      <c r="D8" s="44">
        <v>11</v>
      </c>
      <c r="E8" s="44">
        <v>0.71148960000000006</v>
      </c>
      <c r="F8" s="44">
        <v>0.49159999999999998</v>
      </c>
      <c r="H8" s="18" t="s">
        <v>46</v>
      </c>
      <c r="I8" s="18">
        <v>-0.57300649999999997</v>
      </c>
      <c r="J8" s="18">
        <v>0.41918850000000002</v>
      </c>
      <c r="K8" s="18">
        <v>11</v>
      </c>
      <c r="L8" s="18">
        <v>-1.3669420000000001</v>
      </c>
      <c r="M8" s="18">
        <v>0.19889999999999999</v>
      </c>
      <c r="N8" s="18"/>
      <c r="O8" s="44" t="s">
        <v>46</v>
      </c>
      <c r="P8" s="44">
        <v>0.11065783999999999</v>
      </c>
      <c r="Q8" s="44">
        <v>4.3211819999999998E-2</v>
      </c>
      <c r="R8" s="44">
        <v>11</v>
      </c>
      <c r="S8" s="44">
        <v>2.5608230000000001</v>
      </c>
      <c r="T8" s="44">
        <v>2.6499999999999999E-2</v>
      </c>
    </row>
    <row r="9" spans="1:21" s="44" customFormat="1" x14ac:dyDescent="0.25">
      <c r="A9" s="44" t="s">
        <v>2</v>
      </c>
      <c r="B9" s="44">
        <v>4.6136999999999997E-2</v>
      </c>
      <c r="C9" s="44">
        <v>0.28434900000000002</v>
      </c>
      <c r="D9" s="44">
        <v>414</v>
      </c>
      <c r="E9" s="44">
        <v>0.16225500000000001</v>
      </c>
      <c r="F9" s="44">
        <v>0.87119999999999997</v>
      </c>
      <c r="H9" s="18" t="s">
        <v>2</v>
      </c>
      <c r="I9" s="18">
        <v>4.7019999999999999E-4</v>
      </c>
      <c r="J9" s="18">
        <v>9.2952E-3</v>
      </c>
      <c r="K9" s="18">
        <v>602</v>
      </c>
      <c r="L9" s="18">
        <v>5.0583000000000003E-2</v>
      </c>
      <c r="M9" s="18">
        <v>0.9597</v>
      </c>
      <c r="N9" s="18"/>
      <c r="O9" s="44" t="s">
        <v>2</v>
      </c>
      <c r="P9" s="44">
        <v>-1.9407999999999999E-3</v>
      </c>
      <c r="Q9" s="44">
        <v>1.05305E-3</v>
      </c>
      <c r="R9" s="44">
        <v>382</v>
      </c>
      <c r="S9" s="44">
        <v>-1.843032</v>
      </c>
      <c r="T9" s="44">
        <v>6.6100000000000006E-2</v>
      </c>
    </row>
    <row r="10" spans="1:21" s="44" customFormat="1" x14ac:dyDescent="0.25">
      <c r="A10" s="44" t="s">
        <v>3</v>
      </c>
      <c r="B10" s="44">
        <v>0.32943600000000001</v>
      </c>
      <c r="C10" s="44">
        <v>0.117579</v>
      </c>
      <c r="D10" s="44">
        <v>414</v>
      </c>
      <c r="E10" s="44">
        <v>2.8018277999999999</v>
      </c>
      <c r="F10" s="44">
        <v>5.3E-3</v>
      </c>
      <c r="H10" s="18" t="s">
        <v>3</v>
      </c>
      <c r="I10" s="18">
        <v>2.5447E-3</v>
      </c>
      <c r="J10" s="18">
        <v>3.8792000000000002E-3</v>
      </c>
      <c r="K10" s="18">
        <v>602</v>
      </c>
      <c r="L10" s="18">
        <v>0.65599099999999999</v>
      </c>
      <c r="M10" s="18">
        <v>0.5121</v>
      </c>
      <c r="N10" s="18"/>
      <c r="O10" s="44" t="s">
        <v>3</v>
      </c>
      <c r="P10" s="44">
        <v>6.1348000000000001E-4</v>
      </c>
      <c r="Q10" s="44">
        <v>4.4931000000000002E-4</v>
      </c>
      <c r="R10" s="44">
        <v>382</v>
      </c>
      <c r="S10" s="44">
        <v>1.3653660000000001</v>
      </c>
      <c r="T10" s="44">
        <v>0.1729</v>
      </c>
    </row>
    <row r="11" spans="1:21" s="44" customFormat="1" x14ac:dyDescent="0.25">
      <c r="A11" s="44" t="s">
        <v>48</v>
      </c>
      <c r="B11" s="44">
        <v>-0.46993400000000002</v>
      </c>
      <c r="C11" s="44">
        <v>0.57191499999999995</v>
      </c>
      <c r="D11" s="44">
        <v>414</v>
      </c>
      <c r="E11" s="44">
        <v>-0.82168609999999997</v>
      </c>
      <c r="F11" s="44">
        <v>0.41170000000000001</v>
      </c>
      <c r="H11" s="18" t="s">
        <v>48</v>
      </c>
      <c r="I11" s="18">
        <v>3.0499999999999999E-2</v>
      </c>
      <c r="J11" s="18">
        <v>1.8980199999999999E-2</v>
      </c>
      <c r="K11" s="18">
        <v>602</v>
      </c>
      <c r="L11" s="18">
        <v>1.6069389999999999</v>
      </c>
      <c r="M11" s="18">
        <v>0.1086</v>
      </c>
      <c r="N11" s="18"/>
      <c r="O11" s="44" t="s">
        <v>48</v>
      </c>
      <c r="P11" s="44">
        <v>-5.3908699999999999E-3</v>
      </c>
      <c r="Q11" s="44">
        <v>2.1023700000000001E-3</v>
      </c>
      <c r="R11" s="44">
        <v>382</v>
      </c>
      <c r="S11" s="44">
        <v>-2.5641850000000002</v>
      </c>
      <c r="T11" s="44">
        <v>1.0699999999999999E-2</v>
      </c>
    </row>
    <row r="12" spans="1:21" s="44" customFormat="1" x14ac:dyDescent="0.25">
      <c r="A12" s="44" t="s">
        <v>49</v>
      </c>
      <c r="B12" s="44">
        <v>-0.35546100000000003</v>
      </c>
      <c r="C12" s="44">
        <v>0.238867</v>
      </c>
      <c r="D12" s="44">
        <v>414</v>
      </c>
      <c r="E12" s="44">
        <v>-1.4881116999999999</v>
      </c>
      <c r="F12" s="44">
        <v>0.13750000000000001</v>
      </c>
      <c r="H12" s="18" t="s">
        <v>49</v>
      </c>
      <c r="I12" s="18">
        <v>1.23993E-2</v>
      </c>
      <c r="J12" s="18">
        <v>7.9412000000000007E-3</v>
      </c>
      <c r="K12" s="18">
        <v>602</v>
      </c>
      <c r="L12" s="18">
        <v>1.5613969999999999</v>
      </c>
      <c r="M12" s="18">
        <v>0.11899999999999999</v>
      </c>
      <c r="N12" s="18"/>
      <c r="O12" s="44" t="s">
        <v>49</v>
      </c>
      <c r="P12" s="44">
        <v>-1.8738299999999999E-3</v>
      </c>
      <c r="Q12" s="44">
        <v>8.7982000000000002E-4</v>
      </c>
      <c r="R12" s="44">
        <v>382</v>
      </c>
      <c r="S12" s="44">
        <v>-2.1297839999999999</v>
      </c>
      <c r="T12" s="44">
        <v>3.3799999999999997E-2</v>
      </c>
    </row>
    <row r="13" spans="1:21" s="44" customFormat="1" x14ac:dyDescent="0.25">
      <c r="A13" s="44" t="s">
        <v>50</v>
      </c>
      <c r="B13" s="44">
        <v>-1.2293999999999999E-2</v>
      </c>
      <c r="C13" s="44">
        <v>5.9880000000000003E-3</v>
      </c>
      <c r="D13" s="44">
        <v>414</v>
      </c>
      <c r="E13" s="44">
        <v>-2.0528979999999999</v>
      </c>
      <c r="F13" s="44">
        <v>4.07E-2</v>
      </c>
      <c r="H13" s="18" t="s">
        <v>50</v>
      </c>
      <c r="I13" s="18">
        <v>-1.3410000000000001E-4</v>
      </c>
      <c r="J13" s="18">
        <v>1.95E-4</v>
      </c>
      <c r="K13" s="18">
        <v>602</v>
      </c>
      <c r="L13" s="18">
        <v>-0.68766799999999995</v>
      </c>
      <c r="M13" s="18">
        <v>0.4919</v>
      </c>
      <c r="N13" s="18"/>
      <c r="O13" s="44" t="s">
        <v>50</v>
      </c>
      <c r="P13" s="44">
        <v>-3.6180000000000003E-5</v>
      </c>
      <c r="Q13" s="44">
        <v>2.26E-5</v>
      </c>
      <c r="R13" s="44">
        <v>382</v>
      </c>
      <c r="S13" s="44">
        <v>-1.6011550000000001</v>
      </c>
      <c r="T13" s="44">
        <v>0.11020000000000001</v>
      </c>
    </row>
    <row r="14" spans="1:21" s="44" customFormat="1" x14ac:dyDescent="0.25">
      <c r="A14" s="44" t="s">
        <v>84</v>
      </c>
      <c r="B14" s="44">
        <v>1.7448999999999999E-2</v>
      </c>
      <c r="C14" s="44">
        <v>1.218E-2</v>
      </c>
      <c r="D14" s="44">
        <v>414</v>
      </c>
      <c r="E14" s="44">
        <v>1.4326072999999999</v>
      </c>
      <c r="F14" s="44">
        <v>0.1527</v>
      </c>
      <c r="H14" s="18" t="s">
        <v>84</v>
      </c>
      <c r="I14" s="18">
        <v>-6.7429999999999996E-4</v>
      </c>
      <c r="J14" s="18">
        <v>3.9970000000000001E-4</v>
      </c>
      <c r="K14" s="18">
        <v>602</v>
      </c>
      <c r="L14" s="18">
        <v>-1.687128</v>
      </c>
      <c r="M14" s="18">
        <v>9.2100000000000001E-2</v>
      </c>
      <c r="N14" s="18"/>
      <c r="O14" s="44" t="s">
        <v>84</v>
      </c>
      <c r="P14" s="44">
        <v>9.0779999999999995E-5</v>
      </c>
      <c r="Q14" s="44">
        <v>4.494E-5</v>
      </c>
      <c r="R14" s="44">
        <v>382</v>
      </c>
      <c r="S14" s="44">
        <v>2.0199820000000002</v>
      </c>
      <c r="T14" s="44">
        <v>4.41E-2</v>
      </c>
    </row>
    <row r="15" spans="1:21" s="44" customFormat="1" x14ac:dyDescent="0.25">
      <c r="A15" s="44" t="s">
        <v>52</v>
      </c>
      <c r="D15" s="46"/>
      <c r="G15" s="44">
        <v>98.379000000000005</v>
      </c>
      <c r="H15" s="18" t="s">
        <v>52</v>
      </c>
      <c r="I15" s="18"/>
      <c r="J15" s="18"/>
      <c r="K15" s="18"/>
      <c r="L15" s="18"/>
      <c r="M15" s="18"/>
      <c r="N15" s="18">
        <v>0.14677999999999999</v>
      </c>
      <c r="O15" s="44" t="s">
        <v>52</v>
      </c>
      <c r="U15" s="44">
        <f>0.03525824^2</f>
        <v>1.2431434878976003E-3</v>
      </c>
    </row>
    <row r="16" spans="1:21" s="44" customFormat="1" x14ac:dyDescent="0.25">
      <c r="A16" s="44" t="s">
        <v>5</v>
      </c>
      <c r="D16" s="46"/>
      <c r="G16" s="44">
        <v>3.0270000000000001</v>
      </c>
      <c r="H16" s="18" t="s">
        <v>5</v>
      </c>
      <c r="I16" s="18"/>
      <c r="J16" s="18"/>
      <c r="K16" s="18"/>
      <c r="L16" s="18"/>
      <c r="M16" s="18"/>
      <c r="N16" s="18">
        <v>4.9299999999999997E-2</v>
      </c>
      <c r="O16" s="44" t="s">
        <v>5</v>
      </c>
      <c r="U16" s="44">
        <f>0.01484606^2</f>
        <v>2.204054975236E-4</v>
      </c>
    </row>
    <row r="17" spans="1:21" s="44" customFormat="1" x14ac:dyDescent="0.25">
      <c r="A17" s="44" t="s">
        <v>15</v>
      </c>
      <c r="D17" s="46"/>
      <c r="G17" s="44">
        <v>3.3250000000000002</v>
      </c>
      <c r="H17" s="18" t="s">
        <v>15</v>
      </c>
      <c r="I17" s="18"/>
      <c r="J17" s="18"/>
      <c r="K17" s="18"/>
      <c r="L17" s="18"/>
      <c r="M17" s="18"/>
      <c r="N17" s="18">
        <v>2.8799999999999999E-2</v>
      </c>
      <c r="O17" s="44" t="s">
        <v>15</v>
      </c>
      <c r="U17" s="44">
        <f>0.009414449^2</f>
        <v>8.8631849973600996E-5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zoomScale="70" zoomScaleNormal="70" workbookViewId="0">
      <selection activeCell="Q1" sqref="Q1"/>
    </sheetView>
  </sheetViews>
  <sheetFormatPr defaultRowHeight="15" x14ac:dyDescent="0.25"/>
  <cols>
    <col min="7" max="7" width="11" bestFit="1" customWidth="1"/>
    <col min="8" max="8" width="23.42578125" customWidth="1"/>
    <col min="14" max="14" width="12.85546875" customWidth="1"/>
    <col min="15" max="15" width="25.85546875" customWidth="1"/>
    <col min="21" max="21" width="11.28515625" bestFit="1" customWidth="1"/>
  </cols>
  <sheetData>
    <row r="1" spans="1:21" s="44" customFormat="1" x14ac:dyDescent="0.25">
      <c r="A1" s="44" t="s">
        <v>76</v>
      </c>
      <c r="C1" s="44" t="s">
        <v>211</v>
      </c>
      <c r="H1" s="18" t="s">
        <v>226</v>
      </c>
      <c r="I1" s="18"/>
      <c r="J1" s="18" t="s">
        <v>227</v>
      </c>
      <c r="K1" s="18"/>
      <c r="L1" s="18"/>
      <c r="M1" s="18"/>
      <c r="N1" s="18"/>
      <c r="O1" s="44" t="s">
        <v>242</v>
      </c>
      <c r="Q1" s="44" t="s">
        <v>243</v>
      </c>
    </row>
    <row r="2" spans="1:21" s="44" customFormat="1" x14ac:dyDescent="0.25">
      <c r="A2" s="45" t="s">
        <v>154</v>
      </c>
      <c r="H2" s="49" t="s">
        <v>154</v>
      </c>
      <c r="I2" s="18"/>
      <c r="J2" s="18"/>
      <c r="K2" s="18"/>
      <c r="L2" s="18"/>
      <c r="M2" s="18"/>
      <c r="N2" s="18"/>
      <c r="O2" s="45" t="s">
        <v>203</v>
      </c>
    </row>
    <row r="3" spans="1:21" s="44" customFormat="1" x14ac:dyDescent="0.25">
      <c r="A3" s="45" t="s">
        <v>197</v>
      </c>
      <c r="H3" s="49" t="s">
        <v>225</v>
      </c>
      <c r="I3" s="18"/>
      <c r="J3" s="18"/>
      <c r="K3" s="18"/>
      <c r="L3" s="18"/>
      <c r="M3" s="18"/>
      <c r="N3" s="18"/>
      <c r="O3" s="45" t="s">
        <v>241</v>
      </c>
    </row>
    <row r="4" spans="1:21" s="44" customFormat="1" x14ac:dyDescent="0.25">
      <c r="H4" s="18"/>
      <c r="I4" s="18"/>
      <c r="J4" s="18"/>
      <c r="K4" s="18"/>
      <c r="L4" s="18"/>
      <c r="M4" s="18"/>
      <c r="N4" s="18"/>
    </row>
    <row r="5" spans="1:21" s="44" customFormat="1" x14ac:dyDescent="0.25">
      <c r="H5" s="18"/>
      <c r="I5" s="18"/>
      <c r="J5" s="18"/>
      <c r="K5" s="18"/>
      <c r="L5" s="18"/>
      <c r="M5" s="18"/>
      <c r="N5" s="18"/>
    </row>
    <row r="6" spans="1:21" s="44" customFormat="1" x14ac:dyDescent="0.25">
      <c r="B6" s="44" t="s">
        <v>101</v>
      </c>
      <c r="C6" s="44" t="s">
        <v>102</v>
      </c>
      <c r="D6" s="44" t="s">
        <v>9</v>
      </c>
      <c r="E6" s="44" t="s">
        <v>7</v>
      </c>
      <c r="F6" s="44" t="s">
        <v>103</v>
      </c>
      <c r="G6" s="44" t="s">
        <v>177</v>
      </c>
      <c r="H6" s="18"/>
      <c r="I6" s="18" t="s">
        <v>101</v>
      </c>
      <c r="J6" s="18" t="s">
        <v>102</v>
      </c>
      <c r="K6" s="18" t="s">
        <v>9</v>
      </c>
      <c r="L6" s="18" t="s">
        <v>7</v>
      </c>
      <c r="M6" s="18" t="s">
        <v>103</v>
      </c>
      <c r="N6" s="18" t="s">
        <v>177</v>
      </c>
      <c r="P6" s="44" t="s">
        <v>101</v>
      </c>
      <c r="Q6" s="44" t="s">
        <v>102</v>
      </c>
      <c r="R6" s="44" t="s">
        <v>9</v>
      </c>
      <c r="S6" s="44" t="s">
        <v>7</v>
      </c>
      <c r="T6" s="44" t="s">
        <v>103</v>
      </c>
      <c r="U6" s="44" t="s">
        <v>177</v>
      </c>
    </row>
    <row r="7" spans="1:21" s="44" customFormat="1" x14ac:dyDescent="0.25">
      <c r="A7" s="44" t="s">
        <v>104</v>
      </c>
      <c r="B7" s="44">
        <v>20.853100000000001</v>
      </c>
      <c r="C7" s="44">
        <v>6.5592040000000003</v>
      </c>
      <c r="D7" s="44">
        <v>139</v>
      </c>
      <c r="E7" s="44">
        <v>3.1792120000000001</v>
      </c>
      <c r="F7" s="44">
        <v>1.8E-3</v>
      </c>
      <c r="H7" s="18" t="s">
        <v>104</v>
      </c>
      <c r="I7" s="18">
        <v>1.2119403</v>
      </c>
      <c r="J7" s="18">
        <v>0.3003632</v>
      </c>
      <c r="K7" s="18">
        <v>152</v>
      </c>
      <c r="L7" s="18">
        <v>4.0349159999999999</v>
      </c>
      <c r="M7" s="18">
        <v>1E-4</v>
      </c>
      <c r="N7" s="18"/>
      <c r="O7" s="44" t="s">
        <v>104</v>
      </c>
      <c r="P7" s="44">
        <v>2.4124050000000001E-2</v>
      </c>
      <c r="Q7" s="44">
        <v>2.7457079999999998E-2</v>
      </c>
      <c r="R7" s="44">
        <v>137</v>
      </c>
      <c r="S7" s="44">
        <v>0.87860899999999997</v>
      </c>
      <c r="T7" s="44">
        <v>0.38119999999999998</v>
      </c>
    </row>
    <row r="8" spans="1:21" s="44" customFormat="1" x14ac:dyDescent="0.25">
      <c r="A8" s="44" t="s">
        <v>46</v>
      </c>
      <c r="B8" s="44">
        <v>4.6959619999999997</v>
      </c>
      <c r="C8" s="44">
        <v>9.6905710000000003</v>
      </c>
      <c r="D8" s="44">
        <v>2</v>
      </c>
      <c r="E8" s="44">
        <v>0.48459099999999999</v>
      </c>
      <c r="F8" s="44">
        <v>0.67579999999999996</v>
      </c>
      <c r="H8" s="18" t="s">
        <v>46</v>
      </c>
      <c r="I8" s="18">
        <v>-1.3361772999999999</v>
      </c>
      <c r="J8" s="18">
        <v>0.41082930000000001</v>
      </c>
      <c r="K8" s="18">
        <v>2</v>
      </c>
      <c r="L8" s="18">
        <v>-3.2523900000000001</v>
      </c>
      <c r="M8" s="18">
        <v>8.2900000000000001E-2</v>
      </c>
      <c r="N8" s="18"/>
      <c r="O8" s="44" t="s">
        <v>46</v>
      </c>
      <c r="P8" s="44">
        <v>-1.7265585999999999E-2</v>
      </c>
      <c r="Q8" s="44">
        <v>4.1462939999999997E-2</v>
      </c>
      <c r="R8" s="44">
        <v>2</v>
      </c>
      <c r="S8" s="44">
        <v>-0.41641</v>
      </c>
      <c r="T8" s="44">
        <v>0.71750000000000003</v>
      </c>
    </row>
    <row r="9" spans="1:21" s="44" customFormat="1" x14ac:dyDescent="0.25">
      <c r="A9" s="44" t="s">
        <v>2</v>
      </c>
      <c r="B9" s="44">
        <v>-0.526169</v>
      </c>
      <c r="C9" s="44">
        <v>0.32570399999999999</v>
      </c>
      <c r="D9" s="44">
        <v>139</v>
      </c>
      <c r="E9" s="44">
        <v>-1.615486</v>
      </c>
      <c r="F9" s="44">
        <v>0.1085</v>
      </c>
      <c r="H9" s="18" t="s">
        <v>2</v>
      </c>
      <c r="I9" s="18">
        <v>-1.6417899999999999E-2</v>
      </c>
      <c r="J9" s="18">
        <v>1.50376E-2</v>
      </c>
      <c r="K9" s="18">
        <v>152</v>
      </c>
      <c r="L9" s="18">
        <v>-1.091788</v>
      </c>
      <c r="M9" s="18">
        <v>0.2767</v>
      </c>
      <c r="N9" s="18"/>
      <c r="O9" s="44" t="s">
        <v>2</v>
      </c>
      <c r="P9" s="44">
        <v>3.6550189999999998E-3</v>
      </c>
      <c r="Q9" s="44">
        <v>1.3253E-3</v>
      </c>
      <c r="R9" s="44">
        <v>137</v>
      </c>
      <c r="S9" s="44">
        <v>2.757876</v>
      </c>
      <c r="T9" s="44">
        <v>6.6E-3</v>
      </c>
    </row>
    <row r="10" spans="1:21" s="44" customFormat="1" x14ac:dyDescent="0.25">
      <c r="A10" s="44" t="s">
        <v>3</v>
      </c>
      <c r="B10" s="44">
        <v>-0.154803</v>
      </c>
      <c r="C10" s="44">
        <v>0.13438600000000001</v>
      </c>
      <c r="D10" s="44">
        <v>139</v>
      </c>
      <c r="E10" s="44">
        <v>-1.1519269999999999</v>
      </c>
      <c r="F10" s="44">
        <v>0.25130000000000002</v>
      </c>
      <c r="H10" s="18" t="s">
        <v>3</v>
      </c>
      <c r="I10" s="18">
        <v>-3.5322999999999999E-3</v>
      </c>
      <c r="J10" s="18">
        <v>6.2966999999999997E-3</v>
      </c>
      <c r="K10" s="18">
        <v>152</v>
      </c>
      <c r="L10" s="18">
        <v>-0.56098400000000004</v>
      </c>
      <c r="M10" s="18">
        <v>0.5756</v>
      </c>
      <c r="N10" s="18"/>
      <c r="O10" s="44" t="s">
        <v>3</v>
      </c>
      <c r="P10" s="44">
        <v>2.5208169999999998E-3</v>
      </c>
      <c r="Q10" s="44">
        <v>5.4681E-4</v>
      </c>
      <c r="R10" s="44">
        <v>137</v>
      </c>
      <c r="S10" s="44">
        <v>4.6100640000000004</v>
      </c>
      <c r="T10" s="44">
        <v>0</v>
      </c>
    </row>
    <row r="11" spans="1:21" s="44" customFormat="1" x14ac:dyDescent="0.25">
      <c r="A11" s="44" t="s">
        <v>48</v>
      </c>
      <c r="B11" s="44">
        <v>-0.19469500000000001</v>
      </c>
      <c r="C11" s="44">
        <v>0.476524</v>
      </c>
      <c r="D11" s="44">
        <v>139</v>
      </c>
      <c r="E11" s="44">
        <v>-0.40857199999999999</v>
      </c>
      <c r="F11" s="44">
        <v>0.6835</v>
      </c>
      <c r="H11" s="18" t="s">
        <v>48</v>
      </c>
      <c r="I11" s="18">
        <v>5.00682E-2</v>
      </c>
      <c r="J11" s="18">
        <v>2.0770799999999999E-2</v>
      </c>
      <c r="K11" s="18">
        <v>152</v>
      </c>
      <c r="L11" s="18">
        <v>2.410507</v>
      </c>
      <c r="M11" s="18">
        <v>1.7100000000000001E-2</v>
      </c>
      <c r="N11" s="18"/>
      <c r="O11" s="44" t="s">
        <v>48</v>
      </c>
      <c r="P11" s="44">
        <v>1.6519810000000001E-3</v>
      </c>
      <c r="Q11" s="44">
        <v>1.9741400000000001E-3</v>
      </c>
      <c r="R11" s="44">
        <v>137</v>
      </c>
      <c r="S11" s="44">
        <v>0.83681099999999997</v>
      </c>
      <c r="T11" s="44">
        <v>0.4042</v>
      </c>
    </row>
    <row r="12" spans="1:21" s="44" customFormat="1" x14ac:dyDescent="0.25">
      <c r="A12" s="44" t="s">
        <v>49</v>
      </c>
      <c r="B12" s="44">
        <v>4.9993000000000003E-2</v>
      </c>
      <c r="C12" s="44">
        <v>0.195711</v>
      </c>
      <c r="D12" s="44">
        <v>139</v>
      </c>
      <c r="E12" s="44">
        <v>0.25544099999999997</v>
      </c>
      <c r="F12" s="44">
        <v>0.79879999999999995</v>
      </c>
      <c r="H12" s="18" t="s">
        <v>49</v>
      </c>
      <c r="I12" s="18">
        <v>2.23701E-2</v>
      </c>
      <c r="J12" s="18">
        <v>8.7284000000000007E-3</v>
      </c>
      <c r="K12" s="18">
        <v>152</v>
      </c>
      <c r="L12" s="18">
        <v>2.5629119999999999</v>
      </c>
      <c r="M12" s="18">
        <v>1.14E-2</v>
      </c>
      <c r="N12" s="18"/>
      <c r="O12" s="44" t="s">
        <v>49</v>
      </c>
      <c r="P12" s="44">
        <v>-5.9787000000000002E-4</v>
      </c>
      <c r="Q12" s="44">
        <v>8.1037999999999998E-4</v>
      </c>
      <c r="R12" s="44">
        <v>137</v>
      </c>
      <c r="S12" s="44">
        <v>-0.737765</v>
      </c>
      <c r="T12" s="44">
        <v>0.46189999999999998</v>
      </c>
    </row>
    <row r="13" spans="1:21" s="44" customFormat="1" x14ac:dyDescent="0.25">
      <c r="A13" s="44" t="s">
        <v>50</v>
      </c>
      <c r="B13" s="44">
        <v>5.5110000000000003E-3</v>
      </c>
      <c r="C13" s="44">
        <v>6.8149999999999999E-3</v>
      </c>
      <c r="D13" s="44">
        <v>139</v>
      </c>
      <c r="E13" s="44">
        <v>0.80859300000000001</v>
      </c>
      <c r="F13" s="44">
        <v>0.42009999999999997</v>
      </c>
      <c r="H13" s="18" t="s">
        <v>50</v>
      </c>
      <c r="I13" s="18">
        <v>2.7359999999999998E-4</v>
      </c>
      <c r="J13" s="18">
        <v>3.1700000000000001E-4</v>
      </c>
      <c r="K13" s="18">
        <v>152</v>
      </c>
      <c r="L13" s="18">
        <v>0.86313399999999996</v>
      </c>
      <c r="M13" s="18">
        <v>0.38940000000000002</v>
      </c>
      <c r="N13" s="18"/>
      <c r="O13" s="44" t="s">
        <v>50</v>
      </c>
      <c r="P13" s="44">
        <v>-1.6888499999999999E-4</v>
      </c>
      <c r="Q13" s="44">
        <v>2.773E-5</v>
      </c>
      <c r="R13" s="44">
        <v>137</v>
      </c>
      <c r="S13" s="44">
        <v>-6.0900470000000002</v>
      </c>
      <c r="T13" s="44">
        <v>0</v>
      </c>
    </row>
    <row r="14" spans="1:21" s="44" customFormat="1" x14ac:dyDescent="0.25">
      <c r="A14" s="44" t="s">
        <v>84</v>
      </c>
      <c r="B14" s="44">
        <v>-6.11E-4</v>
      </c>
      <c r="C14" s="44">
        <v>9.8510000000000004E-3</v>
      </c>
      <c r="D14" s="44">
        <v>139</v>
      </c>
      <c r="E14" s="44">
        <v>-6.2007E-2</v>
      </c>
      <c r="F14" s="44">
        <v>0.9506</v>
      </c>
      <c r="H14" s="18" t="s">
        <v>84</v>
      </c>
      <c r="I14" s="18">
        <v>-8.3449999999999996E-4</v>
      </c>
      <c r="J14" s="18">
        <v>4.4180000000000001E-4</v>
      </c>
      <c r="K14" s="18">
        <v>152</v>
      </c>
      <c r="L14" s="18">
        <v>-1.888649</v>
      </c>
      <c r="M14" s="18">
        <v>6.08E-2</v>
      </c>
      <c r="N14" s="18"/>
      <c r="O14" s="44" t="s">
        <v>84</v>
      </c>
      <c r="P14" s="44">
        <v>5.9200000000000001E-6</v>
      </c>
      <c r="Q14" s="44">
        <v>4.0559999999999998E-5</v>
      </c>
      <c r="R14" s="44">
        <v>137</v>
      </c>
      <c r="S14" s="44">
        <v>0.14595900000000001</v>
      </c>
      <c r="T14" s="44">
        <v>0.88419999999999999</v>
      </c>
    </row>
    <row r="15" spans="1:21" s="44" customFormat="1" x14ac:dyDescent="0.25">
      <c r="A15" s="44" t="s">
        <v>196</v>
      </c>
      <c r="G15" s="44">
        <f>5.225^2</f>
        <v>27.300624999999997</v>
      </c>
      <c r="H15" s="18" t="s">
        <v>196</v>
      </c>
      <c r="I15" s="18"/>
      <c r="J15" s="18"/>
      <c r="K15" s="18"/>
      <c r="L15" s="18"/>
      <c r="M15" s="18"/>
      <c r="N15" s="18">
        <f>0.246176^2</f>
        <v>6.0602622976000005E-2</v>
      </c>
      <c r="O15" s="44" t="s">
        <v>196</v>
      </c>
      <c r="U15" s="45">
        <f>0.0212615^2</f>
        <v>4.5205138224999996E-4</v>
      </c>
    </row>
    <row r="16" spans="1:21" s="44" customFormat="1" x14ac:dyDescent="0.25">
      <c r="A16" s="44" t="s">
        <v>5</v>
      </c>
      <c r="G16" s="44">
        <f>2.061^2</f>
        <v>4.2477209999999994</v>
      </c>
      <c r="H16" s="18" t="s">
        <v>5</v>
      </c>
      <c r="I16" s="18"/>
      <c r="J16" s="18"/>
      <c r="K16" s="18"/>
      <c r="L16" s="18"/>
      <c r="M16" s="18"/>
      <c r="N16" s="18">
        <f>0.00001580271^2</f>
        <v>2.4972564334410002E-10</v>
      </c>
      <c r="O16" s="44" t="s">
        <v>5</v>
      </c>
      <c r="U16" s="44">
        <f>0.01238979^2</f>
        <v>1.5350689624409999E-4</v>
      </c>
    </row>
    <row r="17" spans="1:21" s="44" customFormat="1" x14ac:dyDescent="0.25">
      <c r="A17" s="44" t="s">
        <v>15</v>
      </c>
      <c r="G17" s="44">
        <f>0.00138^2</f>
        <v>1.9043999999999997E-6</v>
      </c>
      <c r="H17" s="18" t="s">
        <v>15</v>
      </c>
      <c r="I17" s="18"/>
      <c r="J17" s="18"/>
      <c r="K17" s="18"/>
      <c r="L17" s="18"/>
      <c r="M17" s="18"/>
      <c r="N17" s="18">
        <f>0.04493491^2</f>
        <v>2.0191461367081E-3</v>
      </c>
      <c r="O17" s="44" t="s">
        <v>15</v>
      </c>
      <c r="U17" s="44">
        <f>0.000003329565^2</f>
        <v>1.1086003089225E-11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"/>
  <sheetViews>
    <sheetView zoomScale="70" zoomScaleNormal="70" workbookViewId="0">
      <selection activeCell="Q1" sqref="Q1"/>
    </sheetView>
  </sheetViews>
  <sheetFormatPr defaultRowHeight="15" x14ac:dyDescent="0.25"/>
  <cols>
    <col min="14" max="14" width="12" bestFit="1" customWidth="1"/>
    <col min="15" max="15" width="21" customWidth="1"/>
    <col min="21" max="21" width="14.28515625" bestFit="1" customWidth="1"/>
  </cols>
  <sheetData>
    <row r="1" spans="1:21" s="47" customFormat="1" x14ac:dyDescent="0.25">
      <c r="A1" s="47" t="s">
        <v>198</v>
      </c>
      <c r="C1" s="47" t="s">
        <v>200</v>
      </c>
      <c r="H1" s="18" t="s">
        <v>237</v>
      </c>
      <c r="I1" s="18"/>
      <c r="J1" s="18" t="s">
        <v>238</v>
      </c>
      <c r="K1" s="18"/>
      <c r="L1" s="18"/>
      <c r="M1" s="18"/>
      <c r="N1" s="18"/>
      <c r="O1" s="44" t="s">
        <v>244</v>
      </c>
      <c r="P1" s="44"/>
      <c r="Q1" s="44" t="s">
        <v>245</v>
      </c>
    </row>
    <row r="2" spans="1:21" s="47" customFormat="1" x14ac:dyDescent="0.25">
      <c r="A2" s="48" t="s">
        <v>154</v>
      </c>
      <c r="H2" s="49" t="s">
        <v>154</v>
      </c>
      <c r="I2" s="18"/>
      <c r="J2" s="18"/>
      <c r="K2" s="18"/>
      <c r="L2" s="18"/>
      <c r="M2" s="18"/>
      <c r="N2" s="18"/>
      <c r="O2" s="45" t="s">
        <v>203</v>
      </c>
    </row>
    <row r="3" spans="1:21" s="47" customFormat="1" x14ac:dyDescent="0.25">
      <c r="A3" s="48" t="s">
        <v>199</v>
      </c>
      <c r="H3" s="49" t="s">
        <v>236</v>
      </c>
      <c r="I3" s="18"/>
      <c r="J3" s="18"/>
      <c r="K3" s="18"/>
      <c r="L3" s="18"/>
      <c r="M3" s="18"/>
      <c r="N3" s="18"/>
      <c r="O3" s="45" t="s">
        <v>205</v>
      </c>
    </row>
    <row r="4" spans="1:21" s="47" customFormat="1" x14ac:dyDescent="0.25">
      <c r="H4" s="18"/>
      <c r="I4" s="18"/>
      <c r="J4" s="18"/>
      <c r="K4" s="18"/>
      <c r="L4" s="18"/>
      <c r="M4" s="18"/>
      <c r="N4" s="18"/>
    </row>
    <row r="5" spans="1:21" s="47" customFormat="1" x14ac:dyDescent="0.25">
      <c r="B5" s="47" t="s">
        <v>101</v>
      </c>
      <c r="C5" s="47" t="s">
        <v>102</v>
      </c>
      <c r="D5" s="47" t="s">
        <v>9</v>
      </c>
      <c r="E5" s="47" t="s">
        <v>7</v>
      </c>
      <c r="F5" s="47" t="s">
        <v>103</v>
      </c>
      <c r="G5" s="47" t="s">
        <v>158</v>
      </c>
      <c r="H5" s="18"/>
      <c r="I5" s="18" t="s">
        <v>101</v>
      </c>
      <c r="J5" s="18" t="s">
        <v>102</v>
      </c>
      <c r="K5" s="18" t="s">
        <v>9</v>
      </c>
      <c r="L5" s="18" t="s">
        <v>7</v>
      </c>
      <c r="M5" s="18" t="s">
        <v>103</v>
      </c>
      <c r="N5" s="50" t="s">
        <v>158</v>
      </c>
      <c r="P5" s="47" t="s">
        <v>101</v>
      </c>
      <c r="Q5" s="47" t="s">
        <v>102</v>
      </c>
      <c r="R5" s="47" t="s">
        <v>9</v>
      </c>
      <c r="S5" s="47" t="s">
        <v>7</v>
      </c>
      <c r="T5" s="47" t="s">
        <v>103</v>
      </c>
      <c r="U5" s="47" t="s">
        <v>158</v>
      </c>
    </row>
    <row r="6" spans="1:21" s="47" customFormat="1" x14ac:dyDescent="0.25">
      <c r="A6" s="47" t="s">
        <v>104</v>
      </c>
      <c r="B6" s="47">
        <v>66.006129999999999</v>
      </c>
      <c r="C6" s="47">
        <v>24.092016999999998</v>
      </c>
      <c r="D6" s="47">
        <v>103</v>
      </c>
      <c r="E6" s="47">
        <v>2.7397512000000002</v>
      </c>
      <c r="F6" s="47">
        <v>7.1999999999999998E-3</v>
      </c>
      <c r="H6" s="18" t="s">
        <v>104</v>
      </c>
      <c r="I6" s="18">
        <v>0.85858210000000001</v>
      </c>
      <c r="J6" s="18">
        <v>0.60583399999999998</v>
      </c>
      <c r="K6" s="18">
        <v>126</v>
      </c>
      <c r="L6" s="18">
        <v>1.4171904</v>
      </c>
      <c r="M6" s="18">
        <v>0.15890000000000001</v>
      </c>
      <c r="N6" s="18"/>
      <c r="O6" s="44" t="s">
        <v>104</v>
      </c>
      <c r="P6" s="44">
        <v>-0.18661630000000001</v>
      </c>
      <c r="Q6" s="44">
        <v>9.1583410000000004E-2</v>
      </c>
      <c r="R6" s="44">
        <v>78</v>
      </c>
      <c r="S6" s="44">
        <v>-2.0376650000000001</v>
      </c>
      <c r="T6" s="44">
        <v>4.4999999999999998E-2</v>
      </c>
    </row>
    <row r="7" spans="1:21" s="47" customFormat="1" x14ac:dyDescent="0.25">
      <c r="A7" s="47" t="s">
        <v>46</v>
      </c>
      <c r="B7" s="47">
        <v>-24.313379999999999</v>
      </c>
      <c r="C7" s="47">
        <v>29.137983999999999</v>
      </c>
      <c r="D7" s="47">
        <v>2</v>
      </c>
      <c r="E7" s="47">
        <v>-0.834422</v>
      </c>
      <c r="F7" s="47">
        <v>0.49180000000000001</v>
      </c>
      <c r="H7" s="18" t="s">
        <v>46</v>
      </c>
      <c r="I7" s="18">
        <v>0.8359453</v>
      </c>
      <c r="J7" s="18">
        <v>0.75860019999999995</v>
      </c>
      <c r="K7" s="18">
        <v>2</v>
      </c>
      <c r="L7" s="18">
        <v>1.1019576</v>
      </c>
      <c r="M7" s="18">
        <v>0.38540000000000002</v>
      </c>
      <c r="N7" s="18"/>
      <c r="O7" s="44" t="s">
        <v>46</v>
      </c>
      <c r="P7" s="44">
        <v>0.47120659999999998</v>
      </c>
      <c r="Q7" s="44">
        <v>0.10592012000000001</v>
      </c>
      <c r="R7" s="44">
        <v>2</v>
      </c>
      <c r="S7" s="44">
        <v>4.4486980000000003</v>
      </c>
      <c r="T7" s="44">
        <v>4.7E-2</v>
      </c>
    </row>
    <row r="8" spans="1:21" s="47" customFormat="1" x14ac:dyDescent="0.25">
      <c r="A8" s="47" t="s">
        <v>2</v>
      </c>
      <c r="B8" s="47">
        <v>-1.9287700000000001</v>
      </c>
      <c r="C8" s="47">
        <v>1.2356100000000001</v>
      </c>
      <c r="D8" s="47">
        <v>103</v>
      </c>
      <c r="E8" s="47">
        <v>-1.5609826</v>
      </c>
      <c r="F8" s="47">
        <v>0.1216</v>
      </c>
      <c r="H8" s="18" t="s">
        <v>2</v>
      </c>
      <c r="I8" s="18">
        <v>-1.49254E-2</v>
      </c>
      <c r="J8" s="18">
        <v>3.0502100000000001E-2</v>
      </c>
      <c r="K8" s="18">
        <v>126</v>
      </c>
      <c r="L8" s="18">
        <v>-0.48932239999999999</v>
      </c>
      <c r="M8" s="18">
        <v>0.62549999999999994</v>
      </c>
      <c r="N8" s="18"/>
      <c r="O8" s="44" t="s">
        <v>2</v>
      </c>
      <c r="P8" s="44">
        <v>1.6657600000000002E-2</v>
      </c>
      <c r="Q8" s="44">
        <v>4.3029000000000001E-3</v>
      </c>
      <c r="R8" s="44">
        <v>78</v>
      </c>
      <c r="S8" s="44">
        <v>3.8712569999999999</v>
      </c>
      <c r="T8" s="44">
        <v>2.0000000000000001E-4</v>
      </c>
    </row>
    <row r="9" spans="1:21" s="47" customFormat="1" x14ac:dyDescent="0.25">
      <c r="A9" s="47" t="s">
        <v>3</v>
      </c>
      <c r="B9" s="47">
        <v>-0.33495999999999998</v>
      </c>
      <c r="C9" s="47">
        <v>0.45174900000000001</v>
      </c>
      <c r="D9" s="47">
        <v>103</v>
      </c>
      <c r="E9" s="47">
        <v>-0.74146939999999995</v>
      </c>
      <c r="F9" s="47">
        <v>0.46010000000000001</v>
      </c>
      <c r="H9" s="18" t="s">
        <v>3</v>
      </c>
      <c r="I9" s="18">
        <v>-5.597E-4</v>
      </c>
      <c r="J9" s="18">
        <v>1.1659299999999999E-2</v>
      </c>
      <c r="K9" s="18">
        <v>126</v>
      </c>
      <c r="L9" s="18">
        <v>-4.80048E-2</v>
      </c>
      <c r="M9" s="18">
        <v>0.96179999999999999</v>
      </c>
      <c r="N9" s="18"/>
      <c r="O9" s="44" t="s">
        <v>3</v>
      </c>
      <c r="P9" s="44">
        <v>7.6559999999999996E-3</v>
      </c>
      <c r="Q9" s="44">
        <v>1.6492099999999999E-3</v>
      </c>
      <c r="R9" s="44">
        <v>78</v>
      </c>
      <c r="S9" s="44">
        <v>4.6422040000000004</v>
      </c>
      <c r="T9" s="44">
        <v>0</v>
      </c>
    </row>
    <row r="10" spans="1:21" s="47" customFormat="1" x14ac:dyDescent="0.25">
      <c r="A10" s="47" t="s">
        <v>48</v>
      </c>
      <c r="B10" s="47">
        <v>0.83706999999999998</v>
      </c>
      <c r="C10" s="47">
        <v>1.4850490000000001</v>
      </c>
      <c r="D10" s="47">
        <v>103</v>
      </c>
      <c r="E10" s="47">
        <v>0.56366240000000001</v>
      </c>
      <c r="F10" s="47">
        <v>0.57420000000000004</v>
      </c>
      <c r="H10" s="18" t="s">
        <v>48</v>
      </c>
      <c r="I10" s="18">
        <v>-2.33831E-2</v>
      </c>
      <c r="J10" s="18">
        <v>3.8193499999999998E-2</v>
      </c>
      <c r="K10" s="18">
        <v>126</v>
      </c>
      <c r="L10" s="18">
        <v>-0.61222679999999996</v>
      </c>
      <c r="M10" s="18">
        <v>0.54149999999999998</v>
      </c>
      <c r="N10" s="18"/>
      <c r="O10" s="44" t="s">
        <v>48</v>
      </c>
      <c r="P10" s="44">
        <v>-2.5584099999999999E-2</v>
      </c>
      <c r="Q10" s="44">
        <v>4.9924100000000001E-3</v>
      </c>
      <c r="R10" s="44">
        <v>78</v>
      </c>
      <c r="S10" s="44">
        <v>-5.1246029999999996</v>
      </c>
      <c r="T10" s="44">
        <v>0</v>
      </c>
    </row>
    <row r="11" spans="1:21" s="47" customFormat="1" x14ac:dyDescent="0.25">
      <c r="A11" s="47" t="s">
        <v>49</v>
      </c>
      <c r="B11" s="47">
        <v>0.50087999999999999</v>
      </c>
      <c r="C11" s="47">
        <v>0.58245899999999995</v>
      </c>
      <c r="D11" s="47">
        <v>103</v>
      </c>
      <c r="E11" s="47">
        <v>0.85993149999999996</v>
      </c>
      <c r="F11" s="47">
        <v>0.39179999999999998</v>
      </c>
      <c r="H11" s="18" t="s">
        <v>49</v>
      </c>
      <c r="I11" s="18">
        <v>-2.16708E-2</v>
      </c>
      <c r="J11" s="18">
        <v>1.52184E-2</v>
      </c>
      <c r="K11" s="18">
        <v>126</v>
      </c>
      <c r="L11" s="18">
        <v>-1.4239883</v>
      </c>
      <c r="M11" s="18">
        <v>0.15690000000000001</v>
      </c>
      <c r="N11" s="18"/>
      <c r="O11" s="44" t="s">
        <v>49</v>
      </c>
      <c r="P11" s="44">
        <v>-8.5276999999999992E-3</v>
      </c>
      <c r="Q11" s="44">
        <v>2.10298E-3</v>
      </c>
      <c r="R11" s="44">
        <v>78</v>
      </c>
      <c r="S11" s="44">
        <v>-4.0550769999999998</v>
      </c>
      <c r="T11" s="44">
        <v>1E-4</v>
      </c>
    </row>
    <row r="12" spans="1:21" s="47" customFormat="1" x14ac:dyDescent="0.25">
      <c r="A12" s="47" t="s">
        <v>50</v>
      </c>
      <c r="B12" s="47">
        <v>1.8239999999999999E-2</v>
      </c>
      <c r="C12" s="47">
        <v>2.3075999999999999E-2</v>
      </c>
      <c r="D12" s="47">
        <v>103</v>
      </c>
      <c r="E12" s="47">
        <v>0.79062100000000002</v>
      </c>
      <c r="F12" s="47">
        <v>0.43099999999999999</v>
      </c>
      <c r="H12" s="18" t="s">
        <v>50</v>
      </c>
      <c r="I12" s="18">
        <v>2.4879999999999998E-4</v>
      </c>
      <c r="J12" s="18">
        <v>5.8699999999999996E-4</v>
      </c>
      <c r="K12" s="18">
        <v>126</v>
      </c>
      <c r="L12" s="18">
        <v>0.42376560000000002</v>
      </c>
      <c r="M12" s="18">
        <v>0.67249999999999999</v>
      </c>
      <c r="N12" s="18"/>
      <c r="O12" s="44" t="s">
        <v>50</v>
      </c>
      <c r="P12" s="44">
        <v>-4.5909999999999999E-4</v>
      </c>
      <c r="Q12" s="44">
        <v>7.8360000000000002E-5</v>
      </c>
      <c r="R12" s="44">
        <v>78</v>
      </c>
      <c r="S12" s="44">
        <v>-5.858727</v>
      </c>
      <c r="T12" s="44">
        <v>0</v>
      </c>
    </row>
    <row r="13" spans="1:21" s="47" customFormat="1" x14ac:dyDescent="0.25">
      <c r="A13" s="47" t="s">
        <v>84</v>
      </c>
      <c r="B13" s="47">
        <v>-2.181E-2</v>
      </c>
      <c r="C13" s="47">
        <v>2.9361999999999999E-2</v>
      </c>
      <c r="D13" s="47">
        <v>103</v>
      </c>
      <c r="E13" s="47">
        <v>-0.74284030000000001</v>
      </c>
      <c r="F13" s="47">
        <v>0.45929999999999999</v>
      </c>
      <c r="H13" s="18" t="s">
        <v>84</v>
      </c>
      <c r="I13" s="18">
        <v>8.0429999999999998E-4</v>
      </c>
      <c r="J13" s="18">
        <v>7.6619999999999998E-4</v>
      </c>
      <c r="K13" s="18">
        <v>126</v>
      </c>
      <c r="L13" s="18">
        <v>1.0497337</v>
      </c>
      <c r="M13" s="18">
        <v>0.29580000000000001</v>
      </c>
      <c r="N13" s="18"/>
      <c r="O13" s="44" t="s">
        <v>84</v>
      </c>
      <c r="P13" s="44">
        <v>5.1559999999999996E-4</v>
      </c>
      <c r="Q13" s="44">
        <v>9.9160000000000006E-5</v>
      </c>
      <c r="R13" s="44">
        <v>78</v>
      </c>
      <c r="S13" s="44">
        <v>5.1993939999999998</v>
      </c>
      <c r="T13" s="44">
        <v>0</v>
      </c>
    </row>
    <row r="14" spans="1:21" s="47" customFormat="1" x14ac:dyDescent="0.25">
      <c r="A14" s="47" t="s">
        <v>52</v>
      </c>
      <c r="G14" s="47">
        <f>12.242^2</f>
        <v>149.86656400000001</v>
      </c>
      <c r="H14" s="50" t="s">
        <v>52</v>
      </c>
      <c r="I14" s="18"/>
      <c r="J14" s="18"/>
      <c r="K14" s="18"/>
      <c r="L14" s="18"/>
      <c r="M14" s="18"/>
      <c r="N14" s="18">
        <f>0.3721871^2</f>
        <v>0.13852323740640998</v>
      </c>
      <c r="O14" s="47" t="s">
        <v>52</v>
      </c>
      <c r="U14" s="47">
        <f>0.02987699^2</f>
        <v>8.9263453146009989E-4</v>
      </c>
    </row>
    <row r="15" spans="1:21" s="47" customFormat="1" x14ac:dyDescent="0.25">
      <c r="A15" s="47" t="s">
        <v>5</v>
      </c>
      <c r="G15" s="47">
        <f>0.40578^2</f>
        <v>0.16465740839999998</v>
      </c>
      <c r="H15" s="50" t="s">
        <v>5</v>
      </c>
      <c r="I15" s="18"/>
      <c r="J15" s="18"/>
      <c r="K15" s="18"/>
      <c r="L15" s="18"/>
      <c r="M15" s="18"/>
      <c r="N15" s="18">
        <f>0.0000169175^2</f>
        <v>2.8620180624999996E-10</v>
      </c>
      <c r="O15" s="47" t="s">
        <v>5</v>
      </c>
      <c r="U15" s="45">
        <f>0.006624692^2</f>
        <v>4.3886544094863998E-5</v>
      </c>
    </row>
    <row r="16" spans="1:21" s="47" customFormat="1" x14ac:dyDescent="0.25">
      <c r="A16" s="47" t="s">
        <v>15</v>
      </c>
      <c r="G16" s="47">
        <f>0.40578^2</f>
        <v>0.16465740839999998</v>
      </c>
      <c r="H16" s="50" t="s">
        <v>15</v>
      </c>
      <c r="I16" s="18"/>
      <c r="J16" s="18"/>
      <c r="K16" s="18"/>
      <c r="L16" s="18"/>
      <c r="M16" s="18"/>
      <c r="N16" s="18">
        <f>0.00001691688^2</f>
        <v>2.861808289344E-10</v>
      </c>
      <c r="O16" s="47" t="s">
        <v>15</v>
      </c>
      <c r="U16" s="47">
        <f>0.00662472^2</f>
        <v>4.3886915078399997E-5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"/>
  <sheetViews>
    <sheetView zoomScale="70" zoomScaleNormal="70" workbookViewId="0">
      <selection activeCell="Q1" sqref="Q1"/>
    </sheetView>
  </sheetViews>
  <sheetFormatPr defaultRowHeight="15" x14ac:dyDescent="0.25"/>
  <cols>
    <col min="7" max="7" width="13.7109375" bestFit="1" customWidth="1"/>
    <col min="8" max="8" width="12.140625" customWidth="1"/>
    <col min="14" max="14" width="12.28515625" bestFit="1" customWidth="1"/>
    <col min="21" max="21" width="12.28515625" bestFit="1" customWidth="1"/>
  </cols>
  <sheetData>
    <row r="1" spans="1:21" s="47" customFormat="1" x14ac:dyDescent="0.25">
      <c r="A1" s="47" t="s">
        <v>202</v>
      </c>
      <c r="C1" s="47" t="s">
        <v>210</v>
      </c>
      <c r="H1" s="18" t="s">
        <v>223</v>
      </c>
      <c r="I1" s="18"/>
      <c r="J1" s="18" t="s">
        <v>224</v>
      </c>
      <c r="K1" s="18"/>
      <c r="L1" s="18"/>
      <c r="M1" s="18"/>
      <c r="N1" s="18"/>
      <c r="O1" s="44" t="s">
        <v>246</v>
      </c>
      <c r="P1" s="44"/>
      <c r="Q1" s="44" t="s">
        <v>247</v>
      </c>
    </row>
    <row r="2" spans="1:21" s="47" customFormat="1" x14ac:dyDescent="0.25">
      <c r="A2" s="45" t="s">
        <v>154</v>
      </c>
      <c r="H2" s="49" t="s">
        <v>221</v>
      </c>
      <c r="I2" s="18"/>
      <c r="J2" s="18"/>
      <c r="K2" s="18"/>
      <c r="L2" s="18"/>
      <c r="M2" s="18"/>
      <c r="N2" s="18"/>
      <c r="O2" s="45" t="s">
        <v>203</v>
      </c>
    </row>
    <row r="3" spans="1:21" s="47" customFormat="1" x14ac:dyDescent="0.25">
      <c r="A3" s="45" t="s">
        <v>201</v>
      </c>
      <c r="H3" s="49" t="s">
        <v>222</v>
      </c>
      <c r="I3" s="18"/>
      <c r="J3" s="18"/>
      <c r="K3" s="18"/>
      <c r="L3" s="18"/>
      <c r="M3" s="18"/>
      <c r="N3" s="18"/>
      <c r="O3" s="45" t="s">
        <v>204</v>
      </c>
    </row>
    <row r="4" spans="1:21" s="47" customFormat="1" x14ac:dyDescent="0.25">
      <c r="H4" s="18"/>
      <c r="I4" s="18"/>
      <c r="J4" s="18"/>
      <c r="K4" s="18"/>
      <c r="L4" s="18"/>
      <c r="M4" s="18"/>
      <c r="N4" s="18"/>
    </row>
    <row r="5" spans="1:21" s="47" customFormat="1" x14ac:dyDescent="0.25">
      <c r="A5" s="44"/>
      <c r="B5" s="44" t="s">
        <v>101</v>
      </c>
      <c r="C5" s="44" t="s">
        <v>102</v>
      </c>
      <c r="D5" s="44" t="s">
        <v>9</v>
      </c>
      <c r="E5" s="44" t="s">
        <v>7</v>
      </c>
      <c r="F5" s="44" t="s">
        <v>103</v>
      </c>
      <c r="G5" s="47" t="s">
        <v>158</v>
      </c>
      <c r="H5" s="18"/>
      <c r="I5" s="18" t="s">
        <v>101</v>
      </c>
      <c r="J5" s="18" t="s">
        <v>102</v>
      </c>
      <c r="K5" s="18" t="s">
        <v>9</v>
      </c>
      <c r="L5" s="18" t="s">
        <v>7</v>
      </c>
      <c r="M5" s="18" t="s">
        <v>103</v>
      </c>
      <c r="N5" s="18" t="s">
        <v>177</v>
      </c>
      <c r="P5" s="44" t="s">
        <v>101</v>
      </c>
      <c r="Q5" s="44" t="s">
        <v>102</v>
      </c>
      <c r="R5" s="44" t="s">
        <v>9</v>
      </c>
      <c r="S5" s="44" t="s">
        <v>7</v>
      </c>
      <c r="T5" s="44" t="s">
        <v>103</v>
      </c>
      <c r="U5" s="47" t="s">
        <v>158</v>
      </c>
    </row>
    <row r="6" spans="1:21" s="47" customFormat="1" x14ac:dyDescent="0.25">
      <c r="A6" s="44" t="s">
        <v>104</v>
      </c>
      <c r="B6" s="44">
        <v>10.254502</v>
      </c>
      <c r="C6" s="44">
        <v>10.041378</v>
      </c>
      <c r="D6" s="44">
        <v>100</v>
      </c>
      <c r="E6" s="44">
        <v>1.0212246</v>
      </c>
      <c r="F6" s="44">
        <v>0.30959999999999999</v>
      </c>
      <c r="H6" s="18" t="s">
        <v>104</v>
      </c>
      <c r="I6" s="18">
        <v>0.85597009999999996</v>
      </c>
      <c r="J6" s="18">
        <v>0.52585519999999997</v>
      </c>
      <c r="K6" s="18">
        <v>115</v>
      </c>
      <c r="L6" s="18">
        <v>1.6277678</v>
      </c>
      <c r="M6" s="18">
        <v>0.10630000000000001</v>
      </c>
      <c r="N6" s="18"/>
      <c r="O6" s="44" t="s">
        <v>104</v>
      </c>
      <c r="P6" s="44">
        <v>0.49087750000000002</v>
      </c>
      <c r="Q6" s="44">
        <v>0.19734636999999999</v>
      </c>
      <c r="R6" s="44">
        <v>97</v>
      </c>
      <c r="S6" s="44">
        <v>2.4873908</v>
      </c>
      <c r="T6" s="44">
        <v>1.46E-2</v>
      </c>
    </row>
    <row r="7" spans="1:21" s="47" customFormat="1" x14ac:dyDescent="0.25">
      <c r="A7" s="44" t="s">
        <v>46</v>
      </c>
      <c r="B7" s="44">
        <v>3.7654290000000001</v>
      </c>
      <c r="C7" s="44">
        <v>12.336004000000001</v>
      </c>
      <c r="D7" s="44">
        <v>2</v>
      </c>
      <c r="E7" s="44">
        <v>0.30523899999999998</v>
      </c>
      <c r="F7" s="44">
        <v>0.78900000000000003</v>
      </c>
      <c r="H7" s="18" t="s">
        <v>46</v>
      </c>
      <c r="I7" s="18">
        <v>-0.36407060000000002</v>
      </c>
      <c r="J7" s="18">
        <v>0.6672399</v>
      </c>
      <c r="K7" s="18">
        <v>2</v>
      </c>
      <c r="L7" s="18">
        <v>-0.54563680000000003</v>
      </c>
      <c r="M7" s="18">
        <v>0.64</v>
      </c>
      <c r="N7" s="18"/>
      <c r="O7" s="44" t="s">
        <v>46</v>
      </c>
      <c r="P7" s="44">
        <v>-8.0339499999999994E-2</v>
      </c>
      <c r="Q7" s="44">
        <v>0.24257243000000001</v>
      </c>
      <c r="R7" s="44">
        <v>2</v>
      </c>
      <c r="S7" s="44">
        <v>-0.33119799999999999</v>
      </c>
      <c r="T7" s="44">
        <v>0.77200000000000002</v>
      </c>
    </row>
    <row r="8" spans="1:21" s="47" customFormat="1" x14ac:dyDescent="0.25">
      <c r="A8" s="44" t="s">
        <v>2</v>
      </c>
      <c r="B8" s="44">
        <v>-0.103062</v>
      </c>
      <c r="C8" s="44">
        <v>0.51322400000000001</v>
      </c>
      <c r="D8" s="44">
        <v>100</v>
      </c>
      <c r="E8" s="44">
        <v>-0.2008132</v>
      </c>
      <c r="F8" s="44">
        <v>0.84130000000000005</v>
      </c>
      <c r="H8" s="18" t="s">
        <v>2</v>
      </c>
      <c r="I8" s="18">
        <v>-2.0709000000000002E-2</v>
      </c>
      <c r="J8" s="18">
        <v>2.64754E-2</v>
      </c>
      <c r="K8" s="18">
        <v>115</v>
      </c>
      <c r="L8" s="18">
        <v>-0.78219590000000006</v>
      </c>
      <c r="M8" s="18">
        <v>0.43569999999999998</v>
      </c>
      <c r="N8" s="18"/>
      <c r="O8" s="44" t="s">
        <v>2</v>
      </c>
      <c r="P8" s="44">
        <v>-1.9843E-3</v>
      </c>
      <c r="Q8" s="44">
        <v>1.0174590000000001E-2</v>
      </c>
      <c r="R8" s="44">
        <v>97</v>
      </c>
      <c r="S8" s="44">
        <v>-0.19502910000000001</v>
      </c>
      <c r="T8" s="44">
        <v>0.8458</v>
      </c>
    </row>
    <row r="9" spans="1:21" s="47" customFormat="1" x14ac:dyDescent="0.25">
      <c r="A9" s="44" t="s">
        <v>3</v>
      </c>
      <c r="B9" s="44">
        <v>-9.3720000000000001E-3</v>
      </c>
      <c r="C9" s="44">
        <v>0.190141</v>
      </c>
      <c r="D9" s="44">
        <v>100</v>
      </c>
      <c r="E9" s="44">
        <v>-4.9292200000000001E-2</v>
      </c>
      <c r="F9" s="44">
        <v>0.96079999999999999</v>
      </c>
      <c r="H9" s="18" t="s">
        <v>3</v>
      </c>
      <c r="I9" s="18">
        <v>4.7259999999999999E-4</v>
      </c>
      <c r="J9" s="18">
        <v>1.039E-2</v>
      </c>
      <c r="K9" s="18">
        <v>115</v>
      </c>
      <c r="L9" s="18">
        <v>4.5489599999999998E-2</v>
      </c>
      <c r="M9" s="18">
        <v>0.96379999999999999</v>
      </c>
      <c r="N9" s="18"/>
      <c r="O9" s="44" t="s">
        <v>3</v>
      </c>
      <c r="P9" s="44">
        <v>4.1044000000000002E-3</v>
      </c>
      <c r="Q9" s="44">
        <v>3.7624999999999998E-3</v>
      </c>
      <c r="R9" s="44">
        <v>97</v>
      </c>
      <c r="S9" s="44">
        <v>1.0908633999999999</v>
      </c>
      <c r="T9" s="44">
        <v>0.27800000000000002</v>
      </c>
    </row>
    <row r="10" spans="1:21" s="47" customFormat="1" x14ac:dyDescent="0.25">
      <c r="A10" s="44" t="s">
        <v>48</v>
      </c>
      <c r="B10" s="44">
        <v>-0.45861099999999999</v>
      </c>
      <c r="C10" s="44">
        <v>0.61911700000000003</v>
      </c>
      <c r="D10" s="44">
        <v>100</v>
      </c>
      <c r="E10" s="44">
        <v>-0.74074960000000001</v>
      </c>
      <c r="F10" s="44">
        <v>0.46060000000000001</v>
      </c>
      <c r="H10" s="18" t="s">
        <v>48</v>
      </c>
      <c r="I10" s="18">
        <v>4.3092499999999999E-2</v>
      </c>
      <c r="J10" s="18">
        <v>3.3555599999999998E-2</v>
      </c>
      <c r="K10" s="18">
        <v>115</v>
      </c>
      <c r="L10" s="18">
        <v>1.2842119999999999</v>
      </c>
      <c r="M10" s="18">
        <v>0.2016</v>
      </c>
      <c r="N10" s="18"/>
      <c r="O10" s="44" t="s">
        <v>48</v>
      </c>
      <c r="P10" s="44">
        <v>-1.5559E-3</v>
      </c>
      <c r="Q10" s="44">
        <v>1.229017E-2</v>
      </c>
      <c r="R10" s="44">
        <v>97</v>
      </c>
      <c r="S10" s="44">
        <v>-0.12659719999999999</v>
      </c>
      <c r="T10" s="44">
        <v>0.89949999999999997</v>
      </c>
    </row>
    <row r="11" spans="1:21" s="47" customFormat="1" x14ac:dyDescent="0.25">
      <c r="A11" s="44" t="s">
        <v>49</v>
      </c>
      <c r="B11" s="44">
        <v>-4.4992999999999998E-2</v>
      </c>
      <c r="C11" s="44">
        <v>0.23990900000000001</v>
      </c>
      <c r="D11" s="44">
        <v>100</v>
      </c>
      <c r="E11" s="44">
        <v>-0.1875433</v>
      </c>
      <c r="F11" s="44">
        <v>0.85160000000000002</v>
      </c>
      <c r="H11" s="18" t="s">
        <v>49</v>
      </c>
      <c r="I11" s="18">
        <v>3.0206E-3</v>
      </c>
      <c r="J11" s="18">
        <v>1.3406E-2</v>
      </c>
      <c r="K11" s="18">
        <v>115</v>
      </c>
      <c r="L11" s="18">
        <v>0.2253153</v>
      </c>
      <c r="M11" s="18">
        <v>0.82210000000000005</v>
      </c>
      <c r="N11" s="18"/>
      <c r="O11" s="44" t="s">
        <v>49</v>
      </c>
      <c r="P11" s="44">
        <v>-1.0227000000000001E-3</v>
      </c>
      <c r="Q11" s="44">
        <v>4.77423E-3</v>
      </c>
      <c r="R11" s="44">
        <v>97</v>
      </c>
      <c r="S11" s="44">
        <v>-0.21420410000000001</v>
      </c>
      <c r="T11" s="44">
        <v>0.83079999999999998</v>
      </c>
    </row>
    <row r="12" spans="1:21" s="47" customFormat="1" x14ac:dyDescent="0.25">
      <c r="A12" s="44" t="s">
        <v>50</v>
      </c>
      <c r="B12" s="44">
        <v>-9.2199999999999997E-4</v>
      </c>
      <c r="C12" s="44">
        <v>9.7099999999999999E-3</v>
      </c>
      <c r="D12" s="44">
        <v>100</v>
      </c>
      <c r="E12" s="44">
        <v>-9.4989500000000004E-2</v>
      </c>
      <c r="F12" s="44">
        <v>0.92449999999999999</v>
      </c>
      <c r="H12" s="18" t="s">
        <v>50</v>
      </c>
      <c r="I12" s="18">
        <v>3.9179999999999998E-4</v>
      </c>
      <c r="J12" s="18">
        <v>5.2309999999999998E-4</v>
      </c>
      <c r="K12" s="18">
        <v>115</v>
      </c>
      <c r="L12" s="18">
        <v>0.74896629999999997</v>
      </c>
      <c r="M12" s="18">
        <v>0.45540000000000003</v>
      </c>
      <c r="N12" s="18"/>
      <c r="O12" s="44" t="s">
        <v>50</v>
      </c>
      <c r="P12" s="44">
        <v>-3.279E-4</v>
      </c>
      <c r="Q12" s="44">
        <v>1.9319000000000001E-4</v>
      </c>
      <c r="R12" s="44">
        <v>97</v>
      </c>
      <c r="S12" s="44">
        <v>-1.6972358000000001</v>
      </c>
      <c r="T12" s="44">
        <v>9.2899999999999996E-2</v>
      </c>
    </row>
    <row r="13" spans="1:21" s="47" customFormat="1" x14ac:dyDescent="0.25">
      <c r="A13" s="44" t="s">
        <v>84</v>
      </c>
      <c r="B13" s="44">
        <v>8.6049999999999998E-3</v>
      </c>
      <c r="C13" s="44">
        <v>1.2057E-2</v>
      </c>
      <c r="D13" s="44">
        <v>100</v>
      </c>
      <c r="E13" s="44">
        <v>0.71373419999999999</v>
      </c>
      <c r="F13" s="44">
        <v>0.47710000000000002</v>
      </c>
      <c r="H13" s="18" t="s">
        <v>84</v>
      </c>
      <c r="I13" s="18">
        <v>-5.9069999999999999E-4</v>
      </c>
      <c r="J13" s="18">
        <v>6.7440000000000002E-4</v>
      </c>
      <c r="K13" s="18">
        <v>115</v>
      </c>
      <c r="L13" s="18">
        <v>-0.87588180000000004</v>
      </c>
      <c r="M13" s="18">
        <v>0.38290000000000002</v>
      </c>
      <c r="N13" s="18"/>
      <c r="O13" s="44" t="s">
        <v>84</v>
      </c>
      <c r="P13" s="44">
        <v>1.7809999999999999E-4</v>
      </c>
      <c r="Q13" s="44">
        <v>2.4104000000000001E-4</v>
      </c>
      <c r="R13" s="44">
        <v>97</v>
      </c>
      <c r="S13" s="44">
        <v>0.7389249</v>
      </c>
      <c r="T13" s="44">
        <v>0.4617</v>
      </c>
    </row>
    <row r="14" spans="1:21" s="47" customFormat="1" x14ac:dyDescent="0.25">
      <c r="A14" s="47" t="s">
        <v>52</v>
      </c>
      <c r="G14" s="47">
        <f>4.984303^2</f>
        <v>24.843276395808996</v>
      </c>
      <c r="H14" s="18" t="s">
        <v>52</v>
      </c>
      <c r="I14" s="18"/>
      <c r="J14" s="18"/>
      <c r="K14" s="18"/>
      <c r="L14" s="18"/>
      <c r="M14" s="18"/>
      <c r="N14" s="18">
        <f xml:space="preserve"> 0.3186575^2</f>
        <v>0.10154260230624999</v>
      </c>
      <c r="O14" s="47" t="s">
        <v>52</v>
      </c>
      <c r="U14" s="47">
        <f>0.09864407^2</f>
        <v>9.7306525461649009E-3</v>
      </c>
    </row>
    <row r="15" spans="1:21" s="47" customFormat="1" x14ac:dyDescent="0.25">
      <c r="A15" s="47" t="s">
        <v>5</v>
      </c>
      <c r="G15" s="45">
        <f xml:space="preserve"> 0.7456497^2</f>
        <v>0.55599347511009001</v>
      </c>
      <c r="H15" s="18" t="s">
        <v>5</v>
      </c>
      <c r="I15" s="18"/>
      <c r="J15" s="18"/>
      <c r="K15" s="18"/>
      <c r="L15" s="18"/>
      <c r="M15" s="18"/>
      <c r="N15" s="18">
        <f>0.00000860538^2</f>
        <v>7.4052564944399989E-11</v>
      </c>
      <c r="O15" s="47" t="s">
        <v>5</v>
      </c>
      <c r="U15" s="47">
        <f>0.000001457657^2</f>
        <v>2.1247639296489996E-12</v>
      </c>
    </row>
    <row r="16" spans="1:21" s="47" customFormat="1" x14ac:dyDescent="0.25">
      <c r="A16" s="47" t="s">
        <v>15</v>
      </c>
      <c r="G16" s="45">
        <f xml:space="preserve"> 0.7456497^2</f>
        <v>0.55599347511009001</v>
      </c>
      <c r="H16" s="18" t="s">
        <v>15</v>
      </c>
      <c r="I16" s="18"/>
      <c r="J16" s="18"/>
      <c r="K16" s="18"/>
      <c r="L16" s="18"/>
      <c r="M16" s="18"/>
      <c r="N16" s="18">
        <f>0.000008601875^2</f>
        <v>7.3992253515624996E-11</v>
      </c>
      <c r="O16" s="47" t="s">
        <v>15</v>
      </c>
      <c r="U16" s="47">
        <f>0.000001457979^2</f>
        <v>2.1257027644409996E-12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"/>
  <sheetViews>
    <sheetView zoomScale="70" zoomScaleNormal="70" workbookViewId="0">
      <selection activeCell="Q1" sqref="Q1"/>
    </sheetView>
  </sheetViews>
  <sheetFormatPr defaultRowHeight="15" x14ac:dyDescent="0.25"/>
  <cols>
    <col min="1" max="1" width="24.85546875" customWidth="1"/>
    <col min="2" max="6" width="9.28515625" bestFit="1" customWidth="1"/>
    <col min="7" max="7" width="13.7109375" bestFit="1" customWidth="1"/>
    <col min="14" max="14" width="12" bestFit="1" customWidth="1"/>
    <col min="15" max="15" width="19.28515625" customWidth="1"/>
    <col min="21" max="21" width="14.85546875" bestFit="1" customWidth="1"/>
  </cols>
  <sheetData>
    <row r="1" spans="1:21" s="47" customFormat="1" x14ac:dyDescent="0.25">
      <c r="A1" s="47" t="s">
        <v>85</v>
      </c>
      <c r="C1" s="47" t="s">
        <v>207</v>
      </c>
      <c r="H1" s="18"/>
      <c r="I1" s="18"/>
      <c r="J1" s="18"/>
      <c r="K1" s="18"/>
      <c r="L1" s="18"/>
      <c r="M1" s="18"/>
      <c r="N1" s="18"/>
      <c r="O1" s="44" t="s">
        <v>248</v>
      </c>
      <c r="P1" s="44"/>
      <c r="Q1" s="44" t="s">
        <v>249</v>
      </c>
    </row>
    <row r="2" spans="1:21" s="47" customFormat="1" x14ac:dyDescent="0.25">
      <c r="A2" s="45" t="s">
        <v>154</v>
      </c>
      <c r="H2" s="49" t="s">
        <v>154</v>
      </c>
      <c r="I2" s="18"/>
      <c r="J2" s="18"/>
      <c r="K2" s="18"/>
      <c r="L2" s="18"/>
      <c r="M2" s="18"/>
      <c r="N2" s="18"/>
      <c r="O2" s="45" t="s">
        <v>203</v>
      </c>
    </row>
    <row r="3" spans="1:21" s="47" customFormat="1" x14ac:dyDescent="0.25">
      <c r="A3" s="48" t="s">
        <v>206</v>
      </c>
      <c r="H3" s="49" t="s">
        <v>228</v>
      </c>
      <c r="I3" s="18"/>
      <c r="J3" s="18"/>
      <c r="K3" s="18"/>
      <c r="L3" s="18"/>
      <c r="M3" s="18"/>
      <c r="N3" s="18"/>
      <c r="O3" s="45" t="s">
        <v>254</v>
      </c>
    </row>
    <row r="4" spans="1:21" s="47" customFormat="1" x14ac:dyDescent="0.25">
      <c r="H4" s="18"/>
      <c r="I4" s="18"/>
      <c r="J4" s="18"/>
      <c r="K4" s="18"/>
      <c r="L4" s="18"/>
      <c r="M4" s="18"/>
      <c r="N4" s="18"/>
    </row>
    <row r="5" spans="1:21" s="47" customFormat="1" x14ac:dyDescent="0.25">
      <c r="B5" s="47" t="s">
        <v>101</v>
      </c>
      <c r="C5" s="47" t="s">
        <v>102</v>
      </c>
      <c r="D5" s="47" t="s">
        <v>9</v>
      </c>
      <c r="E5" s="47" t="s">
        <v>7</v>
      </c>
      <c r="F5" s="47" t="s">
        <v>103</v>
      </c>
      <c r="G5" s="47" t="s">
        <v>158</v>
      </c>
      <c r="H5" s="18"/>
      <c r="I5" s="18" t="s">
        <v>101</v>
      </c>
      <c r="J5" s="18" t="s">
        <v>102</v>
      </c>
      <c r="K5" s="18" t="s">
        <v>9</v>
      </c>
      <c r="L5" s="18" t="s">
        <v>7</v>
      </c>
      <c r="M5" s="18" t="s">
        <v>103</v>
      </c>
      <c r="N5" s="18" t="s">
        <v>177</v>
      </c>
      <c r="P5" s="47" t="s">
        <v>101</v>
      </c>
      <c r="Q5" s="47" t="s">
        <v>102</v>
      </c>
      <c r="R5" s="47" t="s">
        <v>9</v>
      </c>
      <c r="S5" s="47" t="s">
        <v>7</v>
      </c>
      <c r="T5" s="47" t="s">
        <v>103</v>
      </c>
      <c r="U5" s="47" t="s">
        <v>177</v>
      </c>
    </row>
    <row r="6" spans="1:21" s="47" customFormat="1" x14ac:dyDescent="0.25">
      <c r="A6" s="47" t="s">
        <v>104</v>
      </c>
      <c r="B6" s="47">
        <v>7.6315270000000002</v>
      </c>
      <c r="C6" s="47">
        <v>10.040908</v>
      </c>
      <c r="D6" s="47">
        <v>138</v>
      </c>
      <c r="E6" s="47">
        <v>0.76004349999999998</v>
      </c>
      <c r="F6" s="47">
        <v>0.44850000000000001</v>
      </c>
      <c r="H6" s="18" t="s">
        <v>104</v>
      </c>
      <c r="I6" s="18">
        <v>1.2619403</v>
      </c>
      <c r="J6" s="18">
        <v>0.32189020000000002</v>
      </c>
      <c r="K6" s="18">
        <v>150</v>
      </c>
      <c r="L6" s="18">
        <v>3.9204059999999998</v>
      </c>
      <c r="M6" s="18">
        <v>1E-4</v>
      </c>
      <c r="N6" s="18"/>
      <c r="O6" s="47" t="s">
        <v>104</v>
      </c>
      <c r="P6" s="47">
        <v>2.6483110000000001E-2</v>
      </c>
      <c r="Q6" s="47">
        <v>3.2967900000000001E-2</v>
      </c>
      <c r="R6" s="47">
        <v>133</v>
      </c>
      <c r="S6" s="47">
        <v>0.80330000000000001</v>
      </c>
      <c r="T6" s="47">
        <v>0.42320000000000002</v>
      </c>
    </row>
    <row r="7" spans="1:21" s="47" customFormat="1" x14ac:dyDescent="0.25">
      <c r="A7" s="47" t="s">
        <v>46</v>
      </c>
      <c r="B7" s="47">
        <v>6.205279</v>
      </c>
      <c r="C7" s="47">
        <v>14.181158999999999</v>
      </c>
      <c r="D7" s="47">
        <v>1</v>
      </c>
      <c r="E7" s="47">
        <v>0.43757210000000002</v>
      </c>
      <c r="F7" s="47">
        <v>0.73740000000000006</v>
      </c>
      <c r="H7" s="18" t="s">
        <v>46</v>
      </c>
      <c r="I7" s="18">
        <v>-3.3582E-3</v>
      </c>
      <c r="J7" s="18">
        <v>0.45463300000000001</v>
      </c>
      <c r="K7" s="18">
        <v>1</v>
      </c>
      <c r="L7" s="18">
        <v>-7.3870000000000003E-3</v>
      </c>
      <c r="M7" s="18">
        <v>0.99529999999999996</v>
      </c>
      <c r="N7" s="18"/>
      <c r="O7" s="47" t="s">
        <v>46</v>
      </c>
      <c r="P7" s="47">
        <v>0.25574078</v>
      </c>
      <c r="Q7" s="47">
        <v>4.5465230000000002E-2</v>
      </c>
      <c r="R7" s="47">
        <v>1</v>
      </c>
      <c r="S7" s="47">
        <v>5.6249750000000001</v>
      </c>
      <c r="T7" s="47">
        <v>0.112</v>
      </c>
    </row>
    <row r="8" spans="1:21" s="47" customFormat="1" x14ac:dyDescent="0.25">
      <c r="A8" s="47" t="s">
        <v>2</v>
      </c>
      <c r="B8" s="47">
        <v>1.0862510000000001</v>
      </c>
      <c r="C8" s="47">
        <v>0.51423799999999997</v>
      </c>
      <c r="D8" s="47">
        <v>138</v>
      </c>
      <c r="E8" s="47">
        <v>2.1123528</v>
      </c>
      <c r="F8" s="47">
        <v>3.6499999999999998E-2</v>
      </c>
      <c r="H8" s="18" t="s">
        <v>2</v>
      </c>
      <c r="I8" s="18">
        <v>-1.6417899999999999E-2</v>
      </c>
      <c r="J8" s="18">
        <v>1.6122299999999999E-2</v>
      </c>
      <c r="K8" s="18">
        <v>150</v>
      </c>
      <c r="L8" s="18">
        <v>-1.0183329999999999</v>
      </c>
      <c r="M8" s="18">
        <v>0.31019999999999998</v>
      </c>
      <c r="N8" s="18"/>
      <c r="O8" s="47" t="s">
        <v>2</v>
      </c>
      <c r="P8" s="47">
        <v>4.4691599999999998E-3</v>
      </c>
      <c r="Q8" s="47">
        <v>1.6315800000000001E-3</v>
      </c>
      <c r="R8" s="47">
        <v>133</v>
      </c>
      <c r="S8" s="47">
        <v>2.7391580000000002</v>
      </c>
      <c r="T8" s="47">
        <v>7.0000000000000001E-3</v>
      </c>
    </row>
    <row r="9" spans="1:21" s="47" customFormat="1" x14ac:dyDescent="0.25">
      <c r="A9" s="47" t="s">
        <v>3</v>
      </c>
      <c r="B9" s="47">
        <v>0.14588899999999999</v>
      </c>
      <c r="C9" s="47">
        <v>0.213727</v>
      </c>
      <c r="D9" s="47">
        <v>138</v>
      </c>
      <c r="E9" s="47">
        <v>0.6825949</v>
      </c>
      <c r="F9" s="47">
        <v>0.496</v>
      </c>
      <c r="H9" s="18" t="s">
        <v>3</v>
      </c>
      <c r="I9" s="18">
        <v>-3.6692000000000001E-3</v>
      </c>
      <c r="J9" s="18">
        <v>6.7508999999999998E-3</v>
      </c>
      <c r="K9" s="18">
        <v>150</v>
      </c>
      <c r="L9" s="18">
        <v>-0.54350799999999999</v>
      </c>
      <c r="M9" s="18">
        <v>0.58760000000000001</v>
      </c>
      <c r="N9" s="18"/>
      <c r="O9" s="47" t="s">
        <v>3</v>
      </c>
      <c r="P9" s="47">
        <v>3.01389E-3</v>
      </c>
      <c r="Q9" s="47">
        <v>6.5393999999999999E-4</v>
      </c>
      <c r="R9" s="47">
        <v>133</v>
      </c>
      <c r="S9" s="47">
        <v>4.6088180000000003</v>
      </c>
      <c r="T9" s="47">
        <v>0</v>
      </c>
    </row>
    <row r="10" spans="1:21" s="47" customFormat="1" x14ac:dyDescent="0.25">
      <c r="A10" s="47" t="s">
        <v>48</v>
      </c>
      <c r="B10" s="47">
        <v>-1.599842</v>
      </c>
      <c r="C10" s="47">
        <v>0.71923700000000002</v>
      </c>
      <c r="D10" s="47">
        <v>138</v>
      </c>
      <c r="E10" s="47">
        <v>-2.2243582000000002</v>
      </c>
      <c r="F10" s="47">
        <v>2.7699999999999999E-2</v>
      </c>
      <c r="H10" s="18" t="s">
        <v>48</v>
      </c>
      <c r="I10" s="18">
        <v>1.4924999999999999E-3</v>
      </c>
      <c r="J10" s="18">
        <v>2.2800399999999998E-2</v>
      </c>
      <c r="K10" s="18">
        <v>150</v>
      </c>
      <c r="L10" s="18">
        <v>6.5461000000000005E-2</v>
      </c>
      <c r="M10" s="18">
        <v>0.94789999999999996</v>
      </c>
      <c r="N10" s="18"/>
      <c r="O10" s="47" t="s">
        <v>48</v>
      </c>
      <c r="P10" s="47">
        <v>-1.412475E-2</v>
      </c>
      <c r="Q10" s="47">
        <v>2.23165E-3</v>
      </c>
      <c r="R10" s="47">
        <v>133</v>
      </c>
      <c r="S10" s="47">
        <v>-6.3292760000000001</v>
      </c>
      <c r="T10" s="47">
        <v>0</v>
      </c>
    </row>
    <row r="11" spans="1:21" s="47" customFormat="1" x14ac:dyDescent="0.25">
      <c r="A11" s="47" t="s">
        <v>49</v>
      </c>
      <c r="B11" s="47">
        <v>-0.16367899999999999</v>
      </c>
      <c r="C11" s="47">
        <v>0.30196099999999998</v>
      </c>
      <c r="D11" s="47">
        <v>138</v>
      </c>
      <c r="E11" s="47">
        <v>-0.54205340000000002</v>
      </c>
      <c r="F11" s="47">
        <v>0.5887</v>
      </c>
      <c r="H11" s="18" t="s">
        <v>49</v>
      </c>
      <c r="I11" s="18">
        <v>-5.1989999999999996E-3</v>
      </c>
      <c r="J11" s="18">
        <v>9.5472000000000005E-3</v>
      </c>
      <c r="K11" s="18">
        <v>150</v>
      </c>
      <c r="L11" s="18">
        <v>-0.54455900000000002</v>
      </c>
      <c r="M11" s="18">
        <v>0.58689999999999998</v>
      </c>
      <c r="N11" s="18"/>
      <c r="O11" s="47" t="s">
        <v>49</v>
      </c>
      <c r="P11" s="47">
        <v>-3.7830699999999999E-3</v>
      </c>
      <c r="Q11" s="47">
        <v>9.1922E-4</v>
      </c>
      <c r="R11" s="47">
        <v>133</v>
      </c>
      <c r="S11" s="47">
        <v>-4.1155200000000001</v>
      </c>
      <c r="T11" s="47">
        <v>1E-4</v>
      </c>
    </row>
    <row r="12" spans="1:21" s="47" customFormat="1" x14ac:dyDescent="0.25">
      <c r="A12" s="47" t="s">
        <v>50</v>
      </c>
      <c r="B12" s="47">
        <v>-2.1957999999999998E-2</v>
      </c>
      <c r="C12" s="47">
        <v>1.0952999999999999E-2</v>
      </c>
      <c r="D12" s="47">
        <v>138</v>
      </c>
      <c r="E12" s="47">
        <v>-2.0047334999999999</v>
      </c>
      <c r="F12" s="47">
        <v>4.6899999999999997E-2</v>
      </c>
      <c r="H12" s="18" t="s">
        <v>50</v>
      </c>
      <c r="I12" s="18">
        <v>1.493E-4</v>
      </c>
      <c r="J12" s="18">
        <v>3.3990000000000002E-4</v>
      </c>
      <c r="K12" s="18">
        <v>150</v>
      </c>
      <c r="L12" s="18">
        <v>0.43912499999999999</v>
      </c>
      <c r="M12" s="18">
        <v>0.66120000000000001</v>
      </c>
      <c r="N12" s="18"/>
      <c r="O12" s="47" t="s">
        <v>50</v>
      </c>
      <c r="P12" s="47">
        <v>-2.1118999999999999E-4</v>
      </c>
      <c r="Q12" s="47">
        <v>3.4109999999999997E-5</v>
      </c>
      <c r="R12" s="47">
        <v>133</v>
      </c>
      <c r="S12" s="47">
        <v>-6.1915180000000003</v>
      </c>
      <c r="T12" s="47">
        <v>0</v>
      </c>
    </row>
    <row r="13" spans="1:21" s="47" customFormat="1" x14ac:dyDescent="0.25">
      <c r="A13" s="47" t="s">
        <v>84</v>
      </c>
      <c r="B13" s="47">
        <v>3.0547999999999999E-2</v>
      </c>
      <c r="C13" s="47">
        <v>1.528E-2</v>
      </c>
      <c r="D13" s="47">
        <v>138</v>
      </c>
      <c r="E13" s="47">
        <v>1.9992281999999999</v>
      </c>
      <c r="F13" s="47">
        <v>4.7500000000000001E-2</v>
      </c>
      <c r="H13" s="18" t="s">
        <v>84</v>
      </c>
      <c r="I13" s="18">
        <v>2.7359999999999998E-4</v>
      </c>
      <c r="J13" s="18">
        <v>4.8069999999999997E-4</v>
      </c>
      <c r="K13" s="18">
        <v>150</v>
      </c>
      <c r="L13" s="18">
        <v>0.56926500000000002</v>
      </c>
      <c r="M13" s="18">
        <v>0.56999999999999995</v>
      </c>
      <c r="N13" s="18"/>
      <c r="O13" s="47" t="s">
        <v>84</v>
      </c>
      <c r="P13" s="47">
        <v>2.6383999999999999E-4</v>
      </c>
      <c r="Q13" s="47">
        <v>4.7039999999999997E-5</v>
      </c>
      <c r="R13" s="47">
        <v>133</v>
      </c>
      <c r="S13" s="47">
        <v>5.6090780000000002</v>
      </c>
      <c r="T13" s="47">
        <v>0</v>
      </c>
    </row>
    <row r="14" spans="1:21" s="47" customFormat="1" x14ac:dyDescent="0.25">
      <c r="A14" s="47" t="s">
        <v>52</v>
      </c>
      <c r="G14" s="47">
        <f>8.064854^2</f>
        <v>65.041870041316002</v>
      </c>
      <c r="H14" s="18" t="s">
        <v>52</v>
      </c>
      <c r="I14" s="18"/>
      <c r="J14" s="18"/>
      <c r="K14" s="18"/>
      <c r="L14" s="18"/>
      <c r="M14" s="18"/>
      <c r="N14" s="18">
        <f>0.2639341^2</f>
        <v>6.9661209142810002E-2</v>
      </c>
      <c r="O14" s="47" t="s">
        <v>52</v>
      </c>
      <c r="U14" s="47">
        <f>0.02435041^2</f>
        <v>5.9294246716809994E-4</v>
      </c>
    </row>
    <row r="15" spans="1:21" s="47" customFormat="1" x14ac:dyDescent="0.25">
      <c r="A15" s="47" t="s">
        <v>5</v>
      </c>
      <c r="G15" s="47">
        <f>0.701861^2</f>
        <v>0.49260886332099996</v>
      </c>
      <c r="H15" s="18" t="s">
        <v>5</v>
      </c>
      <c r="I15" s="18"/>
      <c r="J15" s="18"/>
      <c r="K15" s="18"/>
      <c r="L15" s="18"/>
      <c r="M15" s="18"/>
      <c r="N15" s="18">
        <f>0.03272594^2</f>
        <v>1.0709871488836001E-3</v>
      </c>
      <c r="O15" s="47" t="s">
        <v>5</v>
      </c>
      <c r="U15" s="47">
        <f>0.01148485^2</f>
        <v>1.3190177952249999E-4</v>
      </c>
    </row>
    <row r="16" spans="1:21" s="47" customFormat="1" x14ac:dyDescent="0.25">
      <c r="A16" s="47" t="s">
        <v>15</v>
      </c>
      <c r="G16" s="48">
        <f>0.0005721549^2</f>
        <v>3.2736122959401007E-7</v>
      </c>
      <c r="H16" s="18" t="s">
        <v>15</v>
      </c>
      <c r="I16" s="18"/>
      <c r="J16" s="18"/>
      <c r="K16" s="18"/>
      <c r="L16" s="18"/>
      <c r="M16" s="18"/>
      <c r="N16" s="18">
        <f>0.000009121153^2</f>
        <v>8.3195432049408991E-11</v>
      </c>
      <c r="O16" s="47" t="s">
        <v>15</v>
      </c>
      <c r="U16" s="47">
        <f>0.0000008331669^2</f>
        <v>6.9416708325561005E-13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"/>
  <sheetViews>
    <sheetView zoomScale="70" zoomScaleNormal="70" workbookViewId="0">
      <selection activeCell="Q1" sqref="Q1"/>
    </sheetView>
  </sheetViews>
  <sheetFormatPr defaultRowHeight="15" x14ac:dyDescent="0.25"/>
  <cols>
    <col min="7" max="7" width="11" bestFit="1" customWidth="1"/>
    <col min="14" max="14" width="12" bestFit="1" customWidth="1"/>
    <col min="21" max="21" width="14.85546875" bestFit="1" customWidth="1"/>
  </cols>
  <sheetData>
    <row r="1" spans="1:21" s="47" customFormat="1" x14ac:dyDescent="0.25">
      <c r="A1" s="47" t="s">
        <v>208</v>
      </c>
      <c r="C1" s="47" t="s">
        <v>209</v>
      </c>
      <c r="H1" s="18" t="s">
        <v>234</v>
      </c>
      <c r="I1" s="18"/>
      <c r="J1" s="18" t="s">
        <v>235</v>
      </c>
      <c r="K1" s="18"/>
      <c r="L1" s="18"/>
      <c r="M1" s="18"/>
      <c r="N1" s="18"/>
      <c r="O1" s="44" t="s">
        <v>250</v>
      </c>
      <c r="P1" s="44"/>
      <c r="Q1" s="44" t="s">
        <v>251</v>
      </c>
    </row>
    <row r="2" spans="1:21" s="44" customFormat="1" x14ac:dyDescent="0.25">
      <c r="A2" s="45" t="s">
        <v>212</v>
      </c>
      <c r="H2" s="49" t="s">
        <v>232</v>
      </c>
      <c r="I2" s="18"/>
      <c r="J2" s="18"/>
      <c r="K2" s="18"/>
      <c r="L2" s="18"/>
      <c r="M2" s="18"/>
      <c r="N2" s="18"/>
      <c r="O2" s="45" t="s">
        <v>203</v>
      </c>
    </row>
    <row r="3" spans="1:21" s="44" customFormat="1" x14ac:dyDescent="0.25">
      <c r="A3" s="45" t="s">
        <v>213</v>
      </c>
      <c r="H3" s="49" t="s">
        <v>233</v>
      </c>
      <c r="I3" s="18"/>
      <c r="J3" s="18"/>
      <c r="K3" s="18"/>
      <c r="L3" s="18"/>
      <c r="M3" s="18"/>
      <c r="N3" s="18"/>
      <c r="O3" s="45" t="s">
        <v>255</v>
      </c>
    </row>
    <row r="4" spans="1:21" s="44" customFormat="1" x14ac:dyDescent="0.25">
      <c r="H4" s="18"/>
      <c r="I4" s="18"/>
      <c r="J4" s="18"/>
      <c r="K4" s="18"/>
      <c r="L4" s="18"/>
      <c r="M4" s="18"/>
      <c r="N4" s="18"/>
    </row>
    <row r="5" spans="1:21" s="44" customFormat="1" x14ac:dyDescent="0.25">
      <c r="B5" s="44" t="s">
        <v>101</v>
      </c>
      <c r="C5" s="44" t="s">
        <v>102</v>
      </c>
      <c r="D5" s="44" t="s">
        <v>9</v>
      </c>
      <c r="E5" s="44" t="s">
        <v>7</v>
      </c>
      <c r="F5" s="44" t="s">
        <v>103</v>
      </c>
      <c r="G5" s="44" t="s">
        <v>177</v>
      </c>
      <c r="H5" s="18"/>
      <c r="I5" s="18" t="s">
        <v>101</v>
      </c>
      <c r="J5" s="18" t="s">
        <v>102</v>
      </c>
      <c r="K5" s="18" t="s">
        <v>9</v>
      </c>
      <c r="L5" s="18" t="s">
        <v>7</v>
      </c>
      <c r="M5" s="18" t="s">
        <v>103</v>
      </c>
      <c r="N5" s="18" t="s">
        <v>177</v>
      </c>
      <c r="P5" s="44" t="s">
        <v>101</v>
      </c>
      <c r="Q5" s="44" t="s">
        <v>102</v>
      </c>
      <c r="R5" s="44" t="s">
        <v>9</v>
      </c>
      <c r="S5" s="44" t="s">
        <v>7</v>
      </c>
      <c r="T5" s="44" t="s">
        <v>103</v>
      </c>
      <c r="U5" s="44" t="s">
        <v>177</v>
      </c>
    </row>
    <row r="6" spans="1:21" s="44" customFormat="1" x14ac:dyDescent="0.25">
      <c r="A6" s="44" t="s">
        <v>104</v>
      </c>
      <c r="B6" s="44">
        <v>3.190267</v>
      </c>
      <c r="C6" s="44">
        <v>23.582460000000001</v>
      </c>
      <c r="D6" s="44">
        <v>56</v>
      </c>
      <c r="E6" s="44">
        <v>0.13528129999999999</v>
      </c>
      <c r="F6" s="44">
        <v>0.89290000000000003</v>
      </c>
      <c r="H6" s="18" t="s">
        <v>104</v>
      </c>
      <c r="I6" s="18">
        <v>0.36119400000000002</v>
      </c>
      <c r="J6" s="18">
        <v>0.5616487</v>
      </c>
      <c r="K6" s="18">
        <v>150</v>
      </c>
      <c r="L6" s="18">
        <v>0.643096</v>
      </c>
      <c r="M6" s="18">
        <v>0.52110000000000001</v>
      </c>
      <c r="N6" s="18"/>
      <c r="O6" s="44" t="s">
        <v>104</v>
      </c>
      <c r="P6" s="44">
        <v>0.10873599</v>
      </c>
      <c r="Q6" s="44">
        <v>4.6419349999999998E-2</v>
      </c>
      <c r="R6" s="44">
        <v>43</v>
      </c>
      <c r="S6" s="44">
        <v>2.3424714</v>
      </c>
      <c r="T6" s="44">
        <v>2.3900000000000001E-2</v>
      </c>
    </row>
    <row r="7" spans="1:21" s="44" customFormat="1" x14ac:dyDescent="0.25">
      <c r="A7" s="44" t="s">
        <v>46</v>
      </c>
      <c r="B7" s="44">
        <v>-6.3621309999999998</v>
      </c>
      <c r="C7" s="44">
        <v>44.24427</v>
      </c>
      <c r="D7" s="44">
        <v>1</v>
      </c>
      <c r="E7" s="44">
        <v>-0.1437956</v>
      </c>
      <c r="F7" s="44">
        <v>0.90910000000000002</v>
      </c>
      <c r="H7" s="18" t="s">
        <v>46</v>
      </c>
      <c r="I7" s="18">
        <v>0.358209</v>
      </c>
      <c r="J7" s="18">
        <v>0.85716179999999997</v>
      </c>
      <c r="K7" s="18">
        <v>1</v>
      </c>
      <c r="L7" s="18">
        <v>0.41790119999999997</v>
      </c>
      <c r="M7" s="18">
        <v>0.748</v>
      </c>
      <c r="N7" s="18"/>
      <c r="O7" s="44" t="s">
        <v>46</v>
      </c>
      <c r="P7" s="44">
        <v>-2.2283540000000001E-2</v>
      </c>
      <c r="Q7" s="44">
        <v>9.8562769999999994E-2</v>
      </c>
      <c r="R7" s="44">
        <v>1</v>
      </c>
      <c r="S7" s="44">
        <v>-0.2260848</v>
      </c>
      <c r="T7" s="44">
        <v>0.85840000000000005</v>
      </c>
    </row>
    <row r="8" spans="1:21" s="44" customFormat="1" x14ac:dyDescent="0.25">
      <c r="A8" s="44" t="s">
        <v>2</v>
      </c>
      <c r="B8" s="44">
        <v>0.82669300000000001</v>
      </c>
      <c r="C8" s="44">
        <v>1.0526500000000001</v>
      </c>
      <c r="D8" s="44">
        <v>56</v>
      </c>
      <c r="E8" s="44">
        <v>0.78534599999999999</v>
      </c>
      <c r="F8" s="44">
        <v>0.43559999999999999</v>
      </c>
      <c r="H8" s="18" t="s">
        <v>2</v>
      </c>
      <c r="I8" s="18">
        <v>2.83582E-2</v>
      </c>
      <c r="J8" s="18">
        <v>2.3160900000000002E-2</v>
      </c>
      <c r="K8" s="18">
        <v>150</v>
      </c>
      <c r="L8" s="18">
        <v>1.2243982</v>
      </c>
      <c r="M8" s="18">
        <v>0.22270000000000001</v>
      </c>
      <c r="N8" s="18"/>
      <c r="O8" s="44" t="s">
        <v>2</v>
      </c>
      <c r="P8" s="44">
        <v>-2.2189699999999998E-3</v>
      </c>
      <c r="Q8" s="44">
        <v>2.2821400000000002E-3</v>
      </c>
      <c r="R8" s="44">
        <v>43</v>
      </c>
      <c r="S8" s="44">
        <v>-0.97231900000000004</v>
      </c>
      <c r="T8" s="44">
        <v>0.33629999999999999</v>
      </c>
    </row>
    <row r="9" spans="1:21" s="44" customFormat="1" x14ac:dyDescent="0.25">
      <c r="A9" s="44" t="s">
        <v>3</v>
      </c>
      <c r="B9" s="44">
        <v>0.29345199999999999</v>
      </c>
      <c r="C9" s="44">
        <v>0.48332999999999998</v>
      </c>
      <c r="D9" s="44">
        <v>56</v>
      </c>
      <c r="E9" s="44">
        <v>0.60714349999999995</v>
      </c>
      <c r="F9" s="44">
        <v>0.54620000000000002</v>
      </c>
      <c r="H9" s="18" t="s">
        <v>3</v>
      </c>
      <c r="I9" s="18">
        <v>-5.2487999999999996E-3</v>
      </c>
      <c r="J9" s="18">
        <v>9.6980999999999994E-3</v>
      </c>
      <c r="K9" s="18">
        <v>150</v>
      </c>
      <c r="L9" s="18">
        <v>-0.54121280000000005</v>
      </c>
      <c r="M9" s="18">
        <v>0.58919999999999995</v>
      </c>
      <c r="N9" s="18"/>
      <c r="O9" s="44" t="s">
        <v>3</v>
      </c>
      <c r="P9" s="44">
        <v>2.7500000000000001E-5</v>
      </c>
      <c r="Q9" s="44">
        <v>1.02994E-3</v>
      </c>
      <c r="R9" s="44">
        <v>43</v>
      </c>
      <c r="S9" s="44">
        <v>2.6698599999999999E-2</v>
      </c>
      <c r="T9" s="44">
        <v>0.9788</v>
      </c>
    </row>
    <row r="10" spans="1:21" s="44" customFormat="1" x14ac:dyDescent="0.25">
      <c r="A10" s="44" t="s">
        <v>48</v>
      </c>
      <c r="B10" s="44">
        <v>0.426871</v>
      </c>
      <c r="C10" s="44">
        <v>2.06908</v>
      </c>
      <c r="D10" s="44">
        <v>56</v>
      </c>
      <c r="E10" s="44">
        <v>0.20630960000000001</v>
      </c>
      <c r="F10" s="44">
        <v>0.83730000000000004</v>
      </c>
      <c r="H10" s="18" t="s">
        <v>48</v>
      </c>
      <c r="I10" s="18">
        <v>-4.25373E-2</v>
      </c>
      <c r="J10" s="18">
        <v>3.2754499999999999E-2</v>
      </c>
      <c r="K10" s="18">
        <v>150</v>
      </c>
      <c r="L10" s="18">
        <v>-1.2986704</v>
      </c>
      <c r="M10" s="18">
        <v>0.19600000000000001</v>
      </c>
      <c r="N10" s="18"/>
      <c r="O10" s="44" t="s">
        <v>48</v>
      </c>
      <c r="P10" s="44">
        <v>-3.7755200000000001E-3</v>
      </c>
      <c r="Q10" s="44">
        <v>5.7144099999999996E-3</v>
      </c>
      <c r="R10" s="44">
        <v>43</v>
      </c>
      <c r="S10" s="44">
        <v>-0.66070070000000003</v>
      </c>
      <c r="T10" s="44">
        <v>0.51229999999999998</v>
      </c>
    </row>
    <row r="11" spans="1:21" s="44" customFormat="1" x14ac:dyDescent="0.25">
      <c r="A11" s="44" t="s">
        <v>49</v>
      </c>
      <c r="B11" s="44">
        <v>0.61889799999999995</v>
      </c>
      <c r="C11" s="44">
        <v>1.0790599999999999</v>
      </c>
      <c r="D11" s="44">
        <v>56</v>
      </c>
      <c r="E11" s="44">
        <v>0.57355540000000005</v>
      </c>
      <c r="F11" s="44">
        <v>0.56859999999999999</v>
      </c>
      <c r="H11" s="18" t="s">
        <v>49</v>
      </c>
      <c r="I11" s="18">
        <v>-5.8954999999999997E-3</v>
      </c>
      <c r="J11" s="18">
        <v>1.37152E-2</v>
      </c>
      <c r="K11" s="18">
        <v>150</v>
      </c>
      <c r="L11" s="18">
        <v>-0.42985200000000001</v>
      </c>
      <c r="M11" s="18">
        <v>0.66790000000000005</v>
      </c>
      <c r="N11" s="18"/>
      <c r="O11" s="44" t="s">
        <v>49</v>
      </c>
      <c r="P11" s="44">
        <v>2.0638700000000002E-3</v>
      </c>
      <c r="Q11" s="44">
        <v>2.37346E-3</v>
      </c>
      <c r="R11" s="44">
        <v>43</v>
      </c>
      <c r="S11" s="44">
        <v>0.86956009999999995</v>
      </c>
      <c r="T11" s="44">
        <v>0.38940000000000002</v>
      </c>
    </row>
    <row r="12" spans="1:21" s="44" customFormat="1" x14ac:dyDescent="0.25">
      <c r="A12" s="44" t="s">
        <v>50</v>
      </c>
      <c r="B12" s="44">
        <v>-2.0216999999999999E-2</v>
      </c>
      <c r="C12" s="44">
        <v>2.2839999999999999E-2</v>
      </c>
      <c r="D12" s="44">
        <v>56</v>
      </c>
      <c r="E12" s="44">
        <v>-0.88515909999999998</v>
      </c>
      <c r="F12" s="44">
        <v>0.37990000000000002</v>
      </c>
      <c r="H12" s="18" t="s">
        <v>50</v>
      </c>
      <c r="I12" s="18">
        <v>-7.4599999999999997E-5</v>
      </c>
      <c r="J12" s="18">
        <v>4.883E-4</v>
      </c>
      <c r="K12" s="18">
        <v>150</v>
      </c>
      <c r="L12" s="18">
        <v>-0.15283759999999999</v>
      </c>
      <c r="M12" s="18">
        <v>0.87870000000000004</v>
      </c>
      <c r="N12" s="18"/>
      <c r="O12" s="44" t="s">
        <v>50</v>
      </c>
      <c r="P12" s="44">
        <v>6.3E-7</v>
      </c>
      <c r="Q12" s="44">
        <v>5.0609999999999998E-5</v>
      </c>
      <c r="R12" s="44">
        <v>43</v>
      </c>
      <c r="S12" s="44">
        <v>1.2378200000000001E-2</v>
      </c>
      <c r="T12" s="44">
        <v>0.99019999999999997</v>
      </c>
    </row>
    <row r="13" spans="1:21" s="44" customFormat="1" x14ac:dyDescent="0.25">
      <c r="A13" s="44" t="s">
        <v>84</v>
      </c>
      <c r="B13" s="44">
        <v>-3.0485000000000002E-2</v>
      </c>
      <c r="C13" s="44">
        <v>5.2549999999999999E-2</v>
      </c>
      <c r="D13" s="44">
        <v>56</v>
      </c>
      <c r="E13" s="44">
        <v>-0.58012870000000005</v>
      </c>
      <c r="F13" s="44">
        <v>0.56420000000000003</v>
      </c>
      <c r="H13" s="18" t="s">
        <v>84</v>
      </c>
      <c r="I13" s="18">
        <v>3.9800000000000002E-4</v>
      </c>
      <c r="J13" s="18">
        <v>6.9050000000000003E-4</v>
      </c>
      <c r="K13" s="18">
        <v>150</v>
      </c>
      <c r="L13" s="18">
        <v>0.57638690000000004</v>
      </c>
      <c r="M13" s="18">
        <v>0.56520000000000004</v>
      </c>
      <c r="N13" s="18"/>
      <c r="O13" s="44" t="s">
        <v>84</v>
      </c>
      <c r="P13" s="44">
        <v>-1.452E-5</v>
      </c>
      <c r="Q13" s="44">
        <v>1.2655000000000001E-4</v>
      </c>
      <c r="R13" s="44">
        <v>43</v>
      </c>
      <c r="S13" s="44">
        <v>-0.1147434</v>
      </c>
      <c r="T13" s="44">
        <v>0.90920000000000001</v>
      </c>
    </row>
    <row r="14" spans="1:21" s="44" customFormat="1" x14ac:dyDescent="0.25">
      <c r="A14" s="47" t="s">
        <v>52</v>
      </c>
      <c r="G14" s="45">
        <f>13.07227^2</f>
        <v>170.8842429529</v>
      </c>
      <c r="H14" s="18" t="s">
        <v>52</v>
      </c>
      <c r="I14" s="18"/>
      <c r="J14" s="18"/>
      <c r="K14" s="18"/>
      <c r="L14" s="18"/>
      <c r="M14" s="18"/>
      <c r="N14" s="18">
        <f>0.3791609^2</f>
        <v>0.14376298808881002</v>
      </c>
      <c r="O14" s="47" t="s">
        <v>52</v>
      </c>
      <c r="U14" s="44">
        <f>0.02707993^2</f>
        <v>7.3332260880489995E-4</v>
      </c>
    </row>
    <row r="15" spans="1:21" s="44" customFormat="1" x14ac:dyDescent="0.25">
      <c r="A15" s="47" t="s">
        <v>5</v>
      </c>
      <c r="G15" s="45">
        <f>11.17877^2</f>
        <v>124.96489871290001</v>
      </c>
      <c r="H15" s="18" t="s">
        <v>5</v>
      </c>
      <c r="I15" s="18"/>
      <c r="J15" s="18"/>
      <c r="K15" s="18"/>
      <c r="L15" s="18"/>
      <c r="M15" s="18"/>
      <c r="N15" s="18">
        <f>0.4556928^2</f>
        <v>0.20765592797184002</v>
      </c>
      <c r="O15" s="47" t="s">
        <v>5</v>
      </c>
      <c r="U15" s="44">
        <f>0.000001106283^2</f>
        <v>1.2238620760890002E-12</v>
      </c>
    </row>
    <row r="16" spans="1:21" s="44" customFormat="1" x14ac:dyDescent="0.25">
      <c r="A16" s="47" t="s">
        <v>15</v>
      </c>
      <c r="G16" s="44">
        <f>0.001756017^2</f>
        <v>3.0835957042889997E-6</v>
      </c>
      <c r="H16" s="18" t="s">
        <v>15</v>
      </c>
      <c r="I16" s="18"/>
      <c r="J16" s="18"/>
      <c r="K16" s="18"/>
      <c r="L16" s="18"/>
      <c r="M16" s="18"/>
      <c r="N16" s="18">
        <f>0.00001571187^2</f>
        <v>2.4686285889689999E-10</v>
      </c>
      <c r="O16" s="47" t="s">
        <v>15</v>
      </c>
      <c r="U16" s="44">
        <f>0.0000008251172^2</f>
        <v>6.8081839373583999E-13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tabSelected="1" zoomScale="70" zoomScaleNormal="70" workbookViewId="0">
      <selection activeCell="Q1" sqref="Q1"/>
    </sheetView>
  </sheetViews>
  <sheetFormatPr defaultRowHeight="15" x14ac:dyDescent="0.25"/>
  <cols>
    <col min="7" max="7" width="12" bestFit="1" customWidth="1"/>
    <col min="14" max="14" width="10.7109375" customWidth="1"/>
    <col min="15" max="15" width="25.28515625" customWidth="1"/>
    <col min="21" max="21" width="12.28515625" customWidth="1"/>
  </cols>
  <sheetData>
    <row r="1" spans="1:21" s="47" customFormat="1" x14ac:dyDescent="0.25">
      <c r="A1" s="47" t="s">
        <v>214</v>
      </c>
      <c r="C1" s="47" t="s">
        <v>215</v>
      </c>
      <c r="H1" s="18" t="s">
        <v>230</v>
      </c>
      <c r="I1" s="18"/>
      <c r="J1" s="18" t="s">
        <v>231</v>
      </c>
      <c r="K1" s="18"/>
      <c r="L1" s="18"/>
      <c r="M1" s="18"/>
      <c r="N1" s="18"/>
      <c r="O1" s="44" t="s">
        <v>252</v>
      </c>
      <c r="P1" s="44"/>
      <c r="Q1" s="44" t="s">
        <v>253</v>
      </c>
    </row>
    <row r="2" spans="1:21" s="44" customFormat="1" x14ac:dyDescent="0.25">
      <c r="A2" s="45" t="s">
        <v>154</v>
      </c>
      <c r="H2" s="49" t="s">
        <v>154</v>
      </c>
      <c r="I2" s="18"/>
      <c r="J2" s="18"/>
      <c r="K2" s="18"/>
      <c r="L2" s="18"/>
      <c r="M2" s="18"/>
      <c r="N2" s="18"/>
      <c r="O2" s="45" t="s">
        <v>203</v>
      </c>
    </row>
    <row r="3" spans="1:21" s="44" customFormat="1" x14ac:dyDescent="0.25">
      <c r="A3" s="45" t="s">
        <v>216</v>
      </c>
      <c r="H3" s="49" t="s">
        <v>229</v>
      </c>
      <c r="I3" s="18"/>
      <c r="J3" s="18"/>
      <c r="K3" s="18"/>
      <c r="L3" s="18"/>
      <c r="M3" s="18"/>
      <c r="N3" s="18"/>
      <c r="O3" s="45" t="s">
        <v>256</v>
      </c>
    </row>
    <row r="4" spans="1:21" s="44" customFormat="1" x14ac:dyDescent="0.25">
      <c r="H4" s="18"/>
      <c r="I4" s="18"/>
      <c r="J4" s="18"/>
      <c r="K4" s="18"/>
      <c r="L4" s="18"/>
      <c r="M4" s="18"/>
      <c r="N4" s="18"/>
    </row>
    <row r="5" spans="1:21" s="44" customFormat="1" x14ac:dyDescent="0.25">
      <c r="H5" s="18"/>
      <c r="I5" s="18"/>
      <c r="J5" s="18"/>
      <c r="K5" s="18"/>
      <c r="L5" s="18"/>
      <c r="M5" s="18"/>
      <c r="N5" s="18"/>
    </row>
    <row r="6" spans="1:21" s="44" customFormat="1" x14ac:dyDescent="0.25">
      <c r="B6" s="44" t="s">
        <v>101</v>
      </c>
      <c r="C6" s="44" t="s">
        <v>102</v>
      </c>
      <c r="D6" s="44" t="s">
        <v>9</v>
      </c>
      <c r="E6" s="44" t="s">
        <v>7</v>
      </c>
      <c r="F6" s="44" t="s">
        <v>103</v>
      </c>
      <c r="G6" s="44" t="s">
        <v>177</v>
      </c>
      <c r="H6" s="18"/>
      <c r="I6" s="18" t="s">
        <v>101</v>
      </c>
      <c r="J6" s="18" t="s">
        <v>102</v>
      </c>
      <c r="K6" s="18" t="s">
        <v>9</v>
      </c>
      <c r="L6" s="18" t="s">
        <v>7</v>
      </c>
      <c r="M6" s="18" t="s">
        <v>103</v>
      </c>
      <c r="N6" s="18" t="s">
        <v>217</v>
      </c>
      <c r="P6" s="44" t="s">
        <v>101</v>
      </c>
      <c r="Q6" s="44" t="s">
        <v>102</v>
      </c>
      <c r="R6" s="44" t="s">
        <v>9</v>
      </c>
      <c r="S6" s="44" t="s">
        <v>7</v>
      </c>
      <c r="T6" s="44" t="s">
        <v>103</v>
      </c>
      <c r="U6" s="44" t="s">
        <v>177</v>
      </c>
    </row>
    <row r="7" spans="1:21" s="44" customFormat="1" x14ac:dyDescent="0.25">
      <c r="A7" s="44" t="s">
        <v>104</v>
      </c>
      <c r="B7" s="44">
        <v>17.485569999999999</v>
      </c>
      <c r="C7" s="44">
        <v>4.4123650000000003</v>
      </c>
      <c r="D7" s="44">
        <v>128</v>
      </c>
      <c r="E7" s="44">
        <v>3.9628570000000001</v>
      </c>
      <c r="F7" s="44">
        <v>1E-4</v>
      </c>
      <c r="H7" s="18" t="s">
        <v>104</v>
      </c>
      <c r="I7" s="18">
        <v>1.0585821</v>
      </c>
      <c r="J7" s="18">
        <v>0.43516820000000001</v>
      </c>
      <c r="K7" s="18">
        <v>152</v>
      </c>
      <c r="L7" s="18">
        <v>2.4325812</v>
      </c>
      <c r="M7" s="18">
        <v>1.6199999999999999E-2</v>
      </c>
      <c r="N7" s="18"/>
      <c r="O7" s="44" t="s">
        <v>104</v>
      </c>
      <c r="P7" s="44">
        <v>7.7637280000000003E-2</v>
      </c>
      <c r="Q7" s="44">
        <v>7.3270580000000002E-2</v>
      </c>
      <c r="R7" s="44">
        <v>123</v>
      </c>
      <c r="S7" s="44">
        <v>1.0595969999999999</v>
      </c>
      <c r="T7" s="44">
        <v>0.29139999999999999</v>
      </c>
    </row>
    <row r="8" spans="1:21" s="44" customFormat="1" x14ac:dyDescent="0.25">
      <c r="A8" s="44" t="s">
        <v>46</v>
      </c>
      <c r="B8" s="44">
        <v>-10.427699</v>
      </c>
      <c r="C8" s="44">
        <v>6.1036520000000003</v>
      </c>
      <c r="D8" s="44">
        <v>2</v>
      </c>
      <c r="E8" s="44">
        <v>-1.7084360000000001</v>
      </c>
      <c r="F8" s="44">
        <v>0.22969999999999999</v>
      </c>
      <c r="H8" s="18" t="s">
        <v>46</v>
      </c>
      <c r="I8" s="18">
        <v>-0.43183310000000003</v>
      </c>
      <c r="J8" s="18">
        <v>0.61214179999999996</v>
      </c>
      <c r="K8" s="18">
        <v>2</v>
      </c>
      <c r="L8" s="18">
        <v>-0.70544609999999996</v>
      </c>
      <c r="M8" s="18">
        <v>0.55359999999999998</v>
      </c>
      <c r="N8" s="18"/>
      <c r="O8" s="44" t="s">
        <v>46</v>
      </c>
      <c r="P8" s="44">
        <v>9.8236219999999999E-2</v>
      </c>
      <c r="Q8" s="44">
        <v>0.10132995</v>
      </c>
      <c r="R8" s="44">
        <v>2</v>
      </c>
      <c r="S8" s="44">
        <v>0.96946900000000003</v>
      </c>
      <c r="T8" s="44">
        <v>0.43459999999999999</v>
      </c>
    </row>
    <row r="9" spans="1:21" s="44" customFormat="1" x14ac:dyDescent="0.25">
      <c r="A9" s="44" t="s">
        <v>2</v>
      </c>
      <c r="B9" s="44">
        <v>-0.162656</v>
      </c>
      <c r="C9" s="44">
        <v>0.22251000000000001</v>
      </c>
      <c r="D9" s="44">
        <v>128</v>
      </c>
      <c r="E9" s="44">
        <v>-0.73100200000000004</v>
      </c>
      <c r="F9" s="44">
        <v>0.46610000000000001</v>
      </c>
      <c r="H9" s="18" t="s">
        <v>2</v>
      </c>
      <c r="I9" s="18">
        <v>-1.49254E-2</v>
      </c>
      <c r="J9" s="18">
        <v>2.1747599999999999E-2</v>
      </c>
      <c r="K9" s="18">
        <v>152</v>
      </c>
      <c r="L9" s="18">
        <v>-0.6862994</v>
      </c>
      <c r="M9" s="18">
        <v>0.49359999999999998</v>
      </c>
      <c r="N9" s="18"/>
      <c r="O9" s="44" t="s">
        <v>2</v>
      </c>
      <c r="P9" s="44">
        <v>6.9126999999999999E-3</v>
      </c>
      <c r="Q9" s="44">
        <v>3.7135200000000001E-3</v>
      </c>
      <c r="R9" s="44">
        <v>123</v>
      </c>
      <c r="S9" s="44">
        <v>1.861497</v>
      </c>
      <c r="T9" s="44">
        <v>6.5100000000000005E-2</v>
      </c>
    </row>
    <row r="10" spans="1:21" s="44" customFormat="1" x14ac:dyDescent="0.25">
      <c r="A10" s="44" t="s">
        <v>3</v>
      </c>
      <c r="B10" s="44">
        <v>-0.142457</v>
      </c>
      <c r="C10" s="44">
        <v>9.4672000000000006E-2</v>
      </c>
      <c r="D10" s="44">
        <v>128</v>
      </c>
      <c r="E10" s="44">
        <v>-1.50474</v>
      </c>
      <c r="F10" s="44">
        <v>0.13489999999999999</v>
      </c>
      <c r="H10" s="18" t="s">
        <v>3</v>
      </c>
      <c r="I10" s="18">
        <v>-6.2562E-3</v>
      </c>
      <c r="J10" s="18">
        <v>9.1062999999999995E-3</v>
      </c>
      <c r="K10" s="18">
        <v>152</v>
      </c>
      <c r="L10" s="18">
        <v>-0.68701800000000002</v>
      </c>
      <c r="M10" s="18">
        <v>0.49309999999999998</v>
      </c>
      <c r="N10" s="18"/>
      <c r="O10" s="44" t="s">
        <v>3</v>
      </c>
      <c r="P10" s="44">
        <v>3.1021600000000001E-3</v>
      </c>
      <c r="Q10" s="44">
        <v>1.56175E-3</v>
      </c>
      <c r="R10" s="44">
        <v>123</v>
      </c>
      <c r="S10" s="44">
        <v>1.986337</v>
      </c>
      <c r="T10" s="44">
        <v>4.9200000000000001E-2</v>
      </c>
    </row>
    <row r="11" spans="1:21" s="44" customFormat="1" x14ac:dyDescent="0.25">
      <c r="A11" s="44" t="s">
        <v>48</v>
      </c>
      <c r="B11" s="44">
        <v>8.3756999999999998E-2</v>
      </c>
      <c r="C11" s="44">
        <v>0.30596299999999998</v>
      </c>
      <c r="D11" s="44">
        <v>128</v>
      </c>
      <c r="E11" s="44">
        <v>0.27374900000000002</v>
      </c>
      <c r="F11" s="44">
        <v>0.78469999999999995</v>
      </c>
      <c r="H11" s="18" t="s">
        <v>48</v>
      </c>
      <c r="I11" s="18">
        <v>2.3552099999999999E-2</v>
      </c>
      <c r="J11" s="18">
        <v>3.05565E-2</v>
      </c>
      <c r="K11" s="18">
        <v>152</v>
      </c>
      <c r="L11" s="18">
        <v>0.77077180000000001</v>
      </c>
      <c r="M11" s="18">
        <v>0.442</v>
      </c>
      <c r="N11" s="18"/>
      <c r="O11" s="44" t="s">
        <v>48</v>
      </c>
      <c r="P11" s="44">
        <v>-7.7596000000000002E-3</v>
      </c>
      <c r="Q11" s="44">
        <v>5.0681600000000004E-3</v>
      </c>
      <c r="R11" s="44">
        <v>123</v>
      </c>
      <c r="S11" s="44">
        <v>-1.5310509999999999</v>
      </c>
      <c r="T11" s="44">
        <v>0.1283</v>
      </c>
    </row>
    <row r="12" spans="1:21" s="44" customFormat="1" x14ac:dyDescent="0.25">
      <c r="A12" s="44" t="s">
        <v>49</v>
      </c>
      <c r="B12" s="44">
        <v>0.147062</v>
      </c>
      <c r="C12" s="44">
        <v>0.12923399999999999</v>
      </c>
      <c r="D12" s="44">
        <v>128</v>
      </c>
      <c r="E12" s="44">
        <v>1.137948</v>
      </c>
      <c r="F12" s="44">
        <v>0.25729999999999997</v>
      </c>
      <c r="H12" s="18" t="s">
        <v>49</v>
      </c>
      <c r="I12" s="18">
        <v>1.0990700000000001E-2</v>
      </c>
      <c r="J12" s="18">
        <v>1.28348E-2</v>
      </c>
      <c r="K12" s="18">
        <v>152</v>
      </c>
      <c r="L12" s="18">
        <v>0.85632249999999999</v>
      </c>
      <c r="M12" s="18">
        <v>0.39319999999999999</v>
      </c>
      <c r="N12" s="18"/>
      <c r="O12" s="44" t="s">
        <v>49</v>
      </c>
      <c r="P12" s="44">
        <v>-2.4264099999999999E-3</v>
      </c>
      <c r="Q12" s="44">
        <v>2.1287099999999998E-3</v>
      </c>
      <c r="R12" s="44">
        <v>123</v>
      </c>
      <c r="S12" s="44">
        <v>-1.1398509999999999</v>
      </c>
      <c r="T12" s="44">
        <v>0.25659999999999999</v>
      </c>
    </row>
    <row r="13" spans="1:21" s="44" customFormat="1" x14ac:dyDescent="0.25">
      <c r="A13" s="44" t="s">
        <v>50</v>
      </c>
      <c r="B13" s="44">
        <v>5.1400000000000003E-4</v>
      </c>
      <c r="C13" s="44">
        <v>4.7489999999999997E-3</v>
      </c>
      <c r="D13" s="44">
        <v>128</v>
      </c>
      <c r="E13" s="44">
        <v>0.10828500000000001</v>
      </c>
      <c r="F13" s="44">
        <v>0.91390000000000005</v>
      </c>
      <c r="H13" s="18" t="s">
        <v>50</v>
      </c>
      <c r="I13" s="18">
        <v>3.7310000000000002E-4</v>
      </c>
      <c r="J13" s="18">
        <v>4.5849999999999998E-4</v>
      </c>
      <c r="K13" s="18">
        <v>152</v>
      </c>
      <c r="L13" s="18">
        <v>0.81385090000000004</v>
      </c>
      <c r="M13" s="18">
        <v>0.41699999999999998</v>
      </c>
      <c r="N13" s="18"/>
      <c r="O13" s="44" t="s">
        <v>50</v>
      </c>
      <c r="P13" s="44">
        <v>-2.6343999999999998E-4</v>
      </c>
      <c r="Q13" s="44">
        <v>7.8759999999999998E-5</v>
      </c>
      <c r="R13" s="44">
        <v>123</v>
      </c>
      <c r="S13" s="44">
        <v>-3.3447909999999998</v>
      </c>
      <c r="T13" s="44">
        <v>1.1000000000000001E-3</v>
      </c>
    </row>
    <row r="14" spans="1:21" s="44" customFormat="1" x14ac:dyDescent="0.25">
      <c r="A14" s="44" t="s">
        <v>84</v>
      </c>
      <c r="B14" s="44">
        <v>9.1100000000000003E-4</v>
      </c>
      <c r="C14" s="44">
        <v>6.4689999999999999E-3</v>
      </c>
      <c r="D14" s="44">
        <v>128</v>
      </c>
      <c r="E14" s="44">
        <v>0.14075099999999999</v>
      </c>
      <c r="F14" s="44">
        <v>0.88829999999999998</v>
      </c>
      <c r="H14" s="18" t="s">
        <v>84</v>
      </c>
      <c r="I14" s="18">
        <v>-5.0449999999999996E-4</v>
      </c>
      <c r="J14" s="18">
        <v>6.4579999999999998E-4</v>
      </c>
      <c r="K14" s="18">
        <v>152</v>
      </c>
      <c r="L14" s="18">
        <v>-0.78120389999999995</v>
      </c>
      <c r="M14" s="18">
        <v>0.43590000000000001</v>
      </c>
      <c r="N14" s="18"/>
      <c r="O14" s="44" t="s">
        <v>84</v>
      </c>
      <c r="P14" s="44">
        <v>1.8923E-4</v>
      </c>
      <c r="Q14" s="44">
        <v>1.0695E-4</v>
      </c>
      <c r="R14" s="44">
        <v>123</v>
      </c>
      <c r="S14" s="44">
        <v>1.7692730000000001</v>
      </c>
      <c r="T14" s="44">
        <v>7.9299999999999995E-2</v>
      </c>
    </row>
    <row r="15" spans="1:21" s="44" customFormat="1" x14ac:dyDescent="0.25">
      <c r="A15" s="47" t="s">
        <v>52</v>
      </c>
      <c r="G15" s="45">
        <f>3.31177^2</f>
        <v>10.967820532900001</v>
      </c>
      <c r="H15" s="18" t="s">
        <v>52</v>
      </c>
      <c r="I15" s="18"/>
      <c r="J15" s="18"/>
      <c r="K15" s="18"/>
      <c r="L15" s="18"/>
      <c r="M15" s="18"/>
      <c r="N15" s="18">
        <f>0.3560238^2</f>
        <v>0.12675294616644001</v>
      </c>
      <c r="O15" s="47" t="s">
        <v>52</v>
      </c>
      <c r="U15" s="44">
        <f>0.05401279^2</f>
        <v>2.9173814835841E-3</v>
      </c>
    </row>
    <row r="16" spans="1:21" s="44" customFormat="1" x14ac:dyDescent="0.25">
      <c r="A16" s="47" t="s">
        <v>5</v>
      </c>
      <c r="G16" s="44">
        <f>0.0002550565^2</f>
        <v>6.5053818192249992E-8</v>
      </c>
      <c r="H16" s="18" t="s">
        <v>5</v>
      </c>
      <c r="I16" s="18"/>
      <c r="J16" s="18"/>
      <c r="K16" s="18"/>
      <c r="L16" s="18"/>
      <c r="M16" s="18"/>
      <c r="N16" s="18">
        <f>0.05281265
^2</f>
        <v>2.7891760000225002E-3</v>
      </c>
      <c r="O16" s="47" t="s">
        <v>5</v>
      </c>
      <c r="U16" s="44">
        <f>0.008940183^2</f>
        <v>7.9926872073489018E-5</v>
      </c>
    </row>
    <row r="17" spans="1:21" s="44" customFormat="1" x14ac:dyDescent="0.25">
      <c r="A17" s="47" t="s">
        <v>15</v>
      </c>
      <c r="G17" s="44">
        <f>0.0002549779 ^2</f>
        <v>6.5013729488410009E-8</v>
      </c>
      <c r="H17" s="18" t="s">
        <v>15</v>
      </c>
      <c r="I17" s="18"/>
      <c r="J17" s="18"/>
      <c r="K17" s="18"/>
      <c r="L17" s="18"/>
      <c r="M17" s="18"/>
      <c r="N17" s="18">
        <f>0.05281308^2</f>
        <v>2.7892214190863998E-3</v>
      </c>
      <c r="O17" s="47" t="s">
        <v>15</v>
      </c>
      <c r="U17" s="44">
        <f>0.008940171^2</f>
        <v>7.9926657509241003E-5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workbookViewId="0">
      <selection activeCell="H11" sqref="H11"/>
    </sheetView>
  </sheetViews>
  <sheetFormatPr defaultRowHeight="15" x14ac:dyDescent="0.25"/>
  <cols>
    <col min="3" max="3" width="33.28515625" customWidth="1"/>
  </cols>
  <sheetData>
    <row r="1" spans="1:9" x14ac:dyDescent="0.25">
      <c r="A1" t="s">
        <v>165</v>
      </c>
      <c r="C1" s="43" t="s">
        <v>154</v>
      </c>
      <c r="I1" t="s">
        <v>158</v>
      </c>
    </row>
    <row r="2" spans="1:9" x14ac:dyDescent="0.25">
      <c r="A2" t="s">
        <v>166</v>
      </c>
      <c r="C2" s="43" t="s">
        <v>155</v>
      </c>
    </row>
    <row r="3" spans="1:9" x14ac:dyDescent="0.25">
      <c r="C3" t="s">
        <v>156</v>
      </c>
      <c r="I3">
        <f>(1.927)^2</f>
        <v>3.7133290000000003</v>
      </c>
    </row>
    <row r="4" spans="1:9" x14ac:dyDescent="0.25">
      <c r="C4" t="s">
        <v>157</v>
      </c>
      <c r="I4">
        <f>2.29172^2</f>
        <v>5.2519805584000006</v>
      </c>
    </row>
    <row r="5" spans="1:9" x14ac:dyDescent="0.25">
      <c r="C5" t="s">
        <v>52</v>
      </c>
      <c r="I5">
        <f>8.77209^2</f>
        <v>76.949562968100011</v>
      </c>
    </row>
    <row r="6" spans="1:9" x14ac:dyDescent="0.25">
      <c r="D6" t="s">
        <v>101</v>
      </c>
      <c r="E6" t="s">
        <v>102</v>
      </c>
      <c r="F6" t="s">
        <v>9</v>
      </c>
      <c r="G6" t="s">
        <v>7</v>
      </c>
      <c r="H6" t="s">
        <v>103</v>
      </c>
    </row>
    <row r="7" spans="1:9" x14ac:dyDescent="0.25">
      <c r="C7" s="1" t="s">
        <v>104</v>
      </c>
      <c r="D7">
        <v>-1.5926499999999999</v>
      </c>
      <c r="E7">
        <v>14.96138</v>
      </c>
      <c r="F7">
        <v>1078</v>
      </c>
      <c r="G7">
        <v>-0.1064508</v>
      </c>
      <c r="H7">
        <v>0.91520000000000001</v>
      </c>
    </row>
    <row r="8" spans="1:9" x14ac:dyDescent="0.25">
      <c r="C8" s="1" t="s">
        <v>46</v>
      </c>
      <c r="D8">
        <v>2.76275</v>
      </c>
      <c r="E8">
        <v>29.03388</v>
      </c>
      <c r="F8">
        <v>14</v>
      </c>
      <c r="G8">
        <v>9.5156199999999996E-2</v>
      </c>
      <c r="H8">
        <v>0.92549999999999999</v>
      </c>
    </row>
    <row r="9" spans="1:9" x14ac:dyDescent="0.25">
      <c r="C9" s="1" t="s">
        <v>2</v>
      </c>
      <c r="D9">
        <v>1.0193099999999999</v>
      </c>
      <c r="E9">
        <v>0.70265999999999995</v>
      </c>
      <c r="F9">
        <v>1078</v>
      </c>
      <c r="G9">
        <v>1.4506417</v>
      </c>
      <c r="H9">
        <v>0.1472</v>
      </c>
    </row>
    <row r="10" spans="1:9" x14ac:dyDescent="0.25">
      <c r="C10" s="1" t="s">
        <v>3</v>
      </c>
      <c r="D10">
        <v>0.30054999999999998</v>
      </c>
      <c r="E10">
        <v>0.32433000000000001</v>
      </c>
      <c r="F10">
        <v>1078</v>
      </c>
      <c r="G10">
        <v>0.92669290000000004</v>
      </c>
      <c r="H10">
        <v>0.3543</v>
      </c>
    </row>
    <row r="11" spans="1:9" x14ac:dyDescent="0.25">
      <c r="C11" s="1" t="s">
        <v>105</v>
      </c>
      <c r="D11">
        <v>68.329080000000005</v>
      </c>
      <c r="E11">
        <v>23.010259999999999</v>
      </c>
      <c r="F11">
        <v>57</v>
      </c>
      <c r="G11">
        <v>2.9695052999999998</v>
      </c>
      <c r="H11">
        <v>4.4000000000000003E-3</v>
      </c>
    </row>
    <row r="12" spans="1:9" x14ac:dyDescent="0.25">
      <c r="C12" s="1" t="s">
        <v>106</v>
      </c>
      <c r="D12">
        <v>12.4186</v>
      </c>
      <c r="E12">
        <v>23.22841</v>
      </c>
      <c r="F12">
        <v>57</v>
      </c>
      <c r="G12">
        <v>0.53462989999999999</v>
      </c>
      <c r="H12">
        <v>0.59499999999999997</v>
      </c>
    </row>
    <row r="13" spans="1:9" x14ac:dyDescent="0.25">
      <c r="C13" s="1" t="s">
        <v>107</v>
      </c>
      <c r="D13">
        <v>8.5287799999999994</v>
      </c>
      <c r="E13">
        <v>15.76693</v>
      </c>
      <c r="F13">
        <v>57</v>
      </c>
      <c r="G13">
        <v>0.54092830000000003</v>
      </c>
      <c r="H13">
        <v>0.5907</v>
      </c>
    </row>
    <row r="14" spans="1:9" x14ac:dyDescent="0.25">
      <c r="C14" s="1" t="s">
        <v>108</v>
      </c>
      <c r="D14">
        <v>23.929189999999998</v>
      </c>
      <c r="E14">
        <v>18.507190000000001</v>
      </c>
      <c r="F14">
        <v>57</v>
      </c>
      <c r="G14">
        <v>1.2929667</v>
      </c>
      <c r="H14">
        <v>0.20119999999999999</v>
      </c>
    </row>
    <row r="15" spans="1:9" x14ac:dyDescent="0.25">
      <c r="C15" s="1" t="s">
        <v>109</v>
      </c>
      <c r="D15">
        <v>10.35229</v>
      </c>
      <c r="E15">
        <v>18.617090000000001</v>
      </c>
      <c r="F15">
        <v>57</v>
      </c>
      <c r="G15">
        <v>0.5560638</v>
      </c>
      <c r="H15">
        <v>0.58030000000000004</v>
      </c>
    </row>
    <row r="16" spans="1:9" x14ac:dyDescent="0.25">
      <c r="C16" s="1" t="s">
        <v>110</v>
      </c>
      <c r="D16">
        <v>19.592469999999999</v>
      </c>
      <c r="E16">
        <v>19.085129999999999</v>
      </c>
      <c r="F16">
        <v>57</v>
      </c>
      <c r="G16">
        <v>1.0265834</v>
      </c>
      <c r="H16">
        <v>0.309</v>
      </c>
    </row>
    <row r="17" spans="3:8" x14ac:dyDescent="0.25">
      <c r="C17" s="1" t="s">
        <v>48</v>
      </c>
      <c r="D17">
        <v>1.477E-2</v>
      </c>
      <c r="E17">
        <v>1.4303900000000001</v>
      </c>
      <c r="F17">
        <v>1078</v>
      </c>
      <c r="G17">
        <v>1.03237E-2</v>
      </c>
      <c r="H17">
        <v>0.99180000000000001</v>
      </c>
    </row>
    <row r="18" spans="3:8" x14ac:dyDescent="0.25">
      <c r="C18" s="1" t="s">
        <v>49</v>
      </c>
      <c r="D18">
        <v>0.52259999999999995</v>
      </c>
      <c r="E18">
        <v>0.73804000000000003</v>
      </c>
      <c r="F18">
        <v>1078</v>
      </c>
      <c r="G18">
        <v>0.7080959</v>
      </c>
      <c r="H18">
        <v>0.47899999999999998</v>
      </c>
    </row>
    <row r="19" spans="3:8" x14ac:dyDescent="0.25">
      <c r="C19" s="1" t="s">
        <v>50</v>
      </c>
      <c r="D19">
        <v>-2.1729999999999999E-2</v>
      </c>
      <c r="E19">
        <v>1.532E-2</v>
      </c>
      <c r="F19">
        <v>1078</v>
      </c>
      <c r="G19">
        <v>-1.4190664</v>
      </c>
      <c r="H19">
        <v>0.15620000000000001</v>
      </c>
    </row>
    <row r="20" spans="3:8" x14ac:dyDescent="0.25">
      <c r="C20" s="1" t="s">
        <v>111</v>
      </c>
      <c r="D20">
        <v>-27.42998</v>
      </c>
      <c r="E20">
        <v>35.913440000000001</v>
      </c>
      <c r="F20">
        <v>57</v>
      </c>
      <c r="G20">
        <v>-0.76378040000000003</v>
      </c>
      <c r="H20">
        <v>0.4481</v>
      </c>
    </row>
    <row r="21" spans="3:8" x14ac:dyDescent="0.25">
      <c r="C21" s="1" t="s">
        <v>112</v>
      </c>
      <c r="D21">
        <v>1.00085</v>
      </c>
      <c r="E21">
        <v>36.283700000000003</v>
      </c>
      <c r="F21">
        <v>57</v>
      </c>
      <c r="G21">
        <v>2.7584000000000001E-2</v>
      </c>
      <c r="H21">
        <v>0.97809999999999997</v>
      </c>
    </row>
    <row r="22" spans="3:8" x14ac:dyDescent="0.25">
      <c r="C22" s="1" t="s">
        <v>113</v>
      </c>
      <c r="D22">
        <v>5.2000500000000001</v>
      </c>
      <c r="E22">
        <v>30.755299999999998</v>
      </c>
      <c r="F22">
        <v>57</v>
      </c>
      <c r="G22">
        <v>0.16907800000000001</v>
      </c>
      <c r="H22">
        <v>0.86629999999999996</v>
      </c>
    </row>
    <row r="23" spans="3:8" x14ac:dyDescent="0.25">
      <c r="C23" s="1" t="s">
        <v>114</v>
      </c>
      <c r="D23">
        <v>-0.19409000000000001</v>
      </c>
      <c r="E23">
        <v>33.192619999999998</v>
      </c>
      <c r="F23">
        <v>57</v>
      </c>
      <c r="G23">
        <v>-5.8472999999999997E-3</v>
      </c>
      <c r="H23">
        <v>0.99539999999999995</v>
      </c>
    </row>
    <row r="24" spans="3:8" x14ac:dyDescent="0.25">
      <c r="C24" s="1" t="s">
        <v>115</v>
      </c>
      <c r="D24">
        <v>2.0880800000000002</v>
      </c>
      <c r="E24">
        <v>32.974200000000003</v>
      </c>
      <c r="F24">
        <v>57</v>
      </c>
      <c r="G24">
        <v>6.3324599999999995E-2</v>
      </c>
      <c r="H24">
        <v>0.94969999999999999</v>
      </c>
    </row>
    <row r="25" spans="3:8" x14ac:dyDescent="0.25">
      <c r="C25" s="1" t="s">
        <v>116</v>
      </c>
      <c r="D25">
        <v>-13.56001</v>
      </c>
      <c r="E25">
        <v>33.299950000000003</v>
      </c>
      <c r="F25">
        <v>57</v>
      </c>
      <c r="G25">
        <v>-0.40720820000000002</v>
      </c>
      <c r="H25">
        <v>0.68540000000000001</v>
      </c>
    </row>
    <row r="26" spans="3:8" x14ac:dyDescent="0.25">
      <c r="C26" s="1" t="s">
        <v>117</v>
      </c>
      <c r="D26">
        <v>-2.94862</v>
      </c>
      <c r="E26">
        <v>1.1304000000000001</v>
      </c>
      <c r="F26">
        <v>1078</v>
      </c>
      <c r="G26">
        <v>-2.6084787</v>
      </c>
      <c r="H26">
        <v>9.1999999999999998E-3</v>
      </c>
    </row>
    <row r="27" spans="3:8" x14ac:dyDescent="0.25">
      <c r="C27" s="1" t="s">
        <v>118</v>
      </c>
      <c r="D27">
        <v>-1.1208100000000001</v>
      </c>
      <c r="E27">
        <v>1.1444099999999999</v>
      </c>
      <c r="F27">
        <v>1078</v>
      </c>
      <c r="G27">
        <v>-0.97937620000000003</v>
      </c>
      <c r="H27">
        <v>0.3276</v>
      </c>
    </row>
    <row r="28" spans="3:8" x14ac:dyDescent="0.25">
      <c r="C28" s="1" t="s">
        <v>119</v>
      </c>
      <c r="D28">
        <v>-0.97609999999999997</v>
      </c>
      <c r="E28">
        <v>0.74656999999999996</v>
      </c>
      <c r="F28">
        <v>1078</v>
      </c>
      <c r="G28">
        <v>-1.3074387999999999</v>
      </c>
      <c r="H28">
        <v>0.1913</v>
      </c>
    </row>
    <row r="29" spans="3:8" x14ac:dyDescent="0.25">
      <c r="C29" s="1" t="s">
        <v>120</v>
      </c>
      <c r="D29">
        <v>-1.54938</v>
      </c>
      <c r="E29">
        <v>0.89032</v>
      </c>
      <c r="F29">
        <v>1078</v>
      </c>
      <c r="G29">
        <v>-1.7402514</v>
      </c>
      <c r="H29">
        <v>8.2100000000000006E-2</v>
      </c>
    </row>
    <row r="30" spans="3:8" x14ac:dyDescent="0.25">
      <c r="C30" s="1" t="s">
        <v>121</v>
      </c>
      <c r="D30">
        <v>6.1240000000000003E-2</v>
      </c>
      <c r="E30">
        <v>0.89831000000000005</v>
      </c>
      <c r="F30">
        <v>1078</v>
      </c>
      <c r="G30">
        <v>6.8171999999999996E-2</v>
      </c>
      <c r="H30">
        <v>0.94569999999999999</v>
      </c>
    </row>
    <row r="31" spans="3:8" x14ac:dyDescent="0.25">
      <c r="C31" s="1" t="s">
        <v>122</v>
      </c>
      <c r="D31">
        <v>-1.1773199999999999</v>
      </c>
      <c r="E31">
        <v>0.91715999999999998</v>
      </c>
      <c r="F31">
        <v>1078</v>
      </c>
      <c r="G31">
        <v>-1.2836601999999999</v>
      </c>
      <c r="H31">
        <v>0.19950000000000001</v>
      </c>
    </row>
    <row r="32" spans="3:8" x14ac:dyDescent="0.25">
      <c r="C32" s="1" t="s">
        <v>123</v>
      </c>
      <c r="D32">
        <v>-0.63405999999999996</v>
      </c>
      <c r="E32">
        <v>0.45934000000000003</v>
      </c>
      <c r="F32">
        <v>1078</v>
      </c>
      <c r="G32">
        <v>-1.3803496</v>
      </c>
      <c r="H32">
        <v>0.1678</v>
      </c>
    </row>
    <row r="33" spans="3:8" x14ac:dyDescent="0.25">
      <c r="C33" s="1" t="s">
        <v>124</v>
      </c>
      <c r="D33">
        <v>-0.31286999999999998</v>
      </c>
      <c r="E33">
        <v>0.46638000000000002</v>
      </c>
      <c r="F33">
        <v>1078</v>
      </c>
      <c r="G33">
        <v>-0.67083649999999995</v>
      </c>
      <c r="H33">
        <v>0.50249999999999995</v>
      </c>
    </row>
    <row r="34" spans="3:8" x14ac:dyDescent="0.25">
      <c r="C34" s="1" t="s">
        <v>125</v>
      </c>
      <c r="D34">
        <v>2.894E-2</v>
      </c>
      <c r="E34">
        <v>0.34066999999999997</v>
      </c>
      <c r="F34">
        <v>1078</v>
      </c>
      <c r="G34">
        <v>8.4962499999999996E-2</v>
      </c>
      <c r="H34">
        <v>0.93230000000000002</v>
      </c>
    </row>
    <row r="35" spans="3:8" x14ac:dyDescent="0.25">
      <c r="C35" s="1" t="s">
        <v>126</v>
      </c>
      <c r="D35">
        <v>-0.45618999999999998</v>
      </c>
      <c r="E35">
        <v>0.39506999999999998</v>
      </c>
      <c r="F35">
        <v>1078</v>
      </c>
      <c r="G35">
        <v>-1.1547092000000001</v>
      </c>
      <c r="H35">
        <v>0.2485</v>
      </c>
    </row>
    <row r="36" spans="3:8" x14ac:dyDescent="0.25">
      <c r="C36" s="1" t="s">
        <v>127</v>
      </c>
      <c r="D36">
        <v>-0.15715999999999999</v>
      </c>
      <c r="E36">
        <v>0.39912999999999998</v>
      </c>
      <c r="F36">
        <v>1078</v>
      </c>
      <c r="G36">
        <v>-0.39376660000000002</v>
      </c>
      <c r="H36">
        <v>0.69379999999999997</v>
      </c>
    </row>
    <row r="37" spans="3:8" x14ac:dyDescent="0.25">
      <c r="C37" s="1" t="s">
        <v>128</v>
      </c>
      <c r="D37">
        <v>-0.44103999999999999</v>
      </c>
      <c r="E37">
        <v>0.40998000000000001</v>
      </c>
      <c r="F37">
        <v>1078</v>
      </c>
      <c r="G37">
        <v>-1.0757436</v>
      </c>
      <c r="H37">
        <v>0.2823</v>
      </c>
    </row>
    <row r="38" spans="3:8" x14ac:dyDescent="0.25">
      <c r="C38" s="1" t="s">
        <v>84</v>
      </c>
      <c r="D38">
        <v>-2.4109999999999999E-2</v>
      </c>
      <c r="E38">
        <v>3.6110000000000003E-2</v>
      </c>
      <c r="F38">
        <v>1078</v>
      </c>
      <c r="G38">
        <v>-0.6677845</v>
      </c>
      <c r="H38">
        <v>0.50439999999999996</v>
      </c>
    </row>
    <row r="39" spans="3:8" x14ac:dyDescent="0.25">
      <c r="C39" s="1" t="s">
        <v>129</v>
      </c>
      <c r="D39">
        <v>0.79469000000000001</v>
      </c>
      <c r="E39">
        <v>1.7829600000000001</v>
      </c>
      <c r="F39">
        <v>1078</v>
      </c>
      <c r="G39">
        <v>0.44571270000000002</v>
      </c>
      <c r="H39">
        <v>0.65590000000000004</v>
      </c>
    </row>
    <row r="40" spans="3:8" x14ac:dyDescent="0.25">
      <c r="C40" s="1" t="s">
        <v>130</v>
      </c>
      <c r="D40">
        <v>-0.48642999999999997</v>
      </c>
      <c r="E40">
        <v>1.7983</v>
      </c>
      <c r="F40">
        <v>1078</v>
      </c>
      <c r="G40">
        <v>-0.27049459999999997</v>
      </c>
      <c r="H40">
        <v>0.78680000000000005</v>
      </c>
    </row>
    <row r="41" spans="3:8" x14ac:dyDescent="0.25">
      <c r="C41" s="1" t="s">
        <v>131</v>
      </c>
      <c r="D41">
        <v>-0.47731000000000001</v>
      </c>
      <c r="E41">
        <v>1.51753</v>
      </c>
      <c r="F41">
        <v>1078</v>
      </c>
      <c r="G41">
        <v>-0.3145308</v>
      </c>
      <c r="H41">
        <v>0.75319999999999998</v>
      </c>
    </row>
    <row r="42" spans="3:8" x14ac:dyDescent="0.25">
      <c r="C42" s="1" t="s">
        <v>132</v>
      </c>
      <c r="D42">
        <v>-0.18915999999999999</v>
      </c>
      <c r="E42">
        <v>1.6395299999999999</v>
      </c>
      <c r="F42">
        <v>1078</v>
      </c>
      <c r="G42">
        <v>-0.11537310000000001</v>
      </c>
      <c r="H42">
        <v>0.90820000000000001</v>
      </c>
    </row>
    <row r="43" spans="3:8" x14ac:dyDescent="0.25">
      <c r="C43" s="1" t="s">
        <v>133</v>
      </c>
      <c r="D43">
        <v>-1.61083</v>
      </c>
      <c r="E43">
        <v>1.63046</v>
      </c>
      <c r="F43">
        <v>1078</v>
      </c>
      <c r="G43">
        <v>-0.98795920000000004</v>
      </c>
      <c r="H43">
        <v>0.32340000000000002</v>
      </c>
    </row>
    <row r="44" spans="3:8" x14ac:dyDescent="0.25">
      <c r="C44" s="1" t="s">
        <v>134</v>
      </c>
      <c r="D44">
        <v>6.0670000000000002E-2</v>
      </c>
      <c r="E44">
        <v>1.64408</v>
      </c>
      <c r="F44">
        <v>1078</v>
      </c>
      <c r="G44">
        <v>3.6902900000000002E-2</v>
      </c>
      <c r="H44">
        <v>0.97060000000000002</v>
      </c>
    </row>
    <row r="45" spans="3:8" x14ac:dyDescent="0.25">
      <c r="C45" s="1" t="s">
        <v>164</v>
      </c>
      <c r="D45">
        <v>-5.151E-2</v>
      </c>
      <c r="E45">
        <v>0.84872999999999998</v>
      </c>
      <c r="F45">
        <v>1078</v>
      </c>
      <c r="G45">
        <v>-6.06878E-2</v>
      </c>
      <c r="H45">
        <v>0.9516</v>
      </c>
    </row>
    <row r="46" spans="3:8" x14ac:dyDescent="0.25">
      <c r="C46" s="1" t="s">
        <v>163</v>
      </c>
      <c r="D46">
        <v>-0.57316</v>
      </c>
      <c r="E46">
        <v>0.85065000000000002</v>
      </c>
      <c r="F46">
        <v>1078</v>
      </c>
      <c r="G46">
        <v>-0.67378119999999997</v>
      </c>
      <c r="H46">
        <v>0.50060000000000004</v>
      </c>
    </row>
    <row r="47" spans="3:8" x14ac:dyDescent="0.25">
      <c r="C47" s="1" t="s">
        <v>162</v>
      </c>
      <c r="D47">
        <v>-0.87726000000000004</v>
      </c>
      <c r="E47">
        <v>0.76776999999999995</v>
      </c>
      <c r="F47">
        <v>1078</v>
      </c>
      <c r="G47">
        <v>-1.1426004000000001</v>
      </c>
      <c r="H47">
        <v>0.2535</v>
      </c>
    </row>
    <row r="48" spans="3:8" x14ac:dyDescent="0.25">
      <c r="C48" s="1" t="s">
        <v>161</v>
      </c>
      <c r="D48">
        <v>-0.46576000000000001</v>
      </c>
      <c r="E48">
        <v>0.80806999999999995</v>
      </c>
      <c r="F48">
        <v>1078</v>
      </c>
      <c r="G48">
        <v>-0.57639119999999999</v>
      </c>
      <c r="H48">
        <v>0.5645</v>
      </c>
    </row>
    <row r="49" spans="3:8" x14ac:dyDescent="0.25">
      <c r="C49" s="1" t="s">
        <v>160</v>
      </c>
      <c r="D49">
        <v>-0.68369999999999997</v>
      </c>
      <c r="E49">
        <v>0.80786000000000002</v>
      </c>
      <c r="F49">
        <v>1078</v>
      </c>
      <c r="G49">
        <v>-0.84630450000000002</v>
      </c>
      <c r="H49">
        <v>0.39760000000000001</v>
      </c>
    </row>
    <row r="50" spans="3:8" x14ac:dyDescent="0.25">
      <c r="C50" s="1" t="s">
        <v>159</v>
      </c>
      <c r="D50">
        <v>-0.37733</v>
      </c>
      <c r="E50">
        <v>0.81357000000000002</v>
      </c>
      <c r="F50">
        <v>1078</v>
      </c>
      <c r="G50">
        <v>-0.4637926</v>
      </c>
      <c r="H50">
        <v>0.64290000000000003</v>
      </c>
    </row>
    <row r="51" spans="3:8" x14ac:dyDescent="0.25">
      <c r="C51" s="1" t="s">
        <v>141</v>
      </c>
      <c r="D51">
        <v>0.04</v>
      </c>
      <c r="E51">
        <v>2.2540000000000001E-2</v>
      </c>
      <c r="F51">
        <v>1078</v>
      </c>
      <c r="G51">
        <v>1.7742936</v>
      </c>
      <c r="H51">
        <v>7.6300000000000007E-2</v>
      </c>
    </row>
    <row r="52" spans="3:8" x14ac:dyDescent="0.25">
      <c r="C52" s="1" t="s">
        <v>142</v>
      </c>
      <c r="D52">
        <v>2.0760000000000001E-2</v>
      </c>
      <c r="E52">
        <v>2.2950000000000002E-2</v>
      </c>
      <c r="F52">
        <v>1078</v>
      </c>
      <c r="G52">
        <v>0.90455629999999998</v>
      </c>
      <c r="H52">
        <v>0.3659</v>
      </c>
    </row>
    <row r="53" spans="3:8" x14ac:dyDescent="0.25">
      <c r="C53" s="1" t="s">
        <v>143</v>
      </c>
      <c r="D53">
        <v>9.5099999999999994E-3</v>
      </c>
      <c r="E53">
        <v>1.6209999999999999E-2</v>
      </c>
      <c r="F53">
        <v>1078</v>
      </c>
      <c r="G53">
        <v>0.58688770000000001</v>
      </c>
      <c r="H53">
        <v>0.55740000000000001</v>
      </c>
    </row>
    <row r="54" spans="3:8" x14ac:dyDescent="0.25">
      <c r="C54" s="1" t="s">
        <v>144</v>
      </c>
      <c r="D54">
        <v>2.7310000000000001E-2</v>
      </c>
      <c r="E54">
        <v>1.9120000000000002E-2</v>
      </c>
      <c r="F54">
        <v>1078</v>
      </c>
      <c r="G54">
        <v>1.4285558</v>
      </c>
      <c r="H54">
        <v>0.15340000000000001</v>
      </c>
    </row>
    <row r="55" spans="3:8" x14ac:dyDescent="0.25">
      <c r="C55" s="1" t="s">
        <v>145</v>
      </c>
      <c r="D55">
        <v>-8.0000000000000007E-5</v>
      </c>
      <c r="E55">
        <v>1.941E-2</v>
      </c>
      <c r="F55">
        <v>1078</v>
      </c>
      <c r="G55">
        <v>-4.0112999999999998E-3</v>
      </c>
      <c r="H55">
        <v>0.99680000000000002</v>
      </c>
    </row>
    <row r="56" spans="3:8" x14ac:dyDescent="0.25">
      <c r="C56" s="1" t="s">
        <v>146</v>
      </c>
      <c r="D56">
        <v>2.2120000000000001E-2</v>
      </c>
      <c r="E56">
        <v>1.9820000000000001E-2</v>
      </c>
      <c r="F56">
        <v>1078</v>
      </c>
      <c r="G56">
        <v>1.1158642000000001</v>
      </c>
      <c r="H56">
        <v>0.26469999999999999</v>
      </c>
    </row>
    <row r="57" spans="3:8" x14ac:dyDescent="0.25">
      <c r="C57" s="1" t="s">
        <v>147</v>
      </c>
      <c r="D57" t="s">
        <v>148</v>
      </c>
      <c r="E57">
        <v>4.1799999999999997E-2</v>
      </c>
      <c r="F57">
        <v>1078</v>
      </c>
      <c r="G57">
        <v>8.7773699999999996E-2</v>
      </c>
      <c r="H57">
        <v>0.93010000000000004</v>
      </c>
    </row>
    <row r="58" spans="3:8" x14ac:dyDescent="0.25">
      <c r="C58" s="1" t="s">
        <v>147</v>
      </c>
      <c r="D58" t="s">
        <v>149</v>
      </c>
      <c r="E58">
        <v>4.1880000000000001E-2</v>
      </c>
      <c r="F58">
        <v>1078</v>
      </c>
      <c r="G58">
        <v>0.78835089999999997</v>
      </c>
      <c r="H58">
        <v>0.43070000000000003</v>
      </c>
    </row>
    <row r="59" spans="3:8" x14ac:dyDescent="0.25">
      <c r="C59" s="1" t="s">
        <v>147</v>
      </c>
      <c r="D59" t="s">
        <v>150</v>
      </c>
      <c r="E59">
        <v>3.7679999999999998E-2</v>
      </c>
      <c r="F59">
        <v>1078</v>
      </c>
      <c r="G59">
        <v>1.0996249</v>
      </c>
      <c r="H59">
        <v>0.2717</v>
      </c>
    </row>
    <row r="60" spans="3:8" x14ac:dyDescent="0.25">
      <c r="C60" s="1" t="s">
        <v>147</v>
      </c>
      <c r="D60" t="s">
        <v>151</v>
      </c>
      <c r="E60">
        <v>3.9719999999999998E-2</v>
      </c>
      <c r="F60">
        <v>1078</v>
      </c>
      <c r="G60">
        <v>0.58312169999999997</v>
      </c>
      <c r="H60">
        <v>0.55989999999999995</v>
      </c>
    </row>
    <row r="61" spans="3:8" x14ac:dyDescent="0.25">
      <c r="C61" s="1" t="s">
        <v>147</v>
      </c>
      <c r="D61" t="s">
        <v>152</v>
      </c>
      <c r="E61">
        <v>3.9750000000000001E-2</v>
      </c>
      <c r="F61">
        <v>1078</v>
      </c>
      <c r="G61">
        <v>1.3718973999999999</v>
      </c>
      <c r="H61">
        <v>0.1704</v>
      </c>
    </row>
    <row r="62" spans="3:8" x14ac:dyDescent="0.25">
      <c r="C62" s="1" t="s">
        <v>147</v>
      </c>
      <c r="D62" t="s">
        <v>153</v>
      </c>
      <c r="E62">
        <v>3.9969999999999999E-2</v>
      </c>
      <c r="F62">
        <v>1078</v>
      </c>
      <c r="G62">
        <v>0.63077850000000002</v>
      </c>
      <c r="H62">
        <v>0.52829999999999999</v>
      </c>
    </row>
  </sheetData>
  <conditionalFormatting sqref="H1:H1048576">
    <cfRule type="cellIs" dxfId="2" priority="1" operator="lessThan">
      <formula>0.05</formula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PLALAN</vt:lpstr>
      <vt:lpstr>PLAMAJ</vt:lpstr>
      <vt:lpstr>CHEMAJ</vt:lpstr>
      <vt:lpstr>DACGLO</vt:lpstr>
      <vt:lpstr>RUMCRI</vt:lpstr>
      <vt:lpstr>CAPBUR</vt:lpstr>
      <vt:lpstr>TAROFF</vt:lpstr>
      <vt:lpstr>GermDate_sp-fixed</vt:lpstr>
      <vt:lpstr>GermRate_sp-fixed</vt:lpstr>
      <vt:lpstr>Growth_sp-fixed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Harold</dc:creator>
  <cp:lastModifiedBy>Harold</cp:lastModifiedBy>
  <dcterms:created xsi:type="dcterms:W3CDTF">2016-02-12T18:03:49Z</dcterms:created>
  <dcterms:modified xsi:type="dcterms:W3CDTF">2016-02-23T18:16:21Z</dcterms:modified>
</cp:coreProperties>
</file>